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K:\koltsegvetes\Koltsegvetes2024\BESZÁMOLÓK\I_FÉLÉVES_BESZÁMOLÓ\Közgyűlési_előterjesztés\"/>
    </mc:Choice>
  </mc:AlternateContent>
  <xr:revisionPtr revIDLastSave="0" documentId="13_ncr:1_{5A90ED24-9002-4798-B73E-9FAD8BDC164E}" xr6:coauthVersionLast="47" xr6:coauthVersionMax="47" xr10:uidLastSave="{00000000-0000-0000-0000-000000000000}"/>
  <bookViews>
    <workbookView xWindow="-120" yWindow="-120" windowWidth="29040" windowHeight="15720" tabRatio="934" activeTab="5" xr2:uid="{00000000-000D-0000-FFFF-FFFF00000000}"/>
  </bookViews>
  <sheets>
    <sheet name="1.Onbe" sheetId="113" r:id="rId1"/>
    <sheet name="2.Onki" sheetId="115" r:id="rId2"/>
    <sheet name="3.Inbe " sheetId="181" r:id="rId3"/>
    <sheet name="4.Inki" sheetId="182" r:id="rId4"/>
    <sheet name="5.Infelhki" sheetId="185" r:id="rId5"/>
    <sheet name="6.Önk.műk." sheetId="105" r:id="rId6"/>
    <sheet name="7.Beruh." sheetId="134" r:id="rId7"/>
    <sheet name="8.Felúj." sheetId="147" r:id="rId8"/>
    <sheet name="9.Projekt" sheetId="144" r:id="rId9"/>
    <sheet name="10.MVP és hazai" sheetId="192" r:id="rId10"/>
    <sheet name="11.EKF" sheetId="149" r:id="rId11"/>
    <sheet name="12.Mérleg" sheetId="109" r:id="rId12"/>
    <sheet name="13.AKÜ" sheetId="193" r:id="rId13"/>
    <sheet name="14.EU" sheetId="189" r:id="rId14"/>
  </sheets>
  <definedNames>
    <definedName name="_4._sz._sor_részletezése" localSheetId="0">#REF!</definedName>
    <definedName name="_4._sz._sor_részletezése" localSheetId="9">#REF!</definedName>
    <definedName name="_4._sz._sor_részletezése" localSheetId="10">#REF!</definedName>
    <definedName name="_4._sz._sor_részletezése" localSheetId="13">#REF!</definedName>
    <definedName name="_4._sz._sor_részletezése" localSheetId="4">#REF!</definedName>
    <definedName name="_4._sz._sor_részletezése" localSheetId="6">#REF!</definedName>
    <definedName name="_4._sz._sor_részletezése" localSheetId="7">#REF!</definedName>
    <definedName name="_4._sz._sor_részletezése" localSheetId="8">#REF!</definedName>
    <definedName name="_4._sz._sor_részletezése">#REF!</definedName>
    <definedName name="_xlnm.Print_Titles" localSheetId="0">'1.Onbe'!$4:$6</definedName>
    <definedName name="_xlnm.Print_Titles" localSheetId="9">'10.MVP és hazai'!$4:$8</definedName>
    <definedName name="_xlnm.Print_Titles" localSheetId="10">'11.EKF'!$4:$8</definedName>
    <definedName name="_xlnm.Print_Titles" localSheetId="13">'14.EU'!$6:$10</definedName>
    <definedName name="_xlnm.Print_Titles" localSheetId="1">'2.Onki'!$4:$6</definedName>
    <definedName name="_xlnm.Print_Titles" localSheetId="2">'3.Inbe '!$4:$7</definedName>
    <definedName name="_xlnm.Print_Titles" localSheetId="3">'4.Inki'!$4:$7</definedName>
    <definedName name="_xlnm.Print_Titles" localSheetId="4">'5.Infelhki'!$4:$7</definedName>
    <definedName name="_xlnm.Print_Titles" localSheetId="5">'6.Önk.műk.'!$4:$7</definedName>
    <definedName name="_xlnm.Print_Titles" localSheetId="6">'7.Beruh.'!$4:$8</definedName>
    <definedName name="_xlnm.Print_Titles" localSheetId="7">'8.Felúj.'!$4:$8</definedName>
    <definedName name="_xlnm.Print_Titles" localSheetId="8">'9.Projekt'!$4:$8</definedName>
    <definedName name="_xlnm.Print_Area" localSheetId="0">'1.Onbe'!$A$1:$L$72</definedName>
    <definedName name="_xlnm.Print_Area" localSheetId="9">'10.MVP és hazai'!$A$1:$P$40</definedName>
    <definedName name="_xlnm.Print_Area" localSheetId="10">'11.EKF'!$A$1:$Q$174</definedName>
    <definedName name="_xlnm.Print_Area" localSheetId="11">'12.Mérleg'!$A$1:$Q$37</definedName>
    <definedName name="_xlnm.Print_Area" localSheetId="13">'14.EU'!$A$1:$AB$24</definedName>
    <definedName name="_xlnm.Print_Area" localSheetId="1">'2.Onki'!$A$1:$L$45</definedName>
    <definedName name="_xlnm.Print_Area" localSheetId="2">'3.Inbe '!$A$1:$R$112</definedName>
    <definedName name="_xlnm.Print_Area" localSheetId="3">'4.Inki'!$A$1:$R$248</definedName>
    <definedName name="_xlnm.Print_Area" localSheetId="4">'5.Infelhki'!$A$1:$K$186</definedName>
    <definedName name="_xlnm.Print_Area" localSheetId="5">'6.Önk.műk.'!$A$1:$N$842</definedName>
    <definedName name="_xlnm.Print_Area" localSheetId="6">'7.Beruh.'!$A$1:$M$470</definedName>
    <definedName name="_xlnm.Print_Area" localSheetId="7">'8.Felúj.'!$A$1:$L$229</definedName>
    <definedName name="_xlnm.Print_Area" localSheetId="8">'9.Projekt'!$A$1:$P$81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8" i="113" l="1"/>
  <c r="L49" i="113"/>
  <c r="M16" i="193" l="1"/>
  <c r="L16" i="193"/>
  <c r="I16" i="193"/>
  <c r="H16" i="193"/>
  <c r="K14" i="193"/>
  <c r="N14" i="193" s="1"/>
  <c r="M12" i="193"/>
  <c r="J12" i="193"/>
  <c r="J16" i="193" s="1"/>
  <c r="N10" i="193"/>
  <c r="K10" i="193"/>
  <c r="K8" i="193"/>
  <c r="N8" i="193" s="1"/>
  <c r="K12" i="193" l="1"/>
  <c r="N12" i="193" s="1"/>
  <c r="N16" i="193" s="1"/>
  <c r="K16" i="193"/>
  <c r="L28" i="113" l="1"/>
  <c r="AB22" i="189" l="1"/>
  <c r="AB21" i="189"/>
  <c r="AB12" i="189"/>
  <c r="AA23" i="189"/>
  <c r="R23" i="189"/>
  <c r="K171" i="185"/>
  <c r="Q58" i="181"/>
  <c r="M53" i="182"/>
  <c r="Q26" i="109"/>
  <c r="Q23" i="109"/>
  <c r="Q28" i="109" s="1"/>
  <c r="P17" i="109"/>
  <c r="P26" i="109"/>
  <c r="P23" i="109"/>
  <c r="P18" i="109"/>
  <c r="P16" i="109"/>
  <c r="I26" i="109"/>
  <c r="I35" i="109" s="1"/>
  <c r="I24" i="109"/>
  <c r="H26" i="109"/>
  <c r="H24" i="109"/>
  <c r="H18" i="109"/>
  <c r="H11" i="109"/>
  <c r="E435" i="134"/>
  <c r="K835" i="105"/>
  <c r="L835" i="105"/>
  <c r="M835" i="105"/>
  <c r="N835" i="105"/>
  <c r="J835" i="105"/>
  <c r="L240" i="182"/>
  <c r="M240" i="182"/>
  <c r="N240" i="182"/>
  <c r="O240" i="182"/>
  <c r="P240" i="182"/>
  <c r="Q240" i="182"/>
  <c r="R240" i="182"/>
  <c r="K240" i="182"/>
  <c r="K226" i="182"/>
  <c r="L100" i="182"/>
  <c r="M100" i="182"/>
  <c r="N100" i="182"/>
  <c r="O100" i="182"/>
  <c r="P100" i="182"/>
  <c r="Q100" i="182"/>
  <c r="R100" i="182"/>
  <c r="K100" i="182"/>
  <c r="L62" i="182"/>
  <c r="M62" i="182"/>
  <c r="N62" i="182"/>
  <c r="O62" i="182"/>
  <c r="P62" i="182"/>
  <c r="Q62" i="182"/>
  <c r="R62" i="182"/>
  <c r="K62" i="182"/>
  <c r="J57" i="182"/>
  <c r="L41" i="182"/>
  <c r="M41" i="182"/>
  <c r="N41" i="182"/>
  <c r="O41" i="182"/>
  <c r="P41" i="182"/>
  <c r="Q41" i="182"/>
  <c r="R41" i="182"/>
  <c r="K41" i="182"/>
  <c r="K96" i="181"/>
  <c r="L96" i="181"/>
  <c r="M96" i="181"/>
  <c r="N96" i="181"/>
  <c r="O96" i="181"/>
  <c r="P96" i="181"/>
  <c r="Q96" i="181"/>
  <c r="R96" i="181"/>
  <c r="J96" i="181"/>
  <c r="K58" i="181"/>
  <c r="L58" i="181"/>
  <c r="M58" i="181"/>
  <c r="N58" i="181"/>
  <c r="O58" i="181"/>
  <c r="P58" i="181"/>
  <c r="R58" i="181"/>
  <c r="J58" i="181"/>
  <c r="P41" i="181"/>
  <c r="Q41" i="181"/>
  <c r="R41" i="181"/>
  <c r="K41" i="181"/>
  <c r="L41" i="181"/>
  <c r="M41" i="181"/>
  <c r="N41" i="181"/>
  <c r="O41" i="181"/>
  <c r="J41" i="181"/>
  <c r="I826" i="105"/>
  <c r="I823" i="105"/>
  <c r="I820" i="105"/>
  <c r="I817" i="105"/>
  <c r="J221" i="147"/>
  <c r="I221" i="147"/>
  <c r="J217" i="147"/>
  <c r="I217" i="147"/>
  <c r="I466" i="134"/>
  <c r="J462" i="134"/>
  <c r="K462" i="134"/>
  <c r="I462" i="134"/>
  <c r="I458" i="134"/>
  <c r="L454" i="134"/>
  <c r="E453" i="134" s="1"/>
  <c r="L451" i="134"/>
  <c r="E450" i="134" s="1"/>
  <c r="L448" i="134"/>
  <c r="E447" i="134" s="1"/>
  <c r="L445" i="134"/>
  <c r="E444" i="134" s="1"/>
  <c r="L442" i="134"/>
  <c r="E441" i="134" s="1"/>
  <c r="L439" i="134"/>
  <c r="E438" i="134" s="1"/>
  <c r="L436" i="134"/>
  <c r="L280" i="134"/>
  <c r="AB23" i="189" l="1"/>
  <c r="P235" i="182"/>
  <c r="L235" i="182"/>
  <c r="K235" i="182"/>
  <c r="O235" i="182"/>
  <c r="R235" i="182"/>
  <c r="N235" i="182"/>
  <c r="Q235" i="182"/>
  <c r="M235" i="182"/>
  <c r="K213" i="147"/>
  <c r="E212" i="147" s="1"/>
  <c r="K210" i="147"/>
  <c r="E209" i="147" s="1"/>
  <c r="K207" i="147"/>
  <c r="E206" i="147" s="1"/>
  <c r="K204" i="147"/>
  <c r="E203" i="147" s="1"/>
  <c r="K184" i="147"/>
  <c r="E183" i="147" s="1"/>
  <c r="J35" i="192"/>
  <c r="K35" i="192"/>
  <c r="L35" i="192"/>
  <c r="M35" i="192"/>
  <c r="N35" i="192"/>
  <c r="I35" i="192"/>
  <c r="O31" i="192"/>
  <c r="E30" i="192" s="1"/>
  <c r="I459" i="134" l="1"/>
  <c r="J463" i="134"/>
  <c r="K463" i="134"/>
  <c r="I467" i="134"/>
  <c r="I463" i="134"/>
  <c r="L452" i="134"/>
  <c r="Z22" i="189" l="1"/>
  <c r="Y22" i="189"/>
  <c r="Z21" i="189"/>
  <c r="Y21" i="189"/>
  <c r="L226" i="182" l="1"/>
  <c r="M226" i="182"/>
  <c r="N226" i="182"/>
  <c r="O226" i="182"/>
  <c r="P226" i="182"/>
  <c r="Q226" i="182"/>
  <c r="R226" i="182"/>
  <c r="I218" i="147"/>
  <c r="I222" i="147" l="1"/>
  <c r="J36" i="192"/>
  <c r="K36" i="192"/>
  <c r="L36" i="192"/>
  <c r="M36" i="192"/>
  <c r="N36" i="192"/>
  <c r="I36" i="192"/>
  <c r="O32" i="192"/>
  <c r="O29" i="192"/>
  <c r="O28" i="192"/>
  <c r="E26" i="192" s="1"/>
  <c r="O25" i="192"/>
  <c r="O24" i="192"/>
  <c r="E22" i="192" s="1"/>
  <c r="O21" i="192"/>
  <c r="O20" i="192"/>
  <c r="O17" i="192"/>
  <c r="O16" i="192"/>
  <c r="E14" i="192" s="1"/>
  <c r="O12" i="192"/>
  <c r="O11" i="192"/>
  <c r="P34" i="192"/>
  <c r="N34" i="192"/>
  <c r="M34" i="192"/>
  <c r="L34" i="192"/>
  <c r="K34" i="192"/>
  <c r="J34" i="192"/>
  <c r="I34" i="192"/>
  <c r="O27" i="192"/>
  <c r="O23" i="192"/>
  <c r="O19" i="192"/>
  <c r="F18" i="192"/>
  <c r="E18" i="192" s="1"/>
  <c r="O15" i="192"/>
  <c r="F10" i="192"/>
  <c r="E10" i="192" s="1"/>
  <c r="O36" i="192" l="1"/>
  <c r="O35" i="192"/>
  <c r="O13" i="192"/>
  <c r="O34" i="192"/>
  <c r="J222" i="147"/>
  <c r="J218" i="147"/>
  <c r="L455" i="134"/>
  <c r="L449" i="134"/>
  <c r="K214" i="147" l="1"/>
  <c r="K211" i="147"/>
  <c r="P91" i="149" l="1"/>
  <c r="K16" i="115"/>
  <c r="P13" i="109" s="1"/>
  <c r="L16" i="115"/>
  <c r="Q13" i="109" s="1"/>
  <c r="J16" i="115"/>
  <c r="K205" i="147"/>
  <c r="L446" i="134"/>
  <c r="L443" i="134"/>
  <c r="I827" i="105"/>
  <c r="L440" i="134"/>
  <c r="I824" i="105"/>
  <c r="I821" i="105"/>
  <c r="K208" i="147" l="1"/>
  <c r="L281" i="134"/>
  <c r="E279" i="134" s="1"/>
  <c r="I818" i="105" l="1"/>
  <c r="I226" i="147" l="1"/>
  <c r="K185" i="147"/>
  <c r="L437" i="134"/>
  <c r="X16" i="189" l="1"/>
  <c r="K834" i="105" l="1"/>
  <c r="L834" i="105"/>
  <c r="M834" i="105"/>
  <c r="J834" i="105"/>
  <c r="N652" i="105"/>
  <c r="I652" i="105" s="1"/>
  <c r="I814" i="105"/>
  <c r="I811" i="105"/>
  <c r="I808" i="105"/>
  <c r="I805" i="105"/>
  <c r="I802" i="105"/>
  <c r="I799" i="105"/>
  <c r="I795" i="105"/>
  <c r="I791" i="105"/>
  <c r="I787" i="105"/>
  <c r="I783" i="105"/>
  <c r="I779" i="105"/>
  <c r="I775" i="105"/>
  <c r="I771" i="105"/>
  <c r="I767" i="105"/>
  <c r="I763" i="105"/>
  <c r="N834" i="105" l="1"/>
  <c r="I759" i="105"/>
  <c r="I755" i="105"/>
  <c r="I751" i="105"/>
  <c r="I747" i="105"/>
  <c r="I743" i="105"/>
  <c r="I739" i="105"/>
  <c r="I735" i="105"/>
  <c r="I728" i="105"/>
  <c r="I722" i="105"/>
  <c r="I716" i="105"/>
  <c r="I712" i="105"/>
  <c r="I706" i="105"/>
  <c r="I700" i="105"/>
  <c r="I696" i="105"/>
  <c r="I691" i="105"/>
  <c r="I687" i="105"/>
  <c r="I683" i="105"/>
  <c r="I678" i="105"/>
  <c r="I672" i="105"/>
  <c r="I668" i="105"/>
  <c r="I664" i="105"/>
  <c r="I660" i="105"/>
  <c r="I656" i="105"/>
  <c r="I648" i="105"/>
  <c r="I644" i="105"/>
  <c r="I640" i="105"/>
  <c r="I636" i="105"/>
  <c r="I632" i="105"/>
  <c r="I628" i="105"/>
  <c r="I624" i="105"/>
  <c r="I620" i="105"/>
  <c r="I616" i="105"/>
  <c r="I612" i="105"/>
  <c r="I608" i="105"/>
  <c r="I604" i="105"/>
  <c r="I600" i="105"/>
  <c r="I596" i="105"/>
  <c r="I592" i="105"/>
  <c r="I588" i="105"/>
  <c r="I584" i="105"/>
  <c r="I580" i="105"/>
  <c r="I576" i="105"/>
  <c r="I571" i="105"/>
  <c r="I567" i="105"/>
  <c r="I563" i="105"/>
  <c r="I559" i="105"/>
  <c r="I555" i="105"/>
  <c r="I550" i="105"/>
  <c r="I546" i="105"/>
  <c r="I542" i="105"/>
  <c r="I538" i="105"/>
  <c r="I533" i="105"/>
  <c r="I529" i="105"/>
  <c r="I525" i="105"/>
  <c r="I521" i="105"/>
  <c r="I517" i="105"/>
  <c r="I513" i="105"/>
  <c r="I509" i="105"/>
  <c r="I505" i="105"/>
  <c r="I501" i="105"/>
  <c r="I497" i="105"/>
  <c r="I492" i="105"/>
  <c r="I488" i="105"/>
  <c r="I484" i="105"/>
  <c r="I480" i="105"/>
  <c r="I476" i="105"/>
  <c r="I472" i="105"/>
  <c r="I468" i="105"/>
  <c r="I834" i="105" l="1"/>
  <c r="I464" i="105"/>
  <c r="I460" i="105"/>
  <c r="I456" i="105"/>
  <c r="I452" i="105"/>
  <c r="I448" i="105"/>
  <c r="I444" i="105"/>
  <c r="I439" i="105"/>
  <c r="I435" i="105"/>
  <c r="I430" i="105"/>
  <c r="I426" i="105"/>
  <c r="I422" i="105"/>
  <c r="I417" i="105"/>
  <c r="I413" i="105"/>
  <c r="I409" i="105"/>
  <c r="I404" i="105"/>
  <c r="I400" i="105"/>
  <c r="I396" i="105"/>
  <c r="I392" i="105"/>
  <c r="K347" i="105"/>
  <c r="L347" i="105"/>
  <c r="M347" i="105"/>
  <c r="N347" i="105"/>
  <c r="J347" i="105"/>
  <c r="I388" i="105"/>
  <c r="I384" i="105"/>
  <c r="I380" i="105"/>
  <c r="I376" i="105"/>
  <c r="I372" i="105"/>
  <c r="I368" i="105"/>
  <c r="I364" i="105"/>
  <c r="I360" i="105"/>
  <c r="I356" i="105"/>
  <c r="I351" i="105"/>
  <c r="I343" i="105"/>
  <c r="I339" i="105"/>
  <c r="K307" i="105"/>
  <c r="L307" i="105"/>
  <c r="M307" i="105"/>
  <c r="N307" i="105"/>
  <c r="J307" i="105"/>
  <c r="I334" i="105"/>
  <c r="I330" i="105"/>
  <c r="I327" i="105"/>
  <c r="I324" i="105"/>
  <c r="I320" i="105"/>
  <c r="I316" i="105"/>
  <c r="I312" i="105"/>
  <c r="K283" i="105"/>
  <c r="L283" i="105"/>
  <c r="M283" i="105"/>
  <c r="N283" i="105"/>
  <c r="J283" i="105"/>
  <c r="I303" i="105"/>
  <c r="I299" i="105"/>
  <c r="I295" i="105"/>
  <c r="I291" i="105"/>
  <c r="I287" i="105"/>
  <c r="I279" i="105"/>
  <c r="I275" i="105"/>
  <c r="I271" i="105"/>
  <c r="I267" i="105"/>
  <c r="I262" i="105"/>
  <c r="I258" i="105"/>
  <c r="I252" i="105"/>
  <c r="I249" i="105"/>
  <c r="I245" i="105"/>
  <c r="I240" i="105"/>
  <c r="I236" i="105"/>
  <c r="I232" i="105"/>
  <c r="K204" i="105"/>
  <c r="L204" i="105"/>
  <c r="M204" i="105"/>
  <c r="N204" i="105"/>
  <c r="J204" i="105"/>
  <c r="I228" i="105"/>
  <c r="I224" i="105"/>
  <c r="I220" i="105"/>
  <c r="I216" i="105"/>
  <c r="I212" i="105"/>
  <c r="I208" i="105"/>
  <c r="I199" i="105"/>
  <c r="I195" i="105"/>
  <c r="I191" i="105"/>
  <c r="I187" i="105"/>
  <c r="K137" i="105"/>
  <c r="L137" i="105"/>
  <c r="M137" i="105"/>
  <c r="N137" i="105"/>
  <c r="J137" i="105"/>
  <c r="I183" i="105"/>
  <c r="I179" i="105"/>
  <c r="I175" i="105"/>
  <c r="I171" i="105"/>
  <c r="I167" i="105"/>
  <c r="I163" i="105"/>
  <c r="I159" i="105"/>
  <c r="I153" i="105"/>
  <c r="I149" i="105"/>
  <c r="I145" i="105"/>
  <c r="I141" i="105"/>
  <c r="I133" i="105"/>
  <c r="I129" i="105"/>
  <c r="I125" i="105"/>
  <c r="I121" i="105"/>
  <c r="K74" i="105"/>
  <c r="L74" i="105"/>
  <c r="M74" i="105"/>
  <c r="N74" i="105"/>
  <c r="J74" i="105"/>
  <c r="I117" i="105"/>
  <c r="I114" i="105"/>
  <c r="I110" i="105"/>
  <c r="I106" i="105"/>
  <c r="I102" i="105"/>
  <c r="I98" i="105"/>
  <c r="I94" i="105"/>
  <c r="I90" i="105"/>
  <c r="I86" i="105"/>
  <c r="I82" i="105"/>
  <c r="I78" i="105"/>
  <c r="K31" i="105"/>
  <c r="L31" i="105"/>
  <c r="M31" i="105"/>
  <c r="N31" i="105"/>
  <c r="J31" i="105"/>
  <c r="I70" i="105"/>
  <c r="I67" i="105"/>
  <c r="I63" i="105"/>
  <c r="I59" i="105"/>
  <c r="I55" i="105"/>
  <c r="I51" i="105"/>
  <c r="I47" i="105"/>
  <c r="I43" i="105"/>
  <c r="I39" i="105"/>
  <c r="I35" i="105"/>
  <c r="I27" i="105"/>
  <c r="I23" i="105"/>
  <c r="I19" i="105"/>
  <c r="I15" i="105"/>
  <c r="I11" i="105"/>
  <c r="I465" i="134"/>
  <c r="I461" i="134"/>
  <c r="L433" i="134"/>
  <c r="E432" i="134" s="1"/>
  <c r="L430" i="134"/>
  <c r="E429" i="134" s="1"/>
  <c r="L427" i="134"/>
  <c r="E426" i="134" s="1"/>
  <c r="L424" i="134"/>
  <c r="E423" i="134" s="1"/>
  <c r="L421" i="134"/>
  <c r="E420" i="134" s="1"/>
  <c r="L418" i="134"/>
  <c r="E417" i="134" s="1"/>
  <c r="L415" i="134"/>
  <c r="E414" i="134" s="1"/>
  <c r="L412" i="134"/>
  <c r="E411" i="134" s="1"/>
  <c r="L409" i="134"/>
  <c r="L404" i="134"/>
  <c r="E402" i="134" s="1"/>
  <c r="L400" i="134"/>
  <c r="E398" i="134" s="1"/>
  <c r="L396" i="134"/>
  <c r="E394" i="134" s="1"/>
  <c r="L392" i="134"/>
  <c r="E390" i="134" s="1"/>
  <c r="L388" i="134"/>
  <c r="E386" i="134" s="1"/>
  <c r="L384" i="134"/>
  <c r="E382" i="134" s="1"/>
  <c r="L380" i="134"/>
  <c r="E378" i="134" s="1"/>
  <c r="L376" i="134"/>
  <c r="E374" i="134" s="1"/>
  <c r="L372" i="134"/>
  <c r="E370" i="134" s="1"/>
  <c r="L368" i="134"/>
  <c r="E366" i="134" s="1"/>
  <c r="L364" i="134"/>
  <c r="E362" i="134" s="1"/>
  <c r="L360" i="134"/>
  <c r="E358" i="134" s="1"/>
  <c r="L356" i="134"/>
  <c r="E354" i="134" s="1"/>
  <c r="L352" i="134"/>
  <c r="E350" i="134" s="1"/>
  <c r="L348" i="134"/>
  <c r="E346" i="134" s="1"/>
  <c r="L344" i="134"/>
  <c r="E342" i="134" s="1"/>
  <c r="L340" i="134"/>
  <c r="E338" i="134" s="1"/>
  <c r="L336" i="134"/>
  <c r="E334" i="134" s="1"/>
  <c r="L332" i="134"/>
  <c r="E330" i="134" s="1"/>
  <c r="L328" i="134"/>
  <c r="E326" i="134" s="1"/>
  <c r="L324" i="134"/>
  <c r="E322" i="134" s="1"/>
  <c r="L320" i="134"/>
  <c r="L316" i="134"/>
  <c r="E314" i="134" s="1"/>
  <c r="L312" i="134"/>
  <c r="E310" i="134" s="1"/>
  <c r="L308" i="134"/>
  <c r="E306" i="134" s="1"/>
  <c r="L304" i="134"/>
  <c r="E302" i="134" s="1"/>
  <c r="L300" i="134"/>
  <c r="E298" i="134" s="1"/>
  <c r="L296" i="134"/>
  <c r="E294" i="134" s="1"/>
  <c r="L292" i="134"/>
  <c r="E290" i="134" s="1"/>
  <c r="L288" i="134"/>
  <c r="E286" i="134" s="1"/>
  <c r="L284" i="134"/>
  <c r="E282" i="134" s="1"/>
  <c r="L277" i="134"/>
  <c r="E275" i="134" s="1"/>
  <c r="L273" i="134"/>
  <c r="E271" i="134" s="1"/>
  <c r="L269" i="134"/>
  <c r="E267" i="134" s="1"/>
  <c r="L265" i="134"/>
  <c r="E263" i="134" s="1"/>
  <c r="L261" i="134"/>
  <c r="E259" i="134" s="1"/>
  <c r="L257" i="134"/>
  <c r="E255" i="134" s="1"/>
  <c r="L253" i="134"/>
  <c r="E251" i="134" s="1"/>
  <c r="L249" i="134"/>
  <c r="E247" i="134" s="1"/>
  <c r="L245" i="134"/>
  <c r="E243" i="134" s="1"/>
  <c r="L241" i="134"/>
  <c r="E239" i="134" s="1"/>
  <c r="L237" i="134"/>
  <c r="E235" i="134" s="1"/>
  <c r="L233" i="134"/>
  <c r="E231" i="134" s="1"/>
  <c r="L229" i="134"/>
  <c r="E227" i="134" s="1"/>
  <c r="L225" i="134"/>
  <c r="E223" i="134" s="1"/>
  <c r="L221" i="134"/>
  <c r="E219" i="134" s="1"/>
  <c r="L217" i="134"/>
  <c r="E215" i="134" s="1"/>
  <c r="L213" i="134"/>
  <c r="E211" i="134" s="1"/>
  <c r="L209" i="134"/>
  <c r="E207" i="134" s="1"/>
  <c r="L205" i="134"/>
  <c r="E203" i="134" s="1"/>
  <c r="L201" i="134"/>
  <c r="E199" i="134" s="1"/>
  <c r="L197" i="134"/>
  <c r="E195" i="134" s="1"/>
  <c r="L193" i="134"/>
  <c r="E191" i="134" s="1"/>
  <c r="L189" i="134"/>
  <c r="E187" i="134" s="1"/>
  <c r="L185" i="134"/>
  <c r="E183" i="134" s="1"/>
  <c r="L181" i="134"/>
  <c r="E179" i="134" s="1"/>
  <c r="L177" i="134"/>
  <c r="E175" i="134" s="1"/>
  <c r="L173" i="134"/>
  <c r="E171" i="134" s="1"/>
  <c r="L168" i="134"/>
  <c r="E166" i="134" s="1"/>
  <c r="L164" i="134"/>
  <c r="E162" i="134" s="1"/>
  <c r="L160" i="134"/>
  <c r="E158" i="134" s="1"/>
  <c r="K830" i="105" l="1"/>
  <c r="J830" i="105"/>
  <c r="L838" i="105"/>
  <c r="N830" i="105"/>
  <c r="J838" i="105"/>
  <c r="K838" i="105"/>
  <c r="M830" i="105"/>
  <c r="P11" i="109" s="1"/>
  <c r="M838" i="105"/>
  <c r="N838" i="105"/>
  <c r="L830" i="105"/>
  <c r="I347" i="105"/>
  <c r="I307" i="105"/>
  <c r="I283" i="105"/>
  <c r="I204" i="105"/>
  <c r="I137" i="105"/>
  <c r="I74" i="105"/>
  <c r="I31" i="105"/>
  <c r="L462" i="134"/>
  <c r="K68" i="134"/>
  <c r="J68" i="134"/>
  <c r="L156" i="134"/>
  <c r="E155" i="134" s="1"/>
  <c r="L153" i="134"/>
  <c r="E152" i="134" s="1"/>
  <c r="L150" i="134"/>
  <c r="E149" i="134" s="1"/>
  <c r="L147" i="134"/>
  <c r="E146" i="134" s="1"/>
  <c r="L144" i="134"/>
  <c r="E143" i="134" s="1"/>
  <c r="L141" i="134"/>
  <c r="E140" i="134" s="1"/>
  <c r="L138" i="134"/>
  <c r="E137" i="134" s="1"/>
  <c r="L135" i="134"/>
  <c r="E134" i="134" s="1"/>
  <c r="L132" i="134"/>
  <c r="E131" i="134" s="1"/>
  <c r="L129" i="134"/>
  <c r="E128" i="134" s="1"/>
  <c r="L126" i="134"/>
  <c r="E125" i="134" s="1"/>
  <c r="L123" i="134"/>
  <c r="E122" i="134" s="1"/>
  <c r="L120" i="134"/>
  <c r="E119" i="134" s="1"/>
  <c r="L117" i="134"/>
  <c r="E116" i="134" s="1"/>
  <c r="L114" i="134"/>
  <c r="E113" i="134" s="1"/>
  <c r="L111" i="134"/>
  <c r="E110" i="134" s="1"/>
  <c r="L108" i="134"/>
  <c r="E106" i="134" s="1"/>
  <c r="L104" i="134"/>
  <c r="E102" i="134" s="1"/>
  <c r="L100" i="134"/>
  <c r="E98" i="134" s="1"/>
  <c r="L96" i="134"/>
  <c r="E94" i="134" s="1"/>
  <c r="L92" i="134"/>
  <c r="E90" i="134" s="1"/>
  <c r="L88" i="134"/>
  <c r="E86" i="134" s="1"/>
  <c r="L84" i="134"/>
  <c r="E82" i="134" s="1"/>
  <c r="L80" i="134"/>
  <c r="E78" i="134" s="1"/>
  <c r="L76" i="134"/>
  <c r="E74" i="134" s="1"/>
  <c r="L72" i="134"/>
  <c r="E70" i="134" s="1"/>
  <c r="L64" i="134"/>
  <c r="E62" i="134" s="1"/>
  <c r="L60" i="134"/>
  <c r="L56" i="134"/>
  <c r="E54" i="134" s="1"/>
  <c r="L52" i="134"/>
  <c r="E50" i="134" s="1"/>
  <c r="L48" i="134"/>
  <c r="E46" i="134" s="1"/>
  <c r="L44" i="134"/>
  <c r="E42" i="134" s="1"/>
  <c r="L40" i="134"/>
  <c r="E38" i="134" s="1"/>
  <c r="L36" i="134"/>
  <c r="E34" i="134" s="1"/>
  <c r="L32" i="134"/>
  <c r="L28" i="134"/>
  <c r="L20" i="134"/>
  <c r="E18" i="134" s="1"/>
  <c r="L16" i="134"/>
  <c r="E14" i="134" s="1"/>
  <c r="L12" i="134"/>
  <c r="K466" i="134" l="1"/>
  <c r="K458" i="134"/>
  <c r="J466" i="134"/>
  <c r="J458" i="134"/>
  <c r="I838" i="105"/>
  <c r="I830" i="105"/>
  <c r="L68" i="134"/>
  <c r="J225" i="147"/>
  <c r="I225" i="147"/>
  <c r="K201" i="147"/>
  <c r="E200" i="147" s="1"/>
  <c r="K198" i="147"/>
  <c r="E196" i="147" s="1"/>
  <c r="K194" i="147"/>
  <c r="E192" i="147" s="1"/>
  <c r="K190" i="147"/>
  <c r="E188" i="147" s="1"/>
  <c r="K181" i="147"/>
  <c r="E179" i="147" s="1"/>
  <c r="K176" i="147"/>
  <c r="E174" i="147" s="1"/>
  <c r="K172" i="147"/>
  <c r="E170" i="147" s="1"/>
  <c r="K166" i="147"/>
  <c r="E164" i="147" s="1"/>
  <c r="K162" i="147"/>
  <c r="E160" i="147" s="1"/>
  <c r="K157" i="147"/>
  <c r="E155" i="147" s="1"/>
  <c r="K153" i="147"/>
  <c r="E151" i="147" s="1"/>
  <c r="K148" i="147"/>
  <c r="E146" i="147" s="1"/>
  <c r="K143" i="147"/>
  <c r="E141" i="147" s="1"/>
  <c r="K138" i="147"/>
  <c r="E136" i="147" s="1"/>
  <c r="K134" i="147"/>
  <c r="E132" i="147" s="1"/>
  <c r="K130" i="147"/>
  <c r="E128" i="147" s="1"/>
  <c r="K126" i="147"/>
  <c r="E124" i="147" s="1"/>
  <c r="K121" i="147"/>
  <c r="E119" i="147" s="1"/>
  <c r="K116" i="147"/>
  <c r="E114" i="147" s="1"/>
  <c r="K112" i="147"/>
  <c r="E110" i="147" s="1"/>
  <c r="K108" i="147"/>
  <c r="E106" i="147" s="1"/>
  <c r="K103" i="147"/>
  <c r="E101" i="147" s="1"/>
  <c r="K99" i="147"/>
  <c r="E97" i="147" s="1"/>
  <c r="K95" i="147"/>
  <c r="E93" i="147" s="1"/>
  <c r="K88" i="147"/>
  <c r="E86" i="147" s="1"/>
  <c r="K83" i="147"/>
  <c r="E81" i="147" s="1"/>
  <c r="K78" i="147"/>
  <c r="E76" i="147" s="1"/>
  <c r="K72" i="147"/>
  <c r="E70" i="147" s="1"/>
  <c r="K68" i="147"/>
  <c r="E66" i="147" s="1"/>
  <c r="K64" i="147"/>
  <c r="E62" i="147" s="1"/>
  <c r="K60" i="147"/>
  <c r="E58" i="147" s="1"/>
  <c r="K56" i="147"/>
  <c r="E54" i="147" s="1"/>
  <c r="K52" i="147"/>
  <c r="E50" i="147" s="1"/>
  <c r="K48" i="147"/>
  <c r="E46" i="147" s="1"/>
  <c r="K44" i="147"/>
  <c r="E42" i="147" s="1"/>
  <c r="K40" i="147"/>
  <c r="E38" i="147" s="1"/>
  <c r="K36" i="147"/>
  <c r="E34" i="147" s="1"/>
  <c r="K32" i="147"/>
  <c r="E30" i="147" s="1"/>
  <c r="K28" i="147"/>
  <c r="E26" i="147" s="1"/>
  <c r="K24" i="147"/>
  <c r="E22" i="147" s="1"/>
  <c r="K20" i="147"/>
  <c r="E18" i="147" s="1"/>
  <c r="K16" i="147"/>
  <c r="E14" i="147" s="1"/>
  <c r="K12" i="147"/>
  <c r="E10" i="147" s="1"/>
  <c r="L458" i="134" l="1"/>
  <c r="E66" i="134"/>
  <c r="K217" i="147"/>
  <c r="K225" i="147"/>
  <c r="K221" i="147"/>
  <c r="L466" i="134"/>
  <c r="P165" i="149"/>
  <c r="E163" i="149" s="1"/>
  <c r="P160" i="149"/>
  <c r="E158" i="149" s="1"/>
  <c r="P155" i="149"/>
  <c r="E153" i="149" s="1"/>
  <c r="P150" i="149"/>
  <c r="E148" i="149" s="1"/>
  <c r="P145" i="149"/>
  <c r="E143" i="149" s="1"/>
  <c r="P140" i="149"/>
  <c r="E138" i="149" s="1"/>
  <c r="P135" i="149"/>
  <c r="E133" i="149" s="1"/>
  <c r="P130" i="149"/>
  <c r="E128" i="149" s="1"/>
  <c r="P125" i="149"/>
  <c r="E123" i="149" s="1"/>
  <c r="P120" i="149"/>
  <c r="E118" i="149" s="1"/>
  <c r="P115" i="149"/>
  <c r="E113" i="149" s="1"/>
  <c r="P110" i="149"/>
  <c r="E108" i="149" s="1"/>
  <c r="P105" i="149"/>
  <c r="E103" i="149" s="1"/>
  <c r="P100" i="149"/>
  <c r="E98" i="149" s="1"/>
  <c r="P95" i="149"/>
  <c r="E93" i="149" s="1"/>
  <c r="P90" i="149"/>
  <c r="E88" i="149" s="1"/>
  <c r="P85" i="149"/>
  <c r="E83" i="149" s="1"/>
  <c r="P80" i="149"/>
  <c r="E78" i="149" s="1"/>
  <c r="P75" i="149"/>
  <c r="E73" i="149" s="1"/>
  <c r="P70" i="149"/>
  <c r="E68" i="149" s="1"/>
  <c r="P65" i="149"/>
  <c r="E63" i="149" s="1"/>
  <c r="P60" i="149"/>
  <c r="E58" i="149" s="1"/>
  <c r="J55" i="149"/>
  <c r="K55" i="149"/>
  <c r="L55" i="149"/>
  <c r="M55" i="149"/>
  <c r="N55" i="149"/>
  <c r="O55" i="149"/>
  <c r="I55" i="149"/>
  <c r="P51" i="149"/>
  <c r="E49" i="149" s="1"/>
  <c r="P44" i="149"/>
  <c r="E42" i="149" s="1"/>
  <c r="P39" i="149"/>
  <c r="E37" i="149" s="1"/>
  <c r="P33" i="149"/>
  <c r="E31" i="149" s="1"/>
  <c r="P28" i="149"/>
  <c r="E26" i="149" s="1"/>
  <c r="J24" i="149"/>
  <c r="K24" i="149"/>
  <c r="L24" i="149"/>
  <c r="M24" i="149"/>
  <c r="N24" i="149"/>
  <c r="O24" i="149"/>
  <c r="I24" i="149"/>
  <c r="P20" i="149"/>
  <c r="E18" i="149" s="1"/>
  <c r="P13" i="149"/>
  <c r="E11" i="149" s="1"/>
  <c r="J76" i="144"/>
  <c r="K76" i="144"/>
  <c r="L76" i="144"/>
  <c r="M76" i="144"/>
  <c r="N76" i="144"/>
  <c r="I76" i="144"/>
  <c r="O72" i="144"/>
  <c r="E70" i="144" s="1"/>
  <c r="O68" i="144"/>
  <c r="E66" i="144" s="1"/>
  <c r="O64" i="144"/>
  <c r="E62" i="144" s="1"/>
  <c r="O60" i="144"/>
  <c r="E58" i="144" s="1"/>
  <c r="O56" i="144"/>
  <c r="E54" i="144" s="1"/>
  <c r="O52" i="144"/>
  <c r="E50" i="144" s="1"/>
  <c r="O48" i="144"/>
  <c r="E46" i="144" s="1"/>
  <c r="O44" i="144"/>
  <c r="O40" i="144"/>
  <c r="O36" i="144"/>
  <c r="O32" i="144"/>
  <c r="O28" i="144"/>
  <c r="O24" i="144"/>
  <c r="O20" i="144"/>
  <c r="O16" i="144"/>
  <c r="O12" i="144"/>
  <c r="E10" i="144" s="1"/>
  <c r="I107" i="181"/>
  <c r="O169" i="149" l="1"/>
  <c r="K169" i="149"/>
  <c r="N169" i="149"/>
  <c r="J169" i="149"/>
  <c r="M169" i="149"/>
  <c r="I169" i="149"/>
  <c r="L169" i="149"/>
  <c r="P55" i="149"/>
  <c r="P24" i="149"/>
  <c r="O76" i="144"/>
  <c r="I99" i="181"/>
  <c r="K95" i="181"/>
  <c r="L95" i="181"/>
  <c r="M95" i="181"/>
  <c r="N95" i="181"/>
  <c r="O95" i="181"/>
  <c r="P95" i="181"/>
  <c r="Q95" i="181"/>
  <c r="R95" i="181"/>
  <c r="J95" i="181"/>
  <c r="I91" i="181"/>
  <c r="I84" i="181"/>
  <c r="I77" i="181"/>
  <c r="I72" i="181"/>
  <c r="I67" i="181"/>
  <c r="I61" i="181"/>
  <c r="K57" i="181"/>
  <c r="L57" i="181"/>
  <c r="M57" i="181"/>
  <c r="N57" i="181"/>
  <c r="O57" i="181"/>
  <c r="P57" i="181"/>
  <c r="Q57" i="181"/>
  <c r="R57" i="181"/>
  <c r="J57" i="181"/>
  <c r="I52" i="181"/>
  <c r="I48" i="181"/>
  <c r="I44" i="181"/>
  <c r="K40" i="181"/>
  <c r="L40" i="181"/>
  <c r="M40" i="181"/>
  <c r="N40" i="181"/>
  <c r="O40" i="181"/>
  <c r="P40" i="181"/>
  <c r="Q40" i="181"/>
  <c r="R40" i="181"/>
  <c r="J40" i="181"/>
  <c r="I36" i="181"/>
  <c r="I31" i="181"/>
  <c r="I26" i="181"/>
  <c r="I21" i="181"/>
  <c r="I16" i="181"/>
  <c r="I11" i="181"/>
  <c r="L239" i="182"/>
  <c r="M239" i="182"/>
  <c r="N239" i="182"/>
  <c r="O239" i="182"/>
  <c r="P239" i="182"/>
  <c r="Q239" i="182"/>
  <c r="R239" i="182"/>
  <c r="K239" i="182"/>
  <c r="L225" i="182"/>
  <c r="L244" i="182" s="1"/>
  <c r="M225" i="182"/>
  <c r="M244" i="182" s="1"/>
  <c r="N225" i="182"/>
  <c r="N244" i="182" s="1"/>
  <c r="O225" i="182"/>
  <c r="O244" i="182" s="1"/>
  <c r="P225" i="182"/>
  <c r="P244" i="182" s="1"/>
  <c r="Q225" i="182"/>
  <c r="Q244" i="182" s="1"/>
  <c r="R225" i="182"/>
  <c r="R244" i="182" s="1"/>
  <c r="K225" i="182"/>
  <c r="K244" i="182" s="1"/>
  <c r="J188" i="182"/>
  <c r="J185" i="182"/>
  <c r="J182" i="182"/>
  <c r="J178" i="182"/>
  <c r="J174" i="182"/>
  <c r="J170" i="182"/>
  <c r="J166" i="182"/>
  <c r="J162" i="182"/>
  <c r="J158" i="182"/>
  <c r="J154" i="182"/>
  <c r="J150" i="182"/>
  <c r="J146" i="182"/>
  <c r="J142" i="182"/>
  <c r="J138" i="182"/>
  <c r="J134" i="182"/>
  <c r="J130" i="182"/>
  <c r="J126" i="182"/>
  <c r="J122" i="182"/>
  <c r="J118" i="182"/>
  <c r="J112" i="182"/>
  <c r="J103" i="182"/>
  <c r="L99" i="182"/>
  <c r="M99" i="182"/>
  <c r="N99" i="182"/>
  <c r="O99" i="182"/>
  <c r="P99" i="182"/>
  <c r="Q99" i="182"/>
  <c r="R99" i="182"/>
  <c r="K99" i="182"/>
  <c r="J95" i="182"/>
  <c r="J88" i="182"/>
  <c r="J81" i="182"/>
  <c r="J76" i="182"/>
  <c r="J71" i="182"/>
  <c r="J65" i="182"/>
  <c r="L61" i="182"/>
  <c r="M61" i="182"/>
  <c r="N61" i="182"/>
  <c r="O61" i="182"/>
  <c r="P61" i="182"/>
  <c r="Q61" i="182"/>
  <c r="R61" i="182"/>
  <c r="K61" i="182"/>
  <c r="J56" i="182"/>
  <c r="J52" i="182"/>
  <c r="J48" i="182"/>
  <c r="J44" i="182"/>
  <c r="L40" i="182"/>
  <c r="M40" i="182"/>
  <c r="N40" i="182"/>
  <c r="O40" i="182"/>
  <c r="P40" i="182"/>
  <c r="Q40" i="182"/>
  <c r="Q234" i="182" s="1"/>
  <c r="R40" i="182"/>
  <c r="K40" i="182"/>
  <c r="J36" i="182"/>
  <c r="J31" i="182"/>
  <c r="J26" i="182"/>
  <c r="J21" i="182"/>
  <c r="J16" i="182"/>
  <c r="K39" i="115"/>
  <c r="K35" i="115"/>
  <c r="K31" i="115"/>
  <c r="K25" i="115"/>
  <c r="L25" i="115"/>
  <c r="Q19" i="109" s="1"/>
  <c r="J25" i="115"/>
  <c r="J11" i="182"/>
  <c r="J178" i="185"/>
  <c r="J156" i="185"/>
  <c r="K9" i="115"/>
  <c r="K22" i="113"/>
  <c r="K21" i="113" s="1"/>
  <c r="H9" i="109" s="1"/>
  <c r="K9" i="113"/>
  <c r="K8" i="113" s="1"/>
  <c r="H8" i="109" s="1"/>
  <c r="K68" i="113"/>
  <c r="K64" i="113"/>
  <c r="H27" i="109" s="1"/>
  <c r="K60" i="113"/>
  <c r="H23" i="109" s="1"/>
  <c r="K53" i="113"/>
  <c r="K48" i="113"/>
  <c r="H17" i="109" s="1"/>
  <c r="K44" i="113"/>
  <c r="H16" i="109" s="1"/>
  <c r="J33" i="113"/>
  <c r="K33" i="113"/>
  <c r="H10" i="109" s="1"/>
  <c r="P69" i="149"/>
  <c r="P116" i="149"/>
  <c r="P114" i="149"/>
  <c r="P75" i="144"/>
  <c r="F135" i="105"/>
  <c r="G305" i="105"/>
  <c r="G135" i="105"/>
  <c r="K15" i="115" l="1"/>
  <c r="K13" i="115" s="1"/>
  <c r="P19" i="109"/>
  <c r="R234" i="182"/>
  <c r="N234" i="182"/>
  <c r="M234" i="182"/>
  <c r="P169" i="149"/>
  <c r="K43" i="113"/>
  <c r="R103" i="181"/>
  <c r="R111" i="181" s="1"/>
  <c r="N103" i="181"/>
  <c r="N111" i="181" s="1"/>
  <c r="P234" i="182"/>
  <c r="L234" i="182"/>
  <c r="K234" i="182"/>
  <c r="O234" i="182"/>
  <c r="Q103" i="181"/>
  <c r="Q111" i="181" s="1"/>
  <c r="M103" i="181"/>
  <c r="M111" i="181" s="1"/>
  <c r="J244" i="182"/>
  <c r="J239" i="182"/>
  <c r="J103" i="181"/>
  <c r="J111" i="181" s="1"/>
  <c r="O103" i="181"/>
  <c r="O111" i="181" s="1"/>
  <c r="K103" i="181"/>
  <c r="K111" i="181" s="1"/>
  <c r="P103" i="181"/>
  <c r="P111" i="181" s="1"/>
  <c r="L103" i="181"/>
  <c r="L111" i="181" s="1"/>
  <c r="I95" i="181"/>
  <c r="I57" i="181"/>
  <c r="I40" i="181"/>
  <c r="J225" i="182"/>
  <c r="P107" i="182"/>
  <c r="P229" i="182" s="1"/>
  <c r="K107" i="182"/>
  <c r="K229" i="182" s="1"/>
  <c r="P8" i="109" s="1"/>
  <c r="O107" i="182"/>
  <c r="O229" i="182" s="1"/>
  <c r="P12" i="109" s="1"/>
  <c r="J99" i="182"/>
  <c r="L107" i="182"/>
  <c r="L229" i="182" s="1"/>
  <c r="P9" i="109" s="1"/>
  <c r="R107" i="182"/>
  <c r="R229" i="182" s="1"/>
  <c r="Q107" i="182"/>
  <c r="Q229" i="182" s="1"/>
  <c r="M107" i="182"/>
  <c r="M229" i="182" s="1"/>
  <c r="P10" i="109" s="1"/>
  <c r="N107" i="182"/>
  <c r="N229" i="182" s="1"/>
  <c r="J61" i="182"/>
  <c r="J40" i="182"/>
  <c r="J179" i="185"/>
  <c r="J183" i="185" s="1"/>
  <c r="K7" i="113"/>
  <c r="K59" i="113"/>
  <c r="K57" i="113" s="1"/>
  <c r="P14" i="109" l="1"/>
  <c r="K55" i="113"/>
  <c r="K72" i="113" s="1"/>
  <c r="J234" i="182"/>
  <c r="I103" i="181"/>
  <c r="I111" i="181" s="1"/>
  <c r="J229" i="182"/>
  <c r="J107" i="182"/>
  <c r="F34" i="109" l="1"/>
  <c r="F305" i="105"/>
  <c r="E305" i="105"/>
  <c r="K32" i="105" l="1"/>
  <c r="L32" i="105"/>
  <c r="M32" i="105"/>
  <c r="N32" i="105"/>
  <c r="J32" i="105"/>
  <c r="I71" i="105"/>
  <c r="K202" i="147" l="1"/>
  <c r="J69" i="134"/>
  <c r="L118" i="134"/>
  <c r="L112" i="134"/>
  <c r="L115" i="134"/>
  <c r="L148" i="134"/>
  <c r="L145" i="134"/>
  <c r="L142" i="134"/>
  <c r="L139" i="134"/>
  <c r="L136" i="134"/>
  <c r="L133" i="134"/>
  <c r="L130" i="134"/>
  <c r="J459" i="134" l="1"/>
  <c r="J467" i="134"/>
  <c r="L151" i="134" l="1"/>
  <c r="L157" i="134"/>
  <c r="L154" i="134"/>
  <c r="I223" i="182" l="1"/>
  <c r="I33" i="113" l="1"/>
  <c r="I62" i="181"/>
  <c r="L127" i="134" l="1"/>
  <c r="K69" i="134"/>
  <c r="L121" i="134"/>
  <c r="K467" i="134" l="1"/>
  <c r="K459" i="134"/>
  <c r="L124" i="134"/>
  <c r="J104" i="181" l="1"/>
  <c r="J112" i="181" s="1"/>
  <c r="L38" i="113" s="1"/>
  <c r="I815" i="105"/>
  <c r="I812" i="105"/>
  <c r="I809" i="105"/>
  <c r="I806" i="105"/>
  <c r="I803" i="105"/>
  <c r="L434" i="134"/>
  <c r="L431" i="134"/>
  <c r="L428" i="134"/>
  <c r="L425" i="134"/>
  <c r="L422" i="134"/>
  <c r="L419" i="134"/>
  <c r="K75" i="105"/>
  <c r="L75" i="105"/>
  <c r="M75" i="105"/>
  <c r="J75" i="105"/>
  <c r="I118" i="105"/>
  <c r="I253" i="105"/>
  <c r="K308" i="105"/>
  <c r="M308" i="105"/>
  <c r="N308" i="105"/>
  <c r="J308" i="105"/>
  <c r="I331" i="105"/>
  <c r="P71" i="149" l="1"/>
  <c r="P81" i="149"/>
  <c r="J189" i="182" l="1"/>
  <c r="J186" i="182"/>
  <c r="I328" i="105" l="1"/>
  <c r="Y16" i="189"/>
  <c r="G22" i="149"/>
  <c r="L416" i="134"/>
  <c r="L413" i="134" l="1"/>
  <c r="I96" i="181" l="1"/>
  <c r="H35" i="109" l="1"/>
  <c r="I792" i="105"/>
  <c r="I800" i="105"/>
  <c r="I796" i="105"/>
  <c r="I788" i="105"/>
  <c r="I784" i="105"/>
  <c r="I780" i="105"/>
  <c r="I776" i="105"/>
  <c r="I772" i="105"/>
  <c r="I768" i="105"/>
  <c r="I764" i="105"/>
  <c r="I760" i="105"/>
  <c r="I756" i="105"/>
  <c r="I752" i="105"/>
  <c r="I748" i="105"/>
  <c r="I744" i="105"/>
  <c r="I740" i="105"/>
  <c r="I736" i="105"/>
  <c r="I729" i="105"/>
  <c r="I723" i="105"/>
  <c r="I717" i="105"/>
  <c r="I713" i="105"/>
  <c r="I707" i="105"/>
  <c r="I701" i="105"/>
  <c r="I697" i="105"/>
  <c r="I692" i="105"/>
  <c r="I688" i="105"/>
  <c r="I684" i="105"/>
  <c r="I679" i="105"/>
  <c r="I673" i="105"/>
  <c r="I669" i="105"/>
  <c r="I665" i="105"/>
  <c r="I661" i="105"/>
  <c r="I657" i="105"/>
  <c r="I653" i="105"/>
  <c r="I649" i="105"/>
  <c r="I645" i="105"/>
  <c r="I641" i="105"/>
  <c r="I637" i="105"/>
  <c r="I633" i="105"/>
  <c r="I629" i="105"/>
  <c r="I625" i="105"/>
  <c r="I621" i="105"/>
  <c r="I617" i="105"/>
  <c r="I613" i="105"/>
  <c r="I609" i="105"/>
  <c r="I605" i="105"/>
  <c r="I601" i="105"/>
  <c r="I597" i="105"/>
  <c r="I593" i="105"/>
  <c r="I589" i="105"/>
  <c r="I585" i="105"/>
  <c r="I581" i="105"/>
  <c r="I577" i="105"/>
  <c r="I572" i="105"/>
  <c r="I568" i="105"/>
  <c r="I564" i="105"/>
  <c r="I560" i="105"/>
  <c r="I556" i="105"/>
  <c r="I551" i="105"/>
  <c r="I547" i="105"/>
  <c r="I543" i="105"/>
  <c r="I539" i="105"/>
  <c r="I534" i="105"/>
  <c r="I530" i="105"/>
  <c r="I526" i="105"/>
  <c r="I522" i="105"/>
  <c r="I518" i="105"/>
  <c r="I514" i="105"/>
  <c r="I510" i="105"/>
  <c r="I506" i="105"/>
  <c r="I502" i="105"/>
  <c r="I498" i="105"/>
  <c r="I493" i="105"/>
  <c r="I489" i="105"/>
  <c r="I485" i="105"/>
  <c r="I481" i="105"/>
  <c r="I477" i="105"/>
  <c r="I473" i="105"/>
  <c r="I469" i="105"/>
  <c r="I465" i="105"/>
  <c r="I461" i="105"/>
  <c r="I457" i="105"/>
  <c r="I453" i="105"/>
  <c r="I449" i="105"/>
  <c r="I445" i="105"/>
  <c r="I440" i="105"/>
  <c r="I436" i="105"/>
  <c r="I431" i="105"/>
  <c r="I427" i="105"/>
  <c r="I423" i="105"/>
  <c r="I418" i="105"/>
  <c r="I414" i="105"/>
  <c r="I410" i="105"/>
  <c r="I405" i="105"/>
  <c r="I401" i="105"/>
  <c r="I397" i="105"/>
  <c r="I393" i="105"/>
  <c r="K348" i="105"/>
  <c r="L348" i="105"/>
  <c r="M348" i="105"/>
  <c r="N348" i="105"/>
  <c r="J348" i="105"/>
  <c r="I344" i="105"/>
  <c r="I340" i="105"/>
  <c r="I335" i="105"/>
  <c r="I389" i="105"/>
  <c r="I385" i="105"/>
  <c r="I381" i="105"/>
  <c r="I377" i="105"/>
  <c r="I373" i="105"/>
  <c r="I369" i="105"/>
  <c r="I365" i="105"/>
  <c r="I361" i="105"/>
  <c r="I357" i="105"/>
  <c r="I352" i="105"/>
  <c r="I325" i="105"/>
  <c r="I321" i="105"/>
  <c r="I317" i="105"/>
  <c r="I313" i="105"/>
  <c r="K284" i="105"/>
  <c r="L284" i="105"/>
  <c r="M284" i="105"/>
  <c r="N284" i="105"/>
  <c r="N839" i="105" s="1"/>
  <c r="J284" i="105"/>
  <c r="I304" i="105"/>
  <c r="I300" i="105"/>
  <c r="I296" i="105"/>
  <c r="I292" i="105"/>
  <c r="I288" i="105"/>
  <c r="I280" i="105"/>
  <c r="I276" i="105"/>
  <c r="I272" i="105"/>
  <c r="I268" i="105"/>
  <c r="I263" i="105"/>
  <c r="I259" i="105"/>
  <c r="I250" i="105"/>
  <c r="I246" i="105"/>
  <c r="I241" i="105"/>
  <c r="I237" i="105"/>
  <c r="I233" i="105"/>
  <c r="K205" i="105"/>
  <c r="L205" i="105"/>
  <c r="M205" i="105"/>
  <c r="J205" i="105"/>
  <c r="I229" i="105"/>
  <c r="I225" i="105"/>
  <c r="I221" i="105"/>
  <c r="I217" i="105"/>
  <c r="I213" i="105"/>
  <c r="I209" i="105"/>
  <c r="I200" i="105"/>
  <c r="I196" i="105"/>
  <c r="I192" i="105"/>
  <c r="I188" i="105"/>
  <c r="K138" i="105"/>
  <c r="M138" i="105"/>
  <c r="J138" i="105"/>
  <c r="I142" i="105"/>
  <c r="I184" i="105"/>
  <c r="I180" i="105"/>
  <c r="I176" i="105"/>
  <c r="I172" i="105"/>
  <c r="I168" i="105"/>
  <c r="I164" i="105"/>
  <c r="I160" i="105"/>
  <c r="I154" i="105"/>
  <c r="I150" i="105"/>
  <c r="I146" i="105"/>
  <c r="I134" i="105"/>
  <c r="I130" i="105"/>
  <c r="I126" i="105"/>
  <c r="I122" i="105"/>
  <c r="I115" i="105"/>
  <c r="I111" i="105"/>
  <c r="I107" i="105"/>
  <c r="I103" i="105"/>
  <c r="I99" i="105"/>
  <c r="I95" i="105"/>
  <c r="I91" i="105"/>
  <c r="I87" i="105"/>
  <c r="I83" i="105"/>
  <c r="I79" i="105"/>
  <c r="I68" i="105"/>
  <c r="I64" i="105"/>
  <c r="I60" i="105"/>
  <c r="I56" i="105"/>
  <c r="I52" i="105"/>
  <c r="I48" i="105"/>
  <c r="I44" i="105"/>
  <c r="I40" i="105"/>
  <c r="I36" i="105"/>
  <c r="I28" i="105"/>
  <c r="I24" i="105"/>
  <c r="I20" i="105"/>
  <c r="I16" i="105"/>
  <c r="I12" i="105"/>
  <c r="M839" i="105" l="1"/>
  <c r="L839" i="105"/>
  <c r="J839" i="105"/>
  <c r="K839" i="105"/>
  <c r="N831" i="105"/>
  <c r="M831" i="105"/>
  <c r="Q11" i="109" s="1"/>
  <c r="L831" i="105"/>
  <c r="J831" i="105"/>
  <c r="I835" i="105"/>
  <c r="I348" i="105"/>
  <c r="I308" i="105"/>
  <c r="I284" i="105"/>
  <c r="I205" i="105"/>
  <c r="I138" i="105"/>
  <c r="I75" i="105"/>
  <c r="I32" i="105"/>
  <c r="J240" i="182"/>
  <c r="L245" i="182"/>
  <c r="M245" i="182"/>
  <c r="N245" i="182"/>
  <c r="O245" i="182"/>
  <c r="P245" i="182"/>
  <c r="Q245" i="182"/>
  <c r="R245" i="182"/>
  <c r="K245" i="182"/>
  <c r="J183" i="182"/>
  <c r="J179" i="182"/>
  <c r="J175" i="182"/>
  <c r="J171" i="182"/>
  <c r="J167" i="182"/>
  <c r="J163" i="182"/>
  <c r="J159" i="182"/>
  <c r="J155" i="182"/>
  <c r="J151" i="182"/>
  <c r="J147" i="182"/>
  <c r="J143" i="182"/>
  <c r="J139" i="182"/>
  <c r="J135" i="182"/>
  <c r="J131" i="182"/>
  <c r="J127" i="182"/>
  <c r="J123" i="182"/>
  <c r="J119" i="182"/>
  <c r="J113" i="182"/>
  <c r="J104" i="182"/>
  <c r="J96" i="182"/>
  <c r="J89" i="182"/>
  <c r="J82" i="182"/>
  <c r="J77" i="182"/>
  <c r="J72" i="182"/>
  <c r="J66" i="182"/>
  <c r="J53" i="182"/>
  <c r="J49" i="182"/>
  <c r="J45" i="182"/>
  <c r="J37" i="182"/>
  <c r="J32" i="182"/>
  <c r="J27" i="182"/>
  <c r="J22" i="182"/>
  <c r="J17" i="182"/>
  <c r="J12" i="182"/>
  <c r="I108" i="181"/>
  <c r="I92" i="181"/>
  <c r="I85" i="181"/>
  <c r="I78" i="181"/>
  <c r="I73" i="181"/>
  <c r="I68" i="181"/>
  <c r="I100" i="181"/>
  <c r="I53" i="181"/>
  <c r="I49" i="181"/>
  <c r="I45" i="181"/>
  <c r="I37" i="181"/>
  <c r="I32" i="181"/>
  <c r="I27" i="181"/>
  <c r="I22" i="181"/>
  <c r="I17" i="181"/>
  <c r="I12" i="181"/>
  <c r="I10" i="181"/>
  <c r="J245" i="182" l="1"/>
  <c r="J226" i="182"/>
  <c r="R104" i="181"/>
  <c r="R112" i="181" s="1"/>
  <c r="N104" i="181"/>
  <c r="N112" i="181" s="1"/>
  <c r="L47" i="113" s="1"/>
  <c r="I839" i="105"/>
  <c r="I831" i="105"/>
  <c r="Q108" i="182"/>
  <c r="M108" i="182"/>
  <c r="R108" i="182"/>
  <c r="P108" i="182"/>
  <c r="L108" i="182"/>
  <c r="N108" i="182"/>
  <c r="K108" i="182"/>
  <c r="O108" i="182"/>
  <c r="J100" i="182"/>
  <c r="J62" i="182"/>
  <c r="J41" i="182"/>
  <c r="P104" i="181"/>
  <c r="P112" i="181" s="1"/>
  <c r="O104" i="181"/>
  <c r="O112" i="181" s="1"/>
  <c r="L52" i="113" s="1"/>
  <c r="K104" i="181"/>
  <c r="K112" i="181" s="1"/>
  <c r="L20" i="113" s="1"/>
  <c r="L104" i="181"/>
  <c r="L112" i="181" s="1"/>
  <c r="L42" i="113" s="1"/>
  <c r="I11" i="109" s="1"/>
  <c r="Q104" i="181"/>
  <c r="Q112" i="181" s="1"/>
  <c r="M104" i="181"/>
  <c r="M112" i="181" s="1"/>
  <c r="L50" i="113" s="1"/>
  <c r="I41" i="181"/>
  <c r="I58" i="181"/>
  <c r="N230" i="182" l="1"/>
  <c r="M230" i="182"/>
  <c r="L230" i="182"/>
  <c r="Q230" i="182"/>
  <c r="O230" i="182"/>
  <c r="P230" i="182"/>
  <c r="K230" i="182"/>
  <c r="R230" i="182"/>
  <c r="J235" i="182"/>
  <c r="I104" i="181"/>
  <c r="J108" i="182"/>
  <c r="L10" i="115" l="1"/>
  <c r="L11" i="115"/>
  <c r="L8" i="115"/>
  <c r="J230" i="182"/>
  <c r="K7" i="115" s="1"/>
  <c r="K38" i="115" s="1"/>
  <c r="I112" i="181"/>
  <c r="K178" i="185"/>
  <c r="K156" i="185"/>
  <c r="K45" i="115" l="1"/>
  <c r="K56" i="113"/>
  <c r="K179" i="185"/>
  <c r="K183" i="185" s="1"/>
  <c r="I216" i="147" l="1"/>
  <c r="I220" i="147"/>
  <c r="I224" i="147"/>
  <c r="I457" i="134"/>
  <c r="L410" i="134"/>
  <c r="L405" i="134"/>
  <c r="L401" i="134"/>
  <c r="L397" i="134"/>
  <c r="L393" i="134"/>
  <c r="L389" i="134"/>
  <c r="L385" i="134"/>
  <c r="L381" i="134"/>
  <c r="L377" i="134"/>
  <c r="L373" i="134"/>
  <c r="L369" i="134"/>
  <c r="L365" i="134"/>
  <c r="L361" i="134"/>
  <c r="L357" i="134"/>
  <c r="L353" i="134"/>
  <c r="L349" i="134"/>
  <c r="L345" i="134"/>
  <c r="L341" i="134"/>
  <c r="L337" i="134"/>
  <c r="L333" i="134"/>
  <c r="L329" i="134"/>
  <c r="L325" i="134"/>
  <c r="L321" i="134"/>
  <c r="L317" i="134"/>
  <c r="L313" i="134"/>
  <c r="L309" i="134"/>
  <c r="L305" i="134"/>
  <c r="L301" i="134"/>
  <c r="L297" i="134"/>
  <c r="L293" i="134"/>
  <c r="L289" i="134"/>
  <c r="L285" i="134"/>
  <c r="L278" i="134"/>
  <c r="L274" i="134"/>
  <c r="L270" i="134"/>
  <c r="L266" i="134"/>
  <c r="L262" i="134"/>
  <c r="L258" i="134"/>
  <c r="L254" i="134"/>
  <c r="L250" i="134"/>
  <c r="L246" i="134"/>
  <c r="L242" i="134"/>
  <c r="L238" i="134"/>
  <c r="L234" i="134"/>
  <c r="L230" i="134"/>
  <c r="L226" i="134"/>
  <c r="L222" i="134"/>
  <c r="L218" i="134"/>
  <c r="L214" i="134"/>
  <c r="L210" i="134"/>
  <c r="L206" i="134"/>
  <c r="L202" i="134"/>
  <c r="L198" i="134"/>
  <c r="L194" i="134"/>
  <c r="L190" i="134"/>
  <c r="L186" i="134"/>
  <c r="L182" i="134"/>
  <c r="L178" i="134"/>
  <c r="L161" i="134"/>
  <c r="L174" i="134"/>
  <c r="L169" i="134"/>
  <c r="L165" i="134"/>
  <c r="L109" i="134"/>
  <c r="L105" i="134"/>
  <c r="L101" i="134"/>
  <c r="L97" i="134"/>
  <c r="L93" i="134"/>
  <c r="L89" i="134"/>
  <c r="L85" i="134"/>
  <c r="L81" i="134"/>
  <c r="L77" i="134"/>
  <c r="L73" i="134"/>
  <c r="L65" i="134"/>
  <c r="L61" i="134"/>
  <c r="L57" i="134"/>
  <c r="L53" i="134"/>
  <c r="L49" i="134"/>
  <c r="L45" i="134"/>
  <c r="L41" i="134"/>
  <c r="L37" i="134"/>
  <c r="L33" i="134"/>
  <c r="L29" i="134"/>
  <c r="L21" i="134"/>
  <c r="L17" i="134"/>
  <c r="L13" i="134"/>
  <c r="J226" i="147"/>
  <c r="K199" i="147"/>
  <c r="K195" i="147"/>
  <c r="K191" i="147"/>
  <c r="K177" i="147"/>
  <c r="K173" i="147"/>
  <c r="K167" i="147"/>
  <c r="K163" i="147"/>
  <c r="K158" i="147"/>
  <c r="K154" i="147"/>
  <c r="K149" i="147"/>
  <c r="K144" i="147"/>
  <c r="K139" i="147"/>
  <c r="K135" i="147"/>
  <c r="K131" i="147"/>
  <c r="K127" i="147"/>
  <c r="K122" i="147"/>
  <c r="K117" i="147"/>
  <c r="K113" i="147"/>
  <c r="K109" i="147"/>
  <c r="K104" i="147"/>
  <c r="K100" i="147"/>
  <c r="K96" i="147"/>
  <c r="K89" i="147"/>
  <c r="K84" i="147"/>
  <c r="K79" i="147"/>
  <c r="K73" i="147"/>
  <c r="K69" i="147"/>
  <c r="K65" i="147"/>
  <c r="K61" i="147"/>
  <c r="K57" i="147"/>
  <c r="K53" i="147"/>
  <c r="K49" i="147"/>
  <c r="K45" i="147"/>
  <c r="K41" i="147"/>
  <c r="K37" i="147"/>
  <c r="K33" i="147"/>
  <c r="K29" i="147"/>
  <c r="K25" i="147"/>
  <c r="K21" i="147"/>
  <c r="K17" i="147"/>
  <c r="K13" i="147"/>
  <c r="K182" i="147"/>
  <c r="P29" i="149"/>
  <c r="P166" i="149"/>
  <c r="P161" i="149"/>
  <c r="P156" i="149"/>
  <c r="P151" i="149"/>
  <c r="P146" i="149"/>
  <c r="P141" i="149"/>
  <c r="P136" i="149"/>
  <c r="P131" i="149"/>
  <c r="P126" i="149"/>
  <c r="P121" i="149"/>
  <c r="P111" i="149"/>
  <c r="P106" i="149"/>
  <c r="P101" i="149"/>
  <c r="P96" i="149"/>
  <c r="P86" i="149"/>
  <c r="P76" i="149"/>
  <c r="P61" i="149"/>
  <c r="P66" i="149"/>
  <c r="P52" i="149"/>
  <c r="J56" i="149"/>
  <c r="K56" i="149"/>
  <c r="L56" i="149"/>
  <c r="M56" i="149"/>
  <c r="N56" i="149"/>
  <c r="N170" i="149" s="1"/>
  <c r="O56" i="149"/>
  <c r="I56" i="149"/>
  <c r="P45" i="149"/>
  <c r="P40" i="149"/>
  <c r="P34" i="149"/>
  <c r="J25" i="149"/>
  <c r="K25" i="149"/>
  <c r="K170" i="149" s="1"/>
  <c r="L25" i="149"/>
  <c r="M25" i="149"/>
  <c r="N25" i="149"/>
  <c r="O25" i="149"/>
  <c r="I25" i="149"/>
  <c r="P21" i="149"/>
  <c r="P14" i="149"/>
  <c r="E15" i="149"/>
  <c r="J77" i="144"/>
  <c r="K77" i="144"/>
  <c r="L77" i="144"/>
  <c r="M77" i="144"/>
  <c r="L32" i="115" s="1"/>
  <c r="Q16" i="109" s="1"/>
  <c r="N77" i="144"/>
  <c r="I77" i="144"/>
  <c r="O73" i="144"/>
  <c r="O69" i="144"/>
  <c r="O65" i="144"/>
  <c r="O61" i="144"/>
  <c r="O57" i="144"/>
  <c r="O53" i="144"/>
  <c r="O49" i="144"/>
  <c r="O45" i="144"/>
  <c r="O41" i="144"/>
  <c r="O37" i="144"/>
  <c r="O33" i="144"/>
  <c r="O29" i="144"/>
  <c r="O25" i="144"/>
  <c r="O21" i="144"/>
  <c r="O17" i="144"/>
  <c r="O13" i="144"/>
  <c r="L39" i="115"/>
  <c r="L15" i="115"/>
  <c r="L9" i="115"/>
  <c r="L7" i="115" s="1"/>
  <c r="L35" i="115"/>
  <c r="L68" i="113"/>
  <c r="L64" i="113"/>
  <c r="I27" i="109" s="1"/>
  <c r="L60" i="113"/>
  <c r="I23" i="109" s="1"/>
  <c r="L53" i="113"/>
  <c r="I18" i="109" s="1"/>
  <c r="L48" i="113"/>
  <c r="I17" i="109" s="1"/>
  <c r="L44" i="113"/>
  <c r="I16" i="109" s="1"/>
  <c r="L33" i="113"/>
  <c r="I10" i="109" s="1"/>
  <c r="L22" i="113"/>
  <c r="L21" i="113" s="1"/>
  <c r="I9" i="109" s="1"/>
  <c r="L9" i="113"/>
  <c r="L8" i="113" s="1"/>
  <c r="I8" i="109" s="1"/>
  <c r="M319" i="134"/>
  <c r="E318" i="134" s="1"/>
  <c r="Q10" i="109" l="1"/>
  <c r="I28" i="109"/>
  <c r="I20" i="109"/>
  <c r="I34" i="109"/>
  <c r="I14" i="109"/>
  <c r="I170" i="149"/>
  <c r="Q8" i="109" s="1"/>
  <c r="L170" i="149"/>
  <c r="Q12" i="109" s="1"/>
  <c r="O170" i="149"/>
  <c r="J170" i="149"/>
  <c r="Q9" i="109" s="1"/>
  <c r="H20" i="109"/>
  <c r="L43" i="113"/>
  <c r="P28" i="109"/>
  <c r="L59" i="113"/>
  <c r="L57" i="113" s="1"/>
  <c r="L69" i="134"/>
  <c r="L463" i="134"/>
  <c r="K226" i="147"/>
  <c r="K222" i="147"/>
  <c r="K218" i="147"/>
  <c r="P56" i="149"/>
  <c r="P25" i="149"/>
  <c r="O77" i="144"/>
  <c r="L7" i="113"/>
  <c r="J133" i="147"/>
  <c r="J125" i="147"/>
  <c r="L14" i="115" l="1"/>
  <c r="Q14" i="109"/>
  <c r="I31" i="109" s="1"/>
  <c r="I21" i="109"/>
  <c r="I29" i="109" s="1"/>
  <c r="I37" i="109" s="1"/>
  <c r="L33" i="115"/>
  <c r="Q17" i="109" s="1"/>
  <c r="L34" i="115"/>
  <c r="Q18" i="109" s="1"/>
  <c r="L55" i="113"/>
  <c r="L72" i="113" s="1"/>
  <c r="P170" i="149"/>
  <c r="L459" i="134"/>
  <c r="L467" i="134"/>
  <c r="M833" i="105"/>
  <c r="I36" i="109" l="1"/>
  <c r="Q20" i="109"/>
  <c r="I32" i="109" s="1"/>
  <c r="L31" i="115"/>
  <c r="L13" i="115" s="1"/>
  <c r="L38" i="115" s="1"/>
  <c r="L56" i="113" s="1"/>
  <c r="J224" i="147"/>
  <c r="K461" i="134"/>
  <c r="Q21" i="109" l="1"/>
  <c r="I30" i="109" s="1"/>
  <c r="I33" i="109" s="1"/>
  <c r="L45" i="115"/>
  <c r="K224" i="147"/>
  <c r="F35" i="109"/>
  <c r="E35" i="109"/>
  <c r="E34" i="109"/>
  <c r="F28" i="109"/>
  <c r="E28" i="109"/>
  <c r="F20" i="109"/>
  <c r="E20" i="109"/>
  <c r="F14" i="109"/>
  <c r="E14" i="109"/>
  <c r="N28" i="109"/>
  <c r="M28" i="109"/>
  <c r="N20" i="109"/>
  <c r="M20" i="109"/>
  <c r="N14" i="109"/>
  <c r="M14" i="109"/>
  <c r="I798" i="105"/>
  <c r="N459" i="105"/>
  <c r="Q29" i="109" l="1"/>
  <c r="Q36" i="109" s="1"/>
  <c r="E32" i="109"/>
  <c r="E31" i="109"/>
  <c r="F31" i="109"/>
  <c r="F32" i="109"/>
  <c r="M21" i="109"/>
  <c r="M29" i="109" s="1"/>
  <c r="M37" i="109" s="1"/>
  <c r="N21" i="109"/>
  <c r="E21" i="109"/>
  <c r="F21" i="109"/>
  <c r="K136" i="105"/>
  <c r="L136" i="105"/>
  <c r="M136" i="105"/>
  <c r="I158" i="105"/>
  <c r="J136" i="105"/>
  <c r="I152" i="105"/>
  <c r="I148" i="105"/>
  <c r="Q37" i="109" l="1"/>
  <c r="N29" i="109"/>
  <c r="N36" i="109" s="1"/>
  <c r="F30" i="109"/>
  <c r="F33" i="109" s="1"/>
  <c r="M36" i="109"/>
  <c r="F29" i="109"/>
  <c r="E29" i="109"/>
  <c r="E30" i="109"/>
  <c r="E33" i="109" s="1"/>
  <c r="J283" i="134"/>
  <c r="L408" i="134"/>
  <c r="E407" i="134" s="1"/>
  <c r="K59" i="147"/>
  <c r="J87" i="147"/>
  <c r="P87" i="182"/>
  <c r="M87" i="182"/>
  <c r="I146" i="185"/>
  <c r="L124" i="105"/>
  <c r="N483" i="105"/>
  <c r="N333" i="105"/>
  <c r="L51" i="134"/>
  <c r="L39" i="134"/>
  <c r="L35" i="134"/>
  <c r="N37" i="109" l="1"/>
  <c r="F36" i="109"/>
  <c r="F37" i="109"/>
  <c r="E36" i="109"/>
  <c r="E37" i="109"/>
  <c r="I178" i="185"/>
  <c r="H178" i="185"/>
  <c r="G178" i="185"/>
  <c r="F178" i="185"/>
  <c r="I156" i="185"/>
  <c r="G156" i="185"/>
  <c r="F150" i="185"/>
  <c r="F156" i="185" s="1"/>
  <c r="H223" i="182"/>
  <c r="G223" i="182"/>
  <c r="R224" i="182"/>
  <c r="Q224" i="182"/>
  <c r="P224" i="182"/>
  <c r="O224" i="182"/>
  <c r="N224" i="182"/>
  <c r="M224" i="182"/>
  <c r="L224" i="182"/>
  <c r="K224" i="182"/>
  <c r="J181" i="182"/>
  <c r="J177" i="182"/>
  <c r="J173" i="182"/>
  <c r="J169" i="182"/>
  <c r="J165" i="182"/>
  <c r="J161" i="182"/>
  <c r="J157" i="182"/>
  <c r="J153" i="182"/>
  <c r="J149" i="182"/>
  <c r="J145" i="182"/>
  <c r="J141" i="182"/>
  <c r="J137" i="182"/>
  <c r="J133" i="182"/>
  <c r="J129" i="182"/>
  <c r="J125" i="182"/>
  <c r="J121" i="182"/>
  <c r="J117" i="182"/>
  <c r="J115" i="182"/>
  <c r="J111" i="182"/>
  <c r="G179" i="185" l="1"/>
  <c r="G183" i="185" s="1"/>
  <c r="F179" i="185"/>
  <c r="F183" i="185" s="1"/>
  <c r="H156" i="185"/>
  <c r="H179" i="185" s="1"/>
  <c r="H183" i="185" s="1"/>
  <c r="I179" i="185"/>
  <c r="I183" i="185" s="1"/>
  <c r="G535" i="105" l="1"/>
  <c r="G281" i="105" l="1"/>
  <c r="G202" i="105"/>
  <c r="E72" i="105"/>
  <c r="F170" i="134"/>
  <c r="E170" i="134" s="1"/>
  <c r="F58" i="134"/>
  <c r="E58" i="134" s="1"/>
  <c r="F30" i="134"/>
  <c r="E30" i="134" s="1"/>
  <c r="F26" i="134"/>
  <c r="E26" i="134" s="1"/>
  <c r="F25" i="134"/>
  <c r="F24" i="134"/>
  <c r="F23" i="134"/>
  <c r="F22" i="134"/>
  <c r="F10" i="134"/>
  <c r="E10" i="134" s="1"/>
  <c r="M457" i="134" l="1"/>
  <c r="K67" i="134" l="1"/>
  <c r="J67" i="134"/>
  <c r="L71" i="134"/>
  <c r="L307" i="134"/>
  <c r="L244" i="134"/>
  <c r="L303" i="134"/>
  <c r="L299" i="134"/>
  <c r="J295" i="134"/>
  <c r="L291" i="134"/>
  <c r="L287" i="134"/>
  <c r="L283" i="134"/>
  <c r="L276" i="134"/>
  <c r="L272" i="134"/>
  <c r="L268" i="134"/>
  <c r="L264" i="134"/>
  <c r="L260" i="134"/>
  <c r="L256" i="134"/>
  <c r="L252" i="134"/>
  <c r="L248" i="134"/>
  <c r="L240" i="134"/>
  <c r="L236" i="134"/>
  <c r="L232" i="134"/>
  <c r="L228" i="134"/>
  <c r="L224" i="134"/>
  <c r="L220" i="134"/>
  <c r="L216" i="134"/>
  <c r="L212" i="134"/>
  <c r="L208" i="134"/>
  <c r="L204" i="134"/>
  <c r="L200" i="134"/>
  <c r="L196" i="134"/>
  <c r="L192" i="134"/>
  <c r="J188" i="134"/>
  <c r="L184" i="134"/>
  <c r="J180" i="134"/>
  <c r="L176" i="134"/>
  <c r="L107" i="134"/>
  <c r="L103" i="134"/>
  <c r="L99" i="134"/>
  <c r="L95" i="134"/>
  <c r="L91" i="134"/>
  <c r="L403" i="134"/>
  <c r="L399" i="134"/>
  <c r="L395" i="134"/>
  <c r="L391" i="134"/>
  <c r="L387" i="134"/>
  <c r="L383" i="134"/>
  <c r="L379" i="134"/>
  <c r="L375" i="134"/>
  <c r="L371" i="134"/>
  <c r="L367" i="134"/>
  <c r="L363" i="134"/>
  <c r="L359" i="134"/>
  <c r="L355" i="134"/>
  <c r="L351" i="134"/>
  <c r="L347" i="134"/>
  <c r="L343" i="134"/>
  <c r="L339" i="134"/>
  <c r="L335" i="134"/>
  <c r="L331" i="134"/>
  <c r="L327" i="134"/>
  <c r="L323" i="134"/>
  <c r="L319" i="134"/>
  <c r="L315" i="134"/>
  <c r="K465" i="134" l="1"/>
  <c r="K457" i="134"/>
  <c r="L180" i="134"/>
  <c r="L188" i="134"/>
  <c r="L311" i="134"/>
  <c r="L295" i="134"/>
  <c r="J59" i="134"/>
  <c r="J31" i="134"/>
  <c r="J27" i="134"/>
  <c r="L19" i="134"/>
  <c r="J11" i="134"/>
  <c r="J465" i="134" l="1"/>
  <c r="J457" i="134"/>
  <c r="J461" i="134"/>
  <c r="P89" i="149"/>
  <c r="P27" i="149"/>
  <c r="P154" i="149"/>
  <c r="J54" i="149"/>
  <c r="K54" i="149"/>
  <c r="L54" i="149"/>
  <c r="M54" i="149"/>
  <c r="N54" i="149"/>
  <c r="O54" i="149"/>
  <c r="I54" i="149"/>
  <c r="G53" i="149"/>
  <c r="E48" i="149"/>
  <c r="E47" i="149"/>
  <c r="E46" i="149"/>
  <c r="E41" i="149"/>
  <c r="P32" i="149"/>
  <c r="J23" i="149"/>
  <c r="K23" i="149"/>
  <c r="L23" i="149"/>
  <c r="M23" i="149"/>
  <c r="N23" i="149"/>
  <c r="O23" i="149"/>
  <c r="I23" i="149"/>
  <c r="P19" i="149"/>
  <c r="E17" i="149"/>
  <c r="F16" i="149"/>
  <c r="E16" i="149" l="1"/>
  <c r="E22" i="149" s="1"/>
  <c r="F22" i="149"/>
  <c r="E53" i="149"/>
  <c r="L465" i="134"/>
  <c r="L461" i="134"/>
  <c r="L457" i="134"/>
  <c r="L168" i="149"/>
  <c r="O168" i="149"/>
  <c r="K168" i="149"/>
  <c r="N168" i="149"/>
  <c r="M168" i="149"/>
  <c r="I570" i="105" l="1"/>
  <c r="L746" i="105"/>
  <c r="I778" i="105"/>
  <c r="I782" i="105"/>
  <c r="I794" i="105"/>
  <c r="I790" i="105"/>
  <c r="I786" i="105"/>
  <c r="I774" i="105"/>
  <c r="I770" i="105"/>
  <c r="I766" i="105"/>
  <c r="I762" i="105"/>
  <c r="I758" i="105"/>
  <c r="I754" i="105"/>
  <c r="L742" i="105"/>
  <c r="L677" i="105"/>
  <c r="I750" i="105"/>
  <c r="I738" i="105"/>
  <c r="I734" i="105"/>
  <c r="L721" i="105"/>
  <c r="I711" i="105"/>
  <c r="L699" i="105"/>
  <c r="L686" i="105"/>
  <c r="L682" i="105"/>
  <c r="L643" i="105"/>
  <c r="L639" i="105"/>
  <c r="L635" i="105"/>
  <c r="L631" i="105"/>
  <c r="L623" i="105"/>
  <c r="L611" i="105"/>
  <c r="L607" i="105"/>
  <c r="L603" i="105"/>
  <c r="L599" i="105"/>
  <c r="L595" i="105"/>
  <c r="I541" i="105"/>
  <c r="L524" i="105"/>
  <c r="L520" i="105"/>
  <c r="I512" i="105"/>
  <c r="I508" i="105"/>
  <c r="L504" i="105"/>
  <c r="I496" i="105"/>
  <c r="L491" i="105"/>
  <c r="I487" i="105"/>
  <c r="J451" i="105"/>
  <c r="L451" i="105"/>
  <c r="K451" i="105"/>
  <c r="J833" i="105" l="1"/>
  <c r="I746" i="105"/>
  <c r="I699" i="105"/>
  <c r="K833" i="105"/>
  <c r="I677" i="105"/>
  <c r="I742" i="105"/>
  <c r="L447" i="105"/>
  <c r="L443" i="105"/>
  <c r="I425" i="105"/>
  <c r="I421" i="105"/>
  <c r="K346" i="105"/>
  <c r="L346" i="105"/>
  <c r="M346" i="105"/>
  <c r="N346" i="105"/>
  <c r="J346" i="105"/>
  <c r="I387" i="105"/>
  <c r="K306" i="105"/>
  <c r="L306" i="105"/>
  <c r="M306" i="105"/>
  <c r="N306" i="105"/>
  <c r="J306" i="105"/>
  <c r="I323" i="105"/>
  <c r="I319" i="105"/>
  <c r="I311" i="105"/>
  <c r="K282" i="105"/>
  <c r="L282" i="105"/>
  <c r="M282" i="105"/>
  <c r="N282" i="105"/>
  <c r="J282" i="105"/>
  <c r="I294" i="105"/>
  <c r="I298" i="105"/>
  <c r="I290" i="105"/>
  <c r="L278" i="105"/>
  <c r="L274" i="105"/>
  <c r="L270" i="105"/>
  <c r="N257" i="105"/>
  <c r="I235" i="105"/>
  <c r="I244" i="105"/>
  <c r="I239" i="105" l="1"/>
  <c r="I231" i="105"/>
  <c r="I120" i="105"/>
  <c r="K203" i="105"/>
  <c r="L203" i="105"/>
  <c r="M203" i="105"/>
  <c r="N203" i="105"/>
  <c r="J203" i="105"/>
  <c r="I227" i="105"/>
  <c r="I223" i="105"/>
  <c r="I219" i="105"/>
  <c r="I215" i="105"/>
  <c r="I211" i="105"/>
  <c r="I162" i="105"/>
  <c r="I182" i="105"/>
  <c r="I178" i="105"/>
  <c r="N174" i="105"/>
  <c r="I170" i="105"/>
  <c r="I166" i="105"/>
  <c r="I140" i="105"/>
  <c r="L132" i="105"/>
  <c r="L128" i="105"/>
  <c r="K73" i="105"/>
  <c r="L73" i="105"/>
  <c r="M73" i="105"/>
  <c r="N73" i="105"/>
  <c r="J73" i="105"/>
  <c r="I113" i="105"/>
  <c r="I109" i="105"/>
  <c r="I105" i="105"/>
  <c r="I101" i="105"/>
  <c r="I97" i="105"/>
  <c r="I93" i="105"/>
  <c r="I89" i="105"/>
  <c r="I85" i="105"/>
  <c r="I77" i="105"/>
  <c r="I66" i="105"/>
  <c r="I62" i="105"/>
  <c r="I58" i="105"/>
  <c r="I54" i="105"/>
  <c r="I50" i="105"/>
  <c r="I46" i="105"/>
  <c r="I42" i="105"/>
  <c r="I38" i="105"/>
  <c r="I34" i="105"/>
  <c r="K30" i="105"/>
  <c r="L30" i="105"/>
  <c r="M30" i="105"/>
  <c r="N30" i="105"/>
  <c r="J30" i="105"/>
  <c r="M829" i="105" l="1"/>
  <c r="M837" i="105"/>
  <c r="I174" i="105"/>
  <c r="N136" i="105"/>
  <c r="I30" i="105"/>
  <c r="L26" i="105"/>
  <c r="K26" i="105"/>
  <c r="J26" i="105"/>
  <c r="J829" i="105" s="1"/>
  <c r="L22" i="105"/>
  <c r="L18" i="105"/>
  <c r="K829" i="105" l="1"/>
  <c r="I136" i="105"/>
  <c r="J837" i="105"/>
  <c r="L837" i="105"/>
  <c r="N837" i="105"/>
  <c r="K837" i="105"/>
  <c r="K137" i="147"/>
  <c r="K133" i="147"/>
  <c r="K129" i="147"/>
  <c r="K125" i="147"/>
  <c r="K120" i="147"/>
  <c r="K115" i="147"/>
  <c r="K111" i="147"/>
  <c r="K107" i="147"/>
  <c r="K102" i="147" l="1"/>
  <c r="K98" i="147"/>
  <c r="K87" i="147"/>
  <c r="K51" i="147"/>
  <c r="K67" i="147"/>
  <c r="K47" i="147"/>
  <c r="K43" i="147"/>
  <c r="K31" i="147"/>
  <c r="K39" i="147"/>
  <c r="K175" i="147"/>
  <c r="K171" i="147"/>
  <c r="K180" i="147"/>
  <c r="K197" i="147"/>
  <c r="K193" i="147"/>
  <c r="K161" i="147"/>
  <c r="K165" i="147"/>
  <c r="K71" i="147"/>
  <c r="K156" i="147"/>
  <c r="K152" i="147"/>
  <c r="K147" i="147"/>
  <c r="K63" i="147"/>
  <c r="M80" i="182"/>
  <c r="L76" i="181"/>
  <c r="J61" i="113"/>
  <c r="J42" i="113"/>
  <c r="J27" i="147"/>
  <c r="H34" i="109" l="1"/>
  <c r="H14" i="109"/>
  <c r="J220" i="147"/>
  <c r="J216" i="147"/>
  <c r="O71" i="144"/>
  <c r="J75" i="144"/>
  <c r="K75" i="144"/>
  <c r="L75" i="144"/>
  <c r="M75" i="144"/>
  <c r="J32" i="115" s="1"/>
  <c r="N75" i="144"/>
  <c r="J33" i="115" s="1"/>
  <c r="I75" i="144"/>
  <c r="O67" i="144"/>
  <c r="O63" i="144"/>
  <c r="O59" i="144"/>
  <c r="O55" i="144"/>
  <c r="O51" i="144"/>
  <c r="F42" i="144"/>
  <c r="E42" i="144" s="1"/>
  <c r="F38" i="144"/>
  <c r="E38" i="144" s="1"/>
  <c r="F34" i="144"/>
  <c r="E34" i="144" s="1"/>
  <c r="F26" i="144"/>
  <c r="E26" i="144" s="1"/>
  <c r="F22" i="144"/>
  <c r="E22" i="144" s="1"/>
  <c r="F18" i="144"/>
  <c r="E18" i="144" s="1"/>
  <c r="F14" i="144"/>
  <c r="E14" i="144" s="1"/>
  <c r="X23" i="189"/>
  <c r="V23" i="189"/>
  <c r="T23" i="189"/>
  <c r="S23" i="189"/>
  <c r="O23" i="189"/>
  <c r="L23" i="189"/>
  <c r="K23" i="189"/>
  <c r="J23" i="189"/>
  <c r="I23" i="189"/>
  <c r="Z23" i="189"/>
  <c r="P22" i="189"/>
  <c r="Q22" i="189" s="1"/>
  <c r="AA21" i="189"/>
  <c r="P21" i="189"/>
  <c r="AA20" i="189"/>
  <c r="Q20" i="189"/>
  <c r="AA19" i="189"/>
  <c r="Q19" i="189"/>
  <c r="W18" i="189"/>
  <c r="W23" i="189" s="1"/>
  <c r="Q18" i="189"/>
  <c r="U17" i="189"/>
  <c r="AA17" i="189" s="1"/>
  <c r="Q17" i="189"/>
  <c r="AA16" i="189"/>
  <c r="N16" i="189"/>
  <c r="Q16" i="189" s="1"/>
  <c r="H16" i="189"/>
  <c r="H23" i="189" s="1"/>
  <c r="AA15" i="189"/>
  <c r="N15" i="189"/>
  <c r="M15" i="189"/>
  <c r="M23" i="189" s="1"/>
  <c r="U14" i="189"/>
  <c r="U23" i="189" s="1"/>
  <c r="Q14" i="189"/>
  <c r="AA13" i="189"/>
  <c r="Q13" i="189"/>
  <c r="Y12" i="189"/>
  <c r="AA12" i="189" s="1"/>
  <c r="Q12" i="189"/>
  <c r="H28" i="109" l="1"/>
  <c r="H21" i="109"/>
  <c r="J34" i="115"/>
  <c r="K220" i="147"/>
  <c r="AA22" i="189"/>
  <c r="G22" i="189" s="1"/>
  <c r="G17" i="189"/>
  <c r="N23" i="189"/>
  <c r="G19" i="189"/>
  <c r="P23" i="189"/>
  <c r="Q21" i="189"/>
  <c r="G21" i="189" s="1"/>
  <c r="G13" i="189"/>
  <c r="G16" i="189"/>
  <c r="G20" i="189"/>
  <c r="G12" i="189"/>
  <c r="AA14" i="189"/>
  <c r="G14" i="189" s="1"/>
  <c r="Q15" i="189"/>
  <c r="G15" i="189" s="1"/>
  <c r="Y23" i="189"/>
  <c r="AA18" i="189"/>
  <c r="G18" i="189" s="1"/>
  <c r="H29" i="109" l="1"/>
  <c r="H37" i="109" s="1"/>
  <c r="Q23" i="189"/>
  <c r="G23" i="189"/>
  <c r="H36" i="109" l="1"/>
  <c r="P80" i="182"/>
  <c r="L80" i="182"/>
  <c r="K80" i="182"/>
  <c r="P75" i="182"/>
  <c r="M75" i="182"/>
  <c r="L75" i="182"/>
  <c r="K75" i="182"/>
  <c r="P70" i="182"/>
  <c r="M70" i="182"/>
  <c r="L70" i="182"/>
  <c r="K70" i="182"/>
  <c r="P64" i="182"/>
  <c r="M64" i="182"/>
  <c r="J224" i="182" l="1"/>
  <c r="R98" i="182" l="1"/>
  <c r="Q98" i="182"/>
  <c r="P98" i="182"/>
  <c r="O98" i="182"/>
  <c r="N98" i="182"/>
  <c r="M98" i="182"/>
  <c r="L98" i="182"/>
  <c r="K98" i="182"/>
  <c r="R94" i="181"/>
  <c r="Q94" i="181"/>
  <c r="O94" i="181"/>
  <c r="N94" i="181"/>
  <c r="M94" i="181"/>
  <c r="L94" i="181"/>
  <c r="K94" i="181"/>
  <c r="P56" i="181" l="1"/>
  <c r="O56" i="181"/>
  <c r="N56" i="181"/>
  <c r="M56" i="181"/>
  <c r="L56" i="181"/>
  <c r="K56" i="181"/>
  <c r="J56" i="181"/>
  <c r="R43" i="181" l="1"/>
  <c r="R56" i="181" l="1"/>
  <c r="P76" i="181"/>
  <c r="J76" i="181"/>
  <c r="P71" i="181"/>
  <c r="P60" i="181"/>
  <c r="Q51" i="181"/>
  <c r="I15" i="181"/>
  <c r="I20" i="181"/>
  <c r="I25" i="181"/>
  <c r="I30" i="181"/>
  <c r="I35" i="181"/>
  <c r="I43" i="181"/>
  <c r="I47" i="181"/>
  <c r="I66" i="181"/>
  <c r="I83" i="181"/>
  <c r="I90" i="181"/>
  <c r="J94" i="181" l="1"/>
  <c r="I71" i="181"/>
  <c r="Q56" i="181"/>
  <c r="I60" i="181"/>
  <c r="P94" i="181"/>
  <c r="I51" i="181"/>
  <c r="I56" i="181" s="1"/>
  <c r="I76" i="181"/>
  <c r="I94" i="181" l="1"/>
  <c r="G16" i="115"/>
  <c r="I16" i="115"/>
  <c r="H16" i="115"/>
  <c r="G22" i="113" l="1"/>
  <c r="G21" i="113" s="1"/>
  <c r="H14" i="113"/>
  <c r="G72" i="105" l="1"/>
  <c r="F72" i="105"/>
  <c r="G650" i="105"/>
  <c r="F650" i="105"/>
  <c r="E650" i="105"/>
  <c r="G345" i="105"/>
  <c r="F345" i="105"/>
  <c r="E345" i="105"/>
  <c r="E281" i="105"/>
  <c r="F281" i="105"/>
  <c r="F202" i="105"/>
  <c r="E202" i="105"/>
  <c r="G29" i="105"/>
  <c r="F29" i="105"/>
  <c r="E29" i="105"/>
  <c r="E135" i="105" l="1"/>
  <c r="I73" i="105" l="1"/>
  <c r="J9" i="113" l="1"/>
  <c r="J8" i="113" s="1"/>
  <c r="G8" i="109" s="1"/>
  <c r="I727" i="105"/>
  <c r="I438" i="105"/>
  <c r="L261" i="105"/>
  <c r="L829" i="105" s="1"/>
  <c r="I144" i="105"/>
  <c r="L833" i="105" l="1"/>
  <c r="L172" i="134"/>
  <c r="L167" i="134"/>
  <c r="L163" i="134"/>
  <c r="L159" i="134"/>
  <c r="J48" i="113"/>
  <c r="R238" i="182"/>
  <c r="Q238" i="182"/>
  <c r="P238" i="182"/>
  <c r="O238" i="182"/>
  <c r="N238" i="182"/>
  <c r="M238" i="182"/>
  <c r="L238" i="182"/>
  <c r="K238" i="182"/>
  <c r="R60" i="182"/>
  <c r="Q60" i="182"/>
  <c r="P60" i="182"/>
  <c r="O60" i="182"/>
  <c r="N60" i="182"/>
  <c r="L60" i="182"/>
  <c r="K60" i="182"/>
  <c r="M60" i="182"/>
  <c r="H59" i="182"/>
  <c r="J55" i="182"/>
  <c r="F93" i="181" l="1"/>
  <c r="F38" i="181" l="1"/>
  <c r="F55" i="181"/>
  <c r="I168" i="149" l="1"/>
  <c r="L47" i="134"/>
  <c r="L43" i="134"/>
  <c r="J168" i="149" l="1"/>
  <c r="I721" i="105"/>
  <c r="I715" i="105"/>
  <c r="I705" i="105"/>
  <c r="L87" i="134" l="1"/>
  <c r="L75" i="134"/>
  <c r="L79" i="134"/>
  <c r="L83" i="134"/>
  <c r="K216" i="147"/>
  <c r="K55" i="147"/>
  <c r="K189" i="147"/>
  <c r="K142" i="147"/>
  <c r="K94" i="147"/>
  <c r="K82" i="147"/>
  <c r="K77" i="147"/>
  <c r="K35" i="147"/>
  <c r="K23" i="147"/>
  <c r="K27" i="147"/>
  <c r="K19" i="147"/>
  <c r="K11" i="147"/>
  <c r="K15" i="147"/>
  <c r="L67" i="134" l="1"/>
  <c r="F30" i="144"/>
  <c r="E30" i="144" s="1"/>
  <c r="P164" i="149" l="1"/>
  <c r="P159" i="149"/>
  <c r="P64" i="149" l="1"/>
  <c r="P23" i="149"/>
  <c r="P149" i="149"/>
  <c r="P144" i="149" l="1"/>
  <c r="P139" i="149"/>
  <c r="P134" i="149"/>
  <c r="P129" i="149"/>
  <c r="P124" i="149"/>
  <c r="P119" i="149"/>
  <c r="P50" i="149"/>
  <c r="P43" i="149"/>
  <c r="P38" i="149"/>
  <c r="F53" i="149"/>
  <c r="P54" i="149" l="1"/>
  <c r="P109" i="149" l="1"/>
  <c r="P104" i="149"/>
  <c r="P99" i="149"/>
  <c r="P94" i="149"/>
  <c r="P84" i="149"/>
  <c r="L11" i="134" l="1"/>
  <c r="L15" i="134"/>
  <c r="L27" i="134"/>
  <c r="L31" i="134"/>
  <c r="L55" i="134"/>
  <c r="L59" i="134"/>
  <c r="L63" i="134"/>
  <c r="R39" i="181" l="1"/>
  <c r="I695" i="105" l="1"/>
  <c r="I237" i="182"/>
  <c r="H237" i="182"/>
  <c r="G237" i="182"/>
  <c r="Q243" i="182"/>
  <c r="P243" i="182"/>
  <c r="O243" i="182"/>
  <c r="N243" i="182"/>
  <c r="M243" i="182"/>
  <c r="I242" i="182"/>
  <c r="H242" i="182"/>
  <c r="G242" i="182"/>
  <c r="J102" i="182"/>
  <c r="I97" i="182"/>
  <c r="H97" i="182"/>
  <c r="G97" i="182"/>
  <c r="J94" i="182"/>
  <c r="J87" i="182"/>
  <c r="J80" i="182"/>
  <c r="J75" i="182"/>
  <c r="J70" i="182"/>
  <c r="J64" i="182"/>
  <c r="I59" i="182"/>
  <c r="G59" i="182"/>
  <c r="J51" i="182"/>
  <c r="J47" i="182"/>
  <c r="J43" i="182"/>
  <c r="R39" i="182"/>
  <c r="Q39" i="182"/>
  <c r="P39" i="182"/>
  <c r="O39" i="182"/>
  <c r="N39" i="182"/>
  <c r="M39" i="182"/>
  <c r="L39" i="182"/>
  <c r="K39" i="182"/>
  <c r="I38" i="182"/>
  <c r="H38" i="182"/>
  <c r="H232" i="182" s="1"/>
  <c r="G38" i="182"/>
  <c r="J35" i="182"/>
  <c r="J30" i="182"/>
  <c r="J25" i="182"/>
  <c r="J20" i="182"/>
  <c r="J15" i="182"/>
  <c r="J10" i="182"/>
  <c r="I98" i="181"/>
  <c r="H93" i="181"/>
  <c r="G93" i="181"/>
  <c r="H55" i="181"/>
  <c r="G55" i="181"/>
  <c r="Q39" i="181"/>
  <c r="P39" i="181"/>
  <c r="O39" i="181"/>
  <c r="N39" i="181"/>
  <c r="M39" i="181"/>
  <c r="L39" i="181"/>
  <c r="K39" i="181"/>
  <c r="J39" i="181"/>
  <c r="H38" i="181"/>
  <c r="G38" i="181"/>
  <c r="N233" i="182" l="1"/>
  <c r="K233" i="182"/>
  <c r="O233" i="182"/>
  <c r="L233" i="182"/>
  <c r="P233" i="182"/>
  <c r="R233" i="182"/>
  <c r="M233" i="182"/>
  <c r="Q233" i="182"/>
  <c r="I232" i="182"/>
  <c r="G232" i="182"/>
  <c r="J98" i="182"/>
  <c r="P102" i="181"/>
  <c r="G105" i="182"/>
  <c r="G227" i="182" s="1"/>
  <c r="O106" i="182"/>
  <c r="L106" i="182"/>
  <c r="R102" i="181"/>
  <c r="N102" i="181"/>
  <c r="J102" i="181"/>
  <c r="F101" i="181"/>
  <c r="F109" i="181" s="1"/>
  <c r="O102" i="181"/>
  <c r="K102" i="181"/>
  <c r="K106" i="182"/>
  <c r="G101" i="181"/>
  <c r="G109" i="181" s="1"/>
  <c r="L102" i="181"/>
  <c r="J39" i="182"/>
  <c r="H105" i="182"/>
  <c r="H227" i="182" s="1"/>
  <c r="M106" i="182"/>
  <c r="Q106" i="182"/>
  <c r="I39" i="181"/>
  <c r="H101" i="181"/>
  <c r="H109" i="181" s="1"/>
  <c r="M102" i="181"/>
  <c r="Q102" i="181"/>
  <c r="I105" i="182"/>
  <c r="I227" i="182" s="1"/>
  <c r="N106" i="182"/>
  <c r="R106" i="182"/>
  <c r="I106" i="181"/>
  <c r="J238" i="182"/>
  <c r="J60" i="182"/>
  <c r="P106" i="182"/>
  <c r="L243" i="182"/>
  <c r="R243" i="182"/>
  <c r="O228" i="182" l="1"/>
  <c r="R228" i="182"/>
  <c r="P228" i="182"/>
  <c r="M228" i="182"/>
  <c r="L228" i="182"/>
  <c r="N228" i="182"/>
  <c r="Q228" i="182"/>
  <c r="K110" i="181"/>
  <c r="N110" i="181"/>
  <c r="M110" i="181"/>
  <c r="J110" i="181"/>
  <c r="Q110" i="181"/>
  <c r="L110" i="181"/>
  <c r="O110" i="181"/>
  <c r="R110" i="181"/>
  <c r="P110" i="181"/>
  <c r="I102" i="181"/>
  <c r="I110" i="181" s="1"/>
  <c r="K228" i="182"/>
  <c r="K243" i="182"/>
  <c r="J106" i="182"/>
  <c r="J233" i="182"/>
  <c r="O8" i="109" l="1"/>
  <c r="O10" i="109"/>
  <c r="O9" i="109"/>
  <c r="J243" i="182"/>
  <c r="J228" i="182"/>
  <c r="I690" i="105"/>
  <c r="I579" i="105"/>
  <c r="I575" i="105"/>
  <c r="I545" i="105"/>
  <c r="I483" i="105"/>
  <c r="I203" i="105" l="1"/>
  <c r="I306" i="105" l="1"/>
  <c r="I132" i="105"/>
  <c r="I18" i="105"/>
  <c r="P79" i="149" l="1"/>
  <c r="P74" i="149"/>
  <c r="P59" i="149" l="1"/>
  <c r="O75" i="144" l="1"/>
  <c r="P168" i="149" l="1"/>
  <c r="I9" i="115" l="1"/>
  <c r="H9" i="115"/>
  <c r="H7" i="115" s="1"/>
  <c r="G9" i="115"/>
  <c r="I302" i="105" l="1"/>
  <c r="G9" i="113" l="1"/>
  <c r="I686" i="105" l="1"/>
  <c r="I643" i="105"/>
  <c r="N651" i="105" l="1"/>
  <c r="N829" i="105" l="1"/>
  <c r="O12" i="109" s="1"/>
  <c r="N833" i="105"/>
  <c r="I829" i="105" l="1"/>
  <c r="H31" i="109"/>
  <c r="I833" i="105"/>
  <c r="O23" i="144"/>
  <c r="H39" i="115" l="1"/>
  <c r="H35" i="115"/>
  <c r="H31" i="115"/>
  <c r="H25" i="115"/>
  <c r="H15" i="115" s="1"/>
  <c r="H68" i="113"/>
  <c r="H60" i="113"/>
  <c r="H53" i="113"/>
  <c r="H48" i="113"/>
  <c r="H44" i="113"/>
  <c r="H33" i="113"/>
  <c r="H22" i="113"/>
  <c r="H21" i="113" s="1"/>
  <c r="H9" i="113"/>
  <c r="H8" i="113" s="1"/>
  <c r="I451" i="105"/>
  <c r="I475" i="105"/>
  <c r="I429" i="105"/>
  <c r="I434" i="105"/>
  <c r="I443" i="105"/>
  <c r="I447" i="105"/>
  <c r="I455" i="105"/>
  <c r="I463" i="105"/>
  <c r="I467" i="105"/>
  <c r="I471" i="105"/>
  <c r="I479" i="105"/>
  <c r="I491" i="105"/>
  <c r="I500" i="105"/>
  <c r="I504" i="105"/>
  <c r="I516" i="105"/>
  <c r="I520" i="105"/>
  <c r="I524" i="105"/>
  <c r="I528" i="105"/>
  <c r="I532" i="105"/>
  <c r="I537" i="105"/>
  <c r="I549" i="105"/>
  <c r="I554" i="105"/>
  <c r="I558" i="105"/>
  <c r="I562" i="105"/>
  <c r="I566" i="105"/>
  <c r="I583" i="105"/>
  <c r="I587" i="105"/>
  <c r="I591" i="105"/>
  <c r="I595" i="105"/>
  <c r="I599" i="105"/>
  <c r="I603" i="105"/>
  <c r="I607" i="105"/>
  <c r="I611" i="105"/>
  <c r="I615" i="105"/>
  <c r="I619" i="105"/>
  <c r="I623" i="105"/>
  <c r="I627" i="105"/>
  <c r="I631" i="105"/>
  <c r="I635" i="105"/>
  <c r="I639" i="105"/>
  <c r="I647" i="105"/>
  <c r="I651" i="105"/>
  <c r="I655" i="105"/>
  <c r="I659" i="105"/>
  <c r="I663" i="105"/>
  <c r="I667" i="105"/>
  <c r="I671" i="105"/>
  <c r="I682" i="105"/>
  <c r="J64" i="113"/>
  <c r="I194" i="105"/>
  <c r="I190" i="105"/>
  <c r="I186" i="105"/>
  <c r="E24" i="134"/>
  <c r="E25" i="134"/>
  <c r="O11" i="109"/>
  <c r="O47" i="144"/>
  <c r="O35" i="144"/>
  <c r="O31" i="144"/>
  <c r="O27" i="144"/>
  <c r="O11" i="144"/>
  <c r="O43" i="144"/>
  <c r="O39" i="144"/>
  <c r="O19" i="144"/>
  <c r="O15" i="144"/>
  <c r="I355" i="105"/>
  <c r="G26" i="109"/>
  <c r="G35" i="109" s="1"/>
  <c r="I198" i="105"/>
  <c r="I15" i="115"/>
  <c r="G25" i="115"/>
  <c r="I333" i="105"/>
  <c r="G7" i="115"/>
  <c r="I44" i="113"/>
  <c r="G44" i="113"/>
  <c r="O26" i="109"/>
  <c r="O23" i="109"/>
  <c r="G24" i="109"/>
  <c r="I416" i="105"/>
  <c r="I412" i="105"/>
  <c r="I408" i="105"/>
  <c r="I403" i="105"/>
  <c r="I399" i="105"/>
  <c r="I395" i="105"/>
  <c r="I391" i="105"/>
  <c r="I383" i="105"/>
  <c r="I379" i="105"/>
  <c r="I375" i="105"/>
  <c r="I371" i="105"/>
  <c r="I367" i="105"/>
  <c r="I363" i="105"/>
  <c r="I359" i="105"/>
  <c r="I350" i="105"/>
  <c r="I342" i="105"/>
  <c r="I338" i="105"/>
  <c r="I315" i="105"/>
  <c r="I286" i="105"/>
  <c r="I278" i="105"/>
  <c r="I274" i="105"/>
  <c r="I270" i="105"/>
  <c r="I266" i="105"/>
  <c r="I261" i="105"/>
  <c r="I248" i="105"/>
  <c r="I207" i="105"/>
  <c r="I128" i="105"/>
  <c r="I124" i="105"/>
  <c r="I81" i="105"/>
  <c r="I26" i="105"/>
  <c r="I22" i="105"/>
  <c r="I14" i="105"/>
  <c r="I10" i="105"/>
  <c r="J39" i="115"/>
  <c r="I39" i="115"/>
  <c r="G39" i="115"/>
  <c r="J35" i="115"/>
  <c r="I35" i="115"/>
  <c r="G35" i="115"/>
  <c r="I31" i="115"/>
  <c r="G31" i="115"/>
  <c r="I7" i="115"/>
  <c r="J68" i="113"/>
  <c r="I68" i="113"/>
  <c r="G68" i="113"/>
  <c r="I64" i="113"/>
  <c r="G64" i="113"/>
  <c r="I60" i="113"/>
  <c r="G60" i="113"/>
  <c r="J53" i="113"/>
  <c r="I53" i="113"/>
  <c r="G53" i="113"/>
  <c r="I48" i="113"/>
  <c r="G48" i="113"/>
  <c r="J44" i="113"/>
  <c r="G33" i="113"/>
  <c r="J22" i="113"/>
  <c r="I22" i="113"/>
  <c r="I21" i="113" s="1"/>
  <c r="I9" i="113"/>
  <c r="I8" i="113" s="1"/>
  <c r="G8" i="113"/>
  <c r="O19" i="109" l="1"/>
  <c r="G27" i="109"/>
  <c r="J21" i="113"/>
  <c r="G59" i="113"/>
  <c r="G57" i="113" s="1"/>
  <c r="G43" i="113"/>
  <c r="I13" i="115"/>
  <c r="I38" i="115" s="1"/>
  <c r="I45" i="115" s="1"/>
  <c r="I43" i="113"/>
  <c r="E23" i="134"/>
  <c r="E22" i="134"/>
  <c r="O17" i="109"/>
  <c r="I59" i="113"/>
  <c r="I57" i="113" s="1"/>
  <c r="O28" i="109"/>
  <c r="H43" i="113"/>
  <c r="H64" i="113"/>
  <c r="H59" i="113" s="1"/>
  <c r="H57" i="113" s="1"/>
  <c r="H13" i="115"/>
  <c r="H38" i="115" s="1"/>
  <c r="H45" i="115" s="1"/>
  <c r="I257" i="105"/>
  <c r="G15" i="115"/>
  <c r="G13" i="115" s="1"/>
  <c r="G38" i="115" s="1"/>
  <c r="G45" i="115" s="1"/>
  <c r="J9" i="115"/>
  <c r="G10" i="109"/>
  <c r="G11" i="109"/>
  <c r="G16" i="109"/>
  <c r="G18" i="109"/>
  <c r="I7" i="113"/>
  <c r="G7" i="113"/>
  <c r="H7" i="113"/>
  <c r="I346" i="105"/>
  <c r="J15" i="115"/>
  <c r="O13" i="109"/>
  <c r="I282" i="105"/>
  <c r="I459" i="105"/>
  <c r="I837" i="105"/>
  <c r="P20" i="109" l="1"/>
  <c r="G9" i="109"/>
  <c r="J7" i="113"/>
  <c r="G55" i="113"/>
  <c r="G56" i="113" s="1"/>
  <c r="H55" i="113"/>
  <c r="H72" i="113" s="1"/>
  <c r="J60" i="113"/>
  <c r="I55" i="113"/>
  <c r="H32" i="109" l="1"/>
  <c r="P21" i="109"/>
  <c r="H30" i="109" s="1"/>
  <c r="I56" i="113"/>
  <c r="I72" i="113"/>
  <c r="G14" i="109"/>
  <c r="G23" i="109"/>
  <c r="G34" i="109" s="1"/>
  <c r="G72" i="113"/>
  <c r="H56" i="113"/>
  <c r="O16" i="109"/>
  <c r="J59" i="113"/>
  <c r="J57" i="113" s="1"/>
  <c r="J31" i="115"/>
  <c r="J43" i="113"/>
  <c r="J55" i="113" s="1"/>
  <c r="G17" i="109"/>
  <c r="G20" i="109" s="1"/>
  <c r="J7" i="115"/>
  <c r="O18" i="109"/>
  <c r="P29" i="109" l="1"/>
  <c r="H33" i="109"/>
  <c r="G28" i="109"/>
  <c r="J13" i="115"/>
  <c r="J38" i="115" s="1"/>
  <c r="J72" i="113"/>
  <c r="G21" i="109"/>
  <c r="O20" i="109"/>
  <c r="O14" i="109"/>
  <c r="G29" i="109" l="1"/>
  <c r="G36" i="109" s="1"/>
  <c r="J56" i="113"/>
  <c r="P36" i="109"/>
  <c r="P37" i="109"/>
  <c r="G32" i="109"/>
  <c r="G31" i="109"/>
  <c r="O21" i="109"/>
  <c r="J45" i="115"/>
  <c r="G37" i="109" l="1"/>
  <c r="O29" i="109"/>
  <c r="O36" i="109" s="1"/>
  <c r="G30" i="109"/>
  <c r="G33" i="109" s="1"/>
  <c r="O37" i="109" l="1"/>
  <c r="P12" i="149"/>
</calcChain>
</file>

<file path=xl/sharedStrings.xml><?xml version="1.0" encoding="utf-8"?>
<sst xmlns="http://schemas.openxmlformats.org/spreadsheetml/2006/main" count="3383" uniqueCount="1028">
  <si>
    <t>adatok eFt-ban</t>
  </si>
  <si>
    <t>A</t>
  </si>
  <si>
    <t>C</t>
  </si>
  <si>
    <t>B</t>
  </si>
  <si>
    <t>D</t>
  </si>
  <si>
    <t>E</t>
  </si>
  <si>
    <t>Megnevezés</t>
  </si>
  <si>
    <t>Temetők üzemeltetésével kapcsolatos feladatok</t>
  </si>
  <si>
    <t>Parkfenntartás</t>
  </si>
  <si>
    <t>Köztisztasági feladatok</t>
  </si>
  <si>
    <t>Városi kiemelt fesztiválok</t>
  </si>
  <si>
    <t>Városi lap kiadásai</t>
  </si>
  <si>
    <t>Kitüntetések</t>
  </si>
  <si>
    <t>MINDÖSSZESEN:</t>
  </si>
  <si>
    <t>Veszprém Megyei Jogú Város Önkormányzata</t>
  </si>
  <si>
    <t>F</t>
  </si>
  <si>
    <t>G</t>
  </si>
  <si>
    <t>H</t>
  </si>
  <si>
    <t>Cím</t>
  </si>
  <si>
    <t>Alcím</t>
  </si>
  <si>
    <t>Feladatellátás jellege*</t>
  </si>
  <si>
    <t>Teljes költség</t>
  </si>
  <si>
    <t>Önkormányzati felújítási kiadások</t>
  </si>
  <si>
    <t>K</t>
  </si>
  <si>
    <t>NK</t>
  </si>
  <si>
    <t>* Feladatellátás jellege:</t>
  </si>
  <si>
    <t>K= Magyarország helyi önkormányzatairól szóló 2011. évi CLXXXIX. törvény 13. § (1) bekezdése szerinti kötelező feladatok</t>
  </si>
  <si>
    <t>NK= Önkormányzat által önként vállalt feladatok</t>
  </si>
  <si>
    <t>J</t>
  </si>
  <si>
    <t>Önkormányzati beruházási kiadások</t>
  </si>
  <si>
    <t>Laczkó Dezső Múzeum</t>
  </si>
  <si>
    <t>Informatikai kiadások</t>
  </si>
  <si>
    <t>I</t>
  </si>
  <si>
    <t>L</t>
  </si>
  <si>
    <t>M</t>
  </si>
  <si>
    <t>Működési költségvetési kiadások</t>
  </si>
  <si>
    <t>Személyi juttatások</t>
  </si>
  <si>
    <t>Munk.a. terh. jár. és szoc.hj.adó</t>
  </si>
  <si>
    <t>Dologi kiadások</t>
  </si>
  <si>
    <t>Egyéb működési kiadások</t>
  </si>
  <si>
    <t>Nemzeti ünnepek kiadásaira</t>
  </si>
  <si>
    <t>Közművelődési szolgált.</t>
  </si>
  <si>
    <t>Nemzetközi kapcsolatok</t>
  </si>
  <si>
    <t>Marketing tevékenység, marketing stratégia</t>
  </si>
  <si>
    <t xml:space="preserve">          - Gizella Napok</t>
  </si>
  <si>
    <t xml:space="preserve">          - Tánc Fesztivál </t>
  </si>
  <si>
    <t xml:space="preserve">          - Veszprémi Utcazene Fesztivál</t>
  </si>
  <si>
    <t xml:space="preserve">          - Auer Hegedűfesztivál</t>
  </si>
  <si>
    <t>Eseti rendezvények</t>
  </si>
  <si>
    <t>Köztéri szobrok, emléktáblák, lektorátus</t>
  </si>
  <si>
    <t>Kiadványok, folyóiratok támogatása</t>
  </si>
  <si>
    <t>Méz Rádió támogatása</t>
  </si>
  <si>
    <t>ebből: - Mendelssohn Kamarazenekar</t>
  </si>
  <si>
    <t xml:space="preserve"> - Veszprém Város Vegyeskara</t>
  </si>
  <si>
    <t xml:space="preserve"> - Veszprémi Táncegyüttesért Alapítvány</t>
  </si>
  <si>
    <t xml:space="preserve"> - Liszt F. Kórus</t>
  </si>
  <si>
    <t>Tanórán kívüli tevékenység támogatása</t>
  </si>
  <si>
    <t>Sportpálya fenntartás, ill. fenntartói tám.</t>
  </si>
  <si>
    <t>Sportcélok és feladatok (sportigazgatás)</t>
  </si>
  <si>
    <t>Polgármesteri keret</t>
  </si>
  <si>
    <t>Városi civil keret</t>
  </si>
  <si>
    <t xml:space="preserve"> ebből : - Nyugdíjas szervezetek számára pályázati keret</t>
  </si>
  <si>
    <t xml:space="preserve">            - Pályázati keret</t>
  </si>
  <si>
    <t>Köztemetés</t>
  </si>
  <si>
    <t xml:space="preserve">Közcélú és közhasznú foglalkoztatás </t>
  </si>
  <si>
    <t>Települési szilárdhulladék szállítás ártámogatás</t>
  </si>
  <si>
    <t>Máltai Szeretetszolgálatnak pénzeszköz átadás (ellátási szerződés)</t>
  </si>
  <si>
    <t>Lelkisegély szolgálat</t>
  </si>
  <si>
    <t>Hittudományi Főiskola támogatása</t>
  </si>
  <si>
    <t>Foglalkoztatás eü. szolg.</t>
  </si>
  <si>
    <t>Munkavédelmi feladatok</t>
  </si>
  <si>
    <t>Közbeszerzési eljárások költségei</t>
  </si>
  <si>
    <t xml:space="preserve">Önkormányzat igazgatási tevékenysége </t>
  </si>
  <si>
    <t>Igazgatás - Állam felé befizetési kötelezettség</t>
  </si>
  <si>
    <t>ÁFA befizetés</t>
  </si>
  <si>
    <t>Kamatkiadások</t>
  </si>
  <si>
    <t>Városi Közbiztonság Keret</t>
  </si>
  <si>
    <t>Nem lakáscélú helyiségek üzemeltetési költségei</t>
  </si>
  <si>
    <t>Közüzemi Zrt. jutaléka</t>
  </si>
  <si>
    <t>Városi TV közszolgálati műsorok támogatása</t>
  </si>
  <si>
    <t>Peres ügyek, Kártérítési díjak kifizetése ingatlantulajdonosok részére</t>
  </si>
  <si>
    <t>Jutasi úti műfüves pálya fenntartása (LUC)</t>
  </si>
  <si>
    <t>TDM Irodától szolgáltatás vásárlása</t>
  </si>
  <si>
    <t>Településfejlesztési feladatok</t>
  </si>
  <si>
    <t>Rekultivációt megelőző telephely fenntartási költség</t>
  </si>
  <si>
    <t>Aluljárók csapadékvíz átemelőinek üzemeltetése</t>
  </si>
  <si>
    <t>Szökőkutak, ivókutak szolgáltatási díjai</t>
  </si>
  <si>
    <t>Közvilágítás</t>
  </si>
  <si>
    <t>Közműalagút működtetése</t>
  </si>
  <si>
    <t>Környezetvédelmi feladat (Városüzemeltetés feladatai)</t>
  </si>
  <si>
    <t>Környezetvédelmi feladat (Közigazgatási Iroda feladatai)</t>
  </si>
  <si>
    <t>Nemzetiségi önkormányzatok kiadásai:</t>
  </si>
  <si>
    <t xml:space="preserve"> ebből: - Roma Nemzetiségi Önkormányzat</t>
  </si>
  <si>
    <t>- Német Nemzetiségi Önkormányzat</t>
  </si>
  <si>
    <t>- Örmény Nemzetiségi Önkormányzat</t>
  </si>
  <si>
    <t>- Lengyel Nemzetiségi Önkormányzat</t>
  </si>
  <si>
    <t>- Ukrán Nemzetiségi Önkormányzat</t>
  </si>
  <si>
    <t>Ebből: Önkormányzat által ellátott kötelező feladatok összesen:</t>
  </si>
  <si>
    <t>Ebből: Önkormányzat által ellátott önként vállalt feladatok összesen:</t>
  </si>
  <si>
    <t>KIMUTATÁS</t>
  </si>
  <si>
    <t>Göllesz Viktor Fogyatékos Személyek Nappali Intézménye</t>
  </si>
  <si>
    <t>VMJV Önkormányzata</t>
  </si>
  <si>
    <t>Összesen</t>
  </si>
  <si>
    <t>Iparűzési adó</t>
  </si>
  <si>
    <t>Építményadó</t>
  </si>
  <si>
    <t>Telekadó</t>
  </si>
  <si>
    <t>Kommunális adó</t>
  </si>
  <si>
    <t>Idegenforgalmi adó</t>
  </si>
  <si>
    <t>Veszprém Megyei Jogú Város Önkormányzata Intézményei</t>
  </si>
  <si>
    <t>Működési költségvetési bevételek</t>
  </si>
  <si>
    <t>Felhalmozási költségvetési bevételek</t>
  </si>
  <si>
    <t>Irányító szervtől kapott támogatás</t>
  </si>
  <si>
    <t>Működési bevételek</t>
  </si>
  <si>
    <t>Működési célú támogatás Áht-on belülről</t>
  </si>
  <si>
    <t>Működési célú átvett pénzeszköz</t>
  </si>
  <si>
    <t>Felhalmozási bevétel</t>
  </si>
  <si>
    <t>Felhalmozási célú támogatás Áht.-on belülről</t>
  </si>
  <si>
    <t>Felhalmozási célú átvett pénzeszköz</t>
  </si>
  <si>
    <t>Közcélú és közhasznú foglalkoztatás</t>
  </si>
  <si>
    <t>(Ringató Óvoda, Erdei Tagóvoda, Kuckó Tagóvoda)</t>
  </si>
  <si>
    <t>(Egry ltp. Óvoda, Nárcisz Tagóvoda)</t>
  </si>
  <si>
    <t>(Csillag úti Óvoda, Cholnoky ltp. Óvoda)</t>
  </si>
  <si>
    <t>(Kastélykert Óvoda, Ficánka Óvoda)</t>
  </si>
  <si>
    <t>Veszprémi Petőfi Színház</t>
  </si>
  <si>
    <t>INTÉZMÉNYEK ÖSSZESEN:</t>
  </si>
  <si>
    <t>VMJV Polgármesteri Hivatal által ellátott kötelező és önként vállalt feladatok</t>
  </si>
  <si>
    <t>N</t>
  </si>
  <si>
    <t>O</t>
  </si>
  <si>
    <t>P</t>
  </si>
  <si>
    <t>Felhalmozási költségvetési kiadások</t>
  </si>
  <si>
    <t>Egyéb felhalmozási célú kiadások</t>
  </si>
  <si>
    <t>Igazgatási tevékenység</t>
  </si>
  <si>
    <t>Gondnokság</t>
  </si>
  <si>
    <t>Ebből:</t>
  </si>
  <si>
    <t>Önkormányzati kötelező feladatokat ellátó intézmények összesen</t>
  </si>
  <si>
    <t>Önkormányzat által önként vállalt feladatokat ellátó intézmények összesen</t>
  </si>
  <si>
    <t>VMJV Polgármesteri Hivatal által ellátott kötelező és államigazgatási feladatok összesen</t>
  </si>
  <si>
    <t>Veszprém Megyei Jogú Város Önkormányzatának</t>
  </si>
  <si>
    <t>Működési célú támogatások Áht-on belülről</t>
  </si>
  <si>
    <t>Önkormányzatok működési támogatásai</t>
  </si>
  <si>
    <t>Működési célú költségvetési támogatások és kiegészítő támogatások</t>
  </si>
  <si>
    <t>Egyéb működési célú támogatások bevételei</t>
  </si>
  <si>
    <t>ebből: Társadalombizt. Alapból származó támogatás</t>
  </si>
  <si>
    <t>Önkormányzati Intézmények  működési célú támogatások Áht-on belülről</t>
  </si>
  <si>
    <t>Közhatalmi bevételek</t>
  </si>
  <si>
    <t>Adók</t>
  </si>
  <si>
    <t>Egyéb pótlékok, bírságok</t>
  </si>
  <si>
    <t>Egyéb közhatalmi bevételek (bírságok, igazgatási szolgáltatási díjak)</t>
  </si>
  <si>
    <t>Önkormányzati Intézmények működési bevételek</t>
  </si>
  <si>
    <t>Működési célú átvett pénzeszközök</t>
  </si>
  <si>
    <t>Önkormányzati Intézmények működési célú átvett pénzeszközök</t>
  </si>
  <si>
    <t>Felhalmozási célú támogatások Áht-on belülről</t>
  </si>
  <si>
    <t>Felhalmozási célú önkormányzati támogatások</t>
  </si>
  <si>
    <t>Egyéb felhalmozási célú támogatások bevételei</t>
  </si>
  <si>
    <t>Önkormányzati Intézmények felhalmozási célú támogatások Áht-on belülről</t>
  </si>
  <si>
    <t>Felhalmozási bevételek</t>
  </si>
  <si>
    <t>Ingatlanok értékesítése</t>
  </si>
  <si>
    <t>Önkormányzati Intézmények felhalmozási bevételei</t>
  </si>
  <si>
    <t>Felhalmozási célú átvett pénzeszközök</t>
  </si>
  <si>
    <t>Önkormányzati Intézmények felhalmozási célú átvett pénzeszközök</t>
  </si>
  <si>
    <t>Lakásalap</t>
  </si>
  <si>
    <t>Költségvetési bevételek összesen</t>
  </si>
  <si>
    <t>Költségvetési egyenleg összege</t>
  </si>
  <si>
    <t>Finanszírozási bevételek</t>
  </si>
  <si>
    <t>Intézmények</t>
  </si>
  <si>
    <t>VMJV Polgármesteri Hivatala</t>
  </si>
  <si>
    <t>Beruházási hitelfelvétel</t>
  </si>
  <si>
    <t>Előző évi hitelszerződéseken alapuló felvétel</t>
  </si>
  <si>
    <t>Bevételi főösszeg</t>
  </si>
  <si>
    <t xml:space="preserve">Cím  </t>
  </si>
  <si>
    <t>Intézményi költségvetési kiadások</t>
  </si>
  <si>
    <t>Céltartalékok</t>
  </si>
  <si>
    <t>Általános tartalék</t>
  </si>
  <si>
    <t>Lakásalap kiadása</t>
  </si>
  <si>
    <t>Költségvetési kiadások összesen</t>
  </si>
  <si>
    <t>Finanszírozási kiadások</t>
  </si>
  <si>
    <t>Működési finanszírozási kiadások</t>
  </si>
  <si>
    <t>Felhalmozási finanszírozási kiadások</t>
  </si>
  <si>
    <t xml:space="preserve"> - Hiteltörlesztés</t>
  </si>
  <si>
    <t xml:space="preserve"> - Lakásalap hiteltörlesztése</t>
  </si>
  <si>
    <t>Kiadási főösszeg</t>
  </si>
  <si>
    <t>VESZPRÉM MEGYEI JOGÚ VÁROS ÖNKORMÁNYZATÁNAK MŰKÖDÉSI ÉS FELHALMOZÁSI</t>
  </si>
  <si>
    <t>MŰKÖDÉSI KÖLTSÉGVETÉSI BEVÉTELEK</t>
  </si>
  <si>
    <t>MŰKÖDÉSI KÖLTSÉGVETÉSI KIADÁSOK</t>
  </si>
  <si>
    <t>Működési célú támogatások államháztartáson belülről</t>
  </si>
  <si>
    <t>Munkaadókat terhelő járulékok és szociális hozzájárulási adó</t>
  </si>
  <si>
    <t>Ellátottak pénzbeli juttatásai</t>
  </si>
  <si>
    <t>Egyéb működési célú kiadások (tartalékok nélkül)</t>
  </si>
  <si>
    <t>Működési költségvetési bevételek összesen</t>
  </si>
  <si>
    <t>Működési költségvetési kiadások összesen</t>
  </si>
  <si>
    <t>FELHALMOZÁSI KÖLTSÉGVETÉSI BEVÉTELEK</t>
  </si>
  <si>
    <t>FELHALMOZÁSI KÖLTSÉGVETÉSI KIADÁSOK</t>
  </si>
  <si>
    <t>Felhalmozási célú támogatások államháztartáson belülről</t>
  </si>
  <si>
    <t>Beruházási kiadások</t>
  </si>
  <si>
    <t>Felújítási kiadások</t>
  </si>
  <si>
    <t>Felhalmozási költségvetési bevételek összesen</t>
  </si>
  <si>
    <t>Felhalmozási költségvetési kiadások összesen</t>
  </si>
  <si>
    <t>MŰKÖDÉSI FINANSZÍROZÁSI BEVÉTELEK</t>
  </si>
  <si>
    <t>MŰKÖDÉSI FINANSZÍROZÁSI KIADÁSOK</t>
  </si>
  <si>
    <t>FELHALMOZÁSI FINANSZÍROZÁSI BEVÉTELEK</t>
  </si>
  <si>
    <t>FELHALMOZÁSI FINANSZÍROZÁSI KIADÁSOK</t>
  </si>
  <si>
    <t>Hosszú lejáratú hitel felvétele</t>
  </si>
  <si>
    <t>Hosszú lejáratú hitel tőkeösszegének törlesztése</t>
  </si>
  <si>
    <t>Finanszírozási bevételek összesen</t>
  </si>
  <si>
    <t>Finanszírozási kiadások összesen</t>
  </si>
  <si>
    <t>ÖSSZES BEVÉTEL</t>
  </si>
  <si>
    <t>ÖSSZES KIADÁS</t>
  </si>
  <si>
    <t>ebből működési:</t>
  </si>
  <si>
    <t>ebből felhalmozási:</t>
  </si>
  <si>
    <t>Finanszírozási kiadásokkal korrigált hiány összege</t>
  </si>
  <si>
    <t>Működési bevételek aránya %-ban</t>
  </si>
  <si>
    <t>Működési kiadások aránya %-ban</t>
  </si>
  <si>
    <t>Felhalmozási bevételek aránya %-ban</t>
  </si>
  <si>
    <t>Felhalmozási kiadások aránya %-ban</t>
  </si>
  <si>
    <t xml:space="preserve"> </t>
  </si>
  <si>
    <t>Kiemelt művészeti együttesek támogatása</t>
  </si>
  <si>
    <t>Bérleményekkel, haszonbérletekkel kapcsolatos feladatok</t>
  </si>
  <si>
    <t>Csapadékcsatornák üzemeltetési szolgáltatásai</t>
  </si>
  <si>
    <t>Felhalmozási célú átvett pénzeszközök (kölcsönök visszatérülése)</t>
  </si>
  <si>
    <t>Felhalmozási célú költségvetési maradvány igénybevétele</t>
  </si>
  <si>
    <t>Előző évi  költségvetési maradvány</t>
  </si>
  <si>
    <t>Államháztartáson belüli megelőlegezések</t>
  </si>
  <si>
    <t>Államháztartáson belüli megelőlegezések visszafizetése</t>
  </si>
  <si>
    <t>Veszprémi Ringató Körzeti Óvoda</t>
  </si>
  <si>
    <t>Veszprémi Egry úti Körzeti Óvoda</t>
  </si>
  <si>
    <t>Veszprémi Csillag úti Körzeti Óvoda</t>
  </si>
  <si>
    <t>Veszprémi Kastélykert Körzeti Óvoda</t>
  </si>
  <si>
    <t>Veszprémi Intézményi Szolgáltató Szervezet</t>
  </si>
  <si>
    <t>Nyári diákmunka</t>
  </si>
  <si>
    <t>Pannon Várszínház támogatás</t>
  </si>
  <si>
    <t>Városi rendezvények</t>
  </si>
  <si>
    <t>SÉD folyóirat költségei</t>
  </si>
  <si>
    <t>M.J.V.SZ. tám. Kárpátalja megsegítésére</t>
  </si>
  <si>
    <t>ebből:  - Lélektér Alapítvány</t>
  </si>
  <si>
    <t xml:space="preserve">           - Tanulmányi ösztöndíj</t>
  </si>
  <si>
    <t xml:space="preserve">           - Fiatalok napja rendezvény</t>
  </si>
  <si>
    <t>Lakbértámogatás</t>
  </si>
  <si>
    <t>Települési támogatások</t>
  </si>
  <si>
    <t>Parkolók üzemeltetési költsége</t>
  </si>
  <si>
    <t>ebből:  - Rendkívüli támogatás</t>
  </si>
  <si>
    <t>Egészségügyi feladatok ellátását szolgáló ingatlanrész bérleti díja és rezsiköltségek</t>
  </si>
  <si>
    <t>Szolgáltatások, közvetített szolgáltatások ellenértéke</t>
  </si>
  <si>
    <t>ÁFA bevételek és visszatérülések</t>
  </si>
  <si>
    <t>Költségvetési hiány belső finanszírozására szolgáló bevételek</t>
  </si>
  <si>
    <t>Költségvetési hiány külső finanszírozására szolgáló bevételek</t>
  </si>
  <si>
    <t>Feladatellátás jellege</t>
  </si>
  <si>
    <t>Egyéb városüzemeltetési feladatok</t>
  </si>
  <si>
    <t>VKSZ Zrt. által ellátott városüzemeltetési feladatok</t>
  </si>
  <si>
    <t>VKSZ Zrt. által ellátott intézményüzemeltetési feladatok</t>
  </si>
  <si>
    <t>Intézményi működtetők költsége</t>
  </si>
  <si>
    <t>Szenvedélybetegek ellátásának működési kiadásaihoz támogatás</t>
  </si>
  <si>
    <t>Költségvetési maradvány</t>
  </si>
  <si>
    <t>eredeti előirányzat</t>
  </si>
  <si>
    <t>(Hársfa Tagóvoda, Bóbita Óvoda)</t>
  </si>
  <si>
    <t>Veszprémi Bóbita Körzeti Óvoda</t>
  </si>
  <si>
    <t>Veszprémi Vadvirág Körzeti Óvoda</t>
  </si>
  <si>
    <t>Bérlakások üzemeltetési költségei</t>
  </si>
  <si>
    <t>17</t>
  </si>
  <si>
    <t>(Csillagvár Waldorf Tagóvoda, Vadvirág Óvoda)</t>
  </si>
  <si>
    <t>Q</t>
  </si>
  <si>
    <t>Veszprémi Bölcsődei és Egészségügyi Alapellátási Integrált Intézmény</t>
  </si>
  <si>
    <t xml:space="preserve"> - Gizella Kórus/Dowland Alapítvány</t>
  </si>
  <si>
    <t xml:space="preserve">Központi orvosi ügyelet </t>
  </si>
  <si>
    <t>ELENA projekt előkészítési feladatokra konzorciumi hozzájárulás</t>
  </si>
  <si>
    <t>Program megnevezés</t>
  </si>
  <si>
    <t>Program megvalósításának ideje</t>
  </si>
  <si>
    <t>Saját erő</t>
  </si>
  <si>
    <t>EU támogatás összesen</t>
  </si>
  <si>
    <t>EU támogatás</t>
  </si>
  <si>
    <t xml:space="preserve">Veszprémi Bóbita Körzeti Óvoda </t>
  </si>
  <si>
    <r>
      <t>Ebből</t>
    </r>
    <r>
      <rPr>
        <i/>
        <sz val="10"/>
        <rFont val="Palatino Linotype"/>
        <family val="1"/>
        <charset val="238"/>
      </rPr>
      <t>: költségvetési támogatás</t>
    </r>
  </si>
  <si>
    <t>Projekt forrás összetétel</t>
  </si>
  <si>
    <t>Projekt költség megbontás</t>
  </si>
  <si>
    <t>1-16</t>
  </si>
  <si>
    <t>Eü. Alapellátás</t>
  </si>
  <si>
    <t>Megyei Könyvtár kistelepülési könyvtári és közművelődési célú kiegészítő állami támogatás</t>
  </si>
  <si>
    <t>Stadion üzemeltetése</t>
  </si>
  <si>
    <t>Városi ifjúsági keret</t>
  </si>
  <si>
    <t>Rendszeres gyermekvédelmi kedvezmény/pénzbeli ellátás</t>
  </si>
  <si>
    <t>Szünidei gyermekétkeztetés</t>
  </si>
  <si>
    <t xml:space="preserve">          - Lakásfenntartási támogatás </t>
  </si>
  <si>
    <t xml:space="preserve">          - Albérleti támogatás</t>
  </si>
  <si>
    <t xml:space="preserve">          - Temetési támogatás</t>
  </si>
  <si>
    <t xml:space="preserve">          - Térítési díj</t>
  </si>
  <si>
    <t xml:space="preserve">          - Gyógyszertámogatás</t>
  </si>
  <si>
    <t xml:space="preserve">         - Adósságcsökkentési támogatás</t>
  </si>
  <si>
    <t xml:space="preserve">         - Szünidei gyermekétkeztetés</t>
  </si>
  <si>
    <t>Nevelési szolgáltatás</t>
  </si>
  <si>
    <t>Szolidaritási hozzájárulás</t>
  </si>
  <si>
    <t>DAT térképfrissítés, földkönyv, közműnyilvántartás, GPS</t>
  </si>
  <si>
    <t>Hiány finanszírozása belső finanszírozásra szolgáló költségvetési bevétel összegével</t>
  </si>
  <si>
    <t>Hiány finanszírozása külső finanszírozásra szolgáló költségvetési bevétel összegével</t>
  </si>
  <si>
    <t>Csillagvár Waldorf Tagóvoda</t>
  </si>
  <si>
    <t>Hársfa Tagóvoda</t>
  </si>
  <si>
    <t>Nárcisz Tagóvoda</t>
  </si>
  <si>
    <t>Cholnoky Jenő Ltp. Tagóvoda</t>
  </si>
  <si>
    <t>Ficánka Tagóvoda</t>
  </si>
  <si>
    <t>Hóvirág Bölcsőde</t>
  </si>
  <si>
    <t>Vackor Bölcsőde</t>
  </si>
  <si>
    <t>Aprófalvi Bölcsőde</t>
  </si>
  <si>
    <t>Módszertani Bölcsőde</t>
  </si>
  <si>
    <t>Fogorvosi körzeteknek működési hozzájárulás</t>
  </si>
  <si>
    <t>Fogorvosi körzetek részére pályázati alap</t>
  </si>
  <si>
    <t>Állatmenhelyek támogatása</t>
  </si>
  <si>
    <t>Hatósági engedélyek beszerzése, hatályban tartása</t>
  </si>
  <si>
    <t>Közutak, hidak fenntartása</t>
  </si>
  <si>
    <t>Művészetek Háza Veszprém Művelődési Ház és Kiállítóhely</t>
  </si>
  <si>
    <t>Kabóca Bábszínház</t>
  </si>
  <si>
    <t>601835-CITIZ-1-2018-1-HU-CITIZ-NT Reveal YouropEaN Cultural Heritage/Tárd fel  európai kulturális örökségedet (ENriCH)</t>
  </si>
  <si>
    <t>Veszprémi Családsegítő és Gyermekjóléti Integrált Intézmény</t>
  </si>
  <si>
    <t xml:space="preserve">Agóra Veszprém Kulturális Központ </t>
  </si>
  <si>
    <t>1-17</t>
  </si>
  <si>
    <t>18</t>
  </si>
  <si>
    <t>Napsugár Bölcsőde</t>
  </si>
  <si>
    <t>VESZOL - Veszprém, Pápai u. 37. sz. munkásszálló működetési feladatai</t>
  </si>
  <si>
    <t>TOP orvosi rendelők felújításához tartozó költöztetési munkák</t>
  </si>
  <si>
    <t>Felújításra kerülő bölcsődék költöztetési, eszközszállítási feladatai</t>
  </si>
  <si>
    <t>Infrastruktúra fejlesztési feladatokhoz kapcsolódó kiadások</t>
  </si>
  <si>
    <t>GINOP - 7.1.9-17-2018-00023 Veszprém kulturális turisztikai kínálatának fejlesztése</t>
  </si>
  <si>
    <t>Védett sírok felújítása az Alsóvárosi temetőben</t>
  </si>
  <si>
    <t>Brusznyai Árpád Alapítvány támogatása</t>
  </si>
  <si>
    <t>Működési célú tartalékok</t>
  </si>
  <si>
    <t>Felhalmozási célú tartalékok</t>
  </si>
  <si>
    <t>Működési célú céltartalékok</t>
  </si>
  <si>
    <t>Felhalmozási célú céltartalékok</t>
  </si>
  <si>
    <t>R</t>
  </si>
  <si>
    <t>S</t>
  </si>
  <si>
    <t>Projekt teljes költség</t>
  </si>
  <si>
    <t xml:space="preserve">          - Beiskolázási támogatás</t>
  </si>
  <si>
    <t>2018. évi tény</t>
  </si>
  <si>
    <t>VMJV Polgármesteri Hivatal összesen:</t>
  </si>
  <si>
    <t>Munk.a. terh. Jár. És szoc.hj.adó</t>
  </si>
  <si>
    <t>Egyéb működési célú kiadások</t>
  </si>
  <si>
    <t>Működési költségvetési                                                                         kiadások</t>
  </si>
  <si>
    <r>
      <rPr>
        <b/>
        <sz val="10"/>
        <rFont val="Palatino Linotype"/>
        <family val="1"/>
        <charset val="238"/>
      </rPr>
      <t>TOP – 6.9.2 -16-VP1-2018-00001</t>
    </r>
    <r>
      <rPr>
        <sz val="10"/>
        <rFont val="Palatino Linotype"/>
        <family val="1"/>
        <charset val="238"/>
      </rPr>
      <t xml:space="preserve"> Közösségfejlesztés Veszprém város településrészein</t>
    </r>
  </si>
  <si>
    <t xml:space="preserve"> - Adóbevételekkel szembeni kötelezettség</t>
  </si>
  <si>
    <t>Óvodák összesen:</t>
  </si>
  <si>
    <t>Egészségügyi és szociális intézmények összesen:</t>
  </si>
  <si>
    <t>Kulturális és közművelődési intézmények összesen:</t>
  </si>
  <si>
    <t xml:space="preserve">Előir. csop. </t>
  </si>
  <si>
    <t>Kie-melt előir.</t>
  </si>
  <si>
    <t xml:space="preserve">Kie-melt előir. </t>
  </si>
  <si>
    <t xml:space="preserve"> Erdei és Kuckó Tagóvoda</t>
  </si>
  <si>
    <t>Önkormányzati működési kiadások</t>
  </si>
  <si>
    <t>INTÉZMÉNYEK BERUHÁZÁSI KIADÁSAI ÖSSZESEN:</t>
  </si>
  <si>
    <t>VMJV  Polgármesteri Hivatal beruházási kiadásai összesen:</t>
  </si>
  <si>
    <t>BERUHÁZÁSI KIADÁSOK MINDÖSSZESEN:</t>
  </si>
  <si>
    <t>TOP-6.4.1-16-VP1-2018-00002 Márkó-Bánd települések irányába kerékpárút építése</t>
  </si>
  <si>
    <t>TOP-7.1.1-16-H-ERFA-2019-00372 Barátságparki csalánkert</t>
  </si>
  <si>
    <t>Beruházások közműdíjai</t>
  </si>
  <si>
    <t>Vízrendezési feladatok, árkok felújítása</t>
  </si>
  <si>
    <t>Működési kiadások</t>
  </si>
  <si>
    <t>Programiroda Kft. törzstőke emelés</t>
  </si>
  <si>
    <t xml:space="preserve">Programiroda Kft. tőketartalékba helyezés </t>
  </si>
  <si>
    <t>Veszprém - Balaton 2023 Zrt. törzstőke emelés</t>
  </si>
  <si>
    <t>Veszprém - Balaton 2023 Zrt. tőketartalékba helyezés</t>
  </si>
  <si>
    <t>Gyulafirátóti Bölcsőde</t>
  </si>
  <si>
    <r>
      <rPr>
        <b/>
        <sz val="10"/>
        <rFont val="Palatino Linotype"/>
        <family val="1"/>
        <charset val="238"/>
      </rPr>
      <t xml:space="preserve">TOP – 6.9.2 -16-VP1-2018-00001 </t>
    </r>
    <r>
      <rPr>
        <sz val="10"/>
        <rFont val="Palatino Linotype"/>
        <family val="1"/>
        <charset val="238"/>
      </rPr>
      <t>Közösségfejlesztés Veszprém város településrészein</t>
    </r>
  </si>
  <si>
    <t>Közösség Kádártáért Egyesület</t>
  </si>
  <si>
    <t>Virágzó Veszprém Egyesület</t>
  </si>
  <si>
    <t>Gerence Hagyományőrző Néptáncegyüttes támogatása</t>
  </si>
  <si>
    <t xml:space="preserve">            - Civil irodai szolgáltatások, civil ház</t>
  </si>
  <si>
    <t xml:space="preserve">            - Civil nap költségei</t>
  </si>
  <si>
    <t>Pszichiátriai betegek nappali ellátás ("Horgony" Pszichiátriai Betegekért Közhasznú Alapítvány)</t>
  </si>
  <si>
    <t>Intézményi karbantartási költségek</t>
  </si>
  <si>
    <t>Intézményi közüzemi költségek</t>
  </si>
  <si>
    <t>Kolostorok és kertek működtetése</t>
  </si>
  <si>
    <t xml:space="preserve">A  </t>
  </si>
  <si>
    <t>T</t>
  </si>
  <si>
    <t>2019. évi tény</t>
  </si>
  <si>
    <t>2018-2020</t>
  </si>
  <si>
    <t>2019-2022</t>
  </si>
  <si>
    <t>Projekthez kapcsolódó működési bevétel (ÁFA)</t>
  </si>
  <si>
    <t xml:space="preserve">          - Comitatus Társadalomkutató Egyesület - Comitatus Önkormányzati Szemle</t>
  </si>
  <si>
    <t>** Az intézményeknél kimutatott adatokat is tartalmazza</t>
  </si>
  <si>
    <t>ERASMUS+ Program</t>
  </si>
  <si>
    <t>Informatika</t>
  </si>
  <si>
    <t>TOP-6.4.1-16-VP1-17-00001 Szabadságpuszta településrész és Felsőörs Község közötti kerékpárút beruházása</t>
  </si>
  <si>
    <t>TOP-6.3.4.1-16 Kerékpárút és kerékpárforgalmi létesítmények építése Veszprém-Gyulafirátót</t>
  </si>
  <si>
    <t>2020. évi tény</t>
  </si>
  <si>
    <t>TOP-6.4.1-16-VP1-2019-00003 Kerékpárút és kerékpárforgalmi létesítmények építése Veszprém - Gyulafirátót szakaszon</t>
  </si>
  <si>
    <t>2021-2022</t>
  </si>
  <si>
    <t>2020-2022</t>
  </si>
  <si>
    <t>GINOP - 7.1.9-17-2018-00023 Veszprém kulturális turisztikai kínálatának fejlesztése***</t>
  </si>
  <si>
    <t>Ingatlanrendezési ügyek (kisajátítások, más célú haszn.,humuszvédelmi terv, erdővédelmi járulék)</t>
  </si>
  <si>
    <t xml:space="preserve">          - Vészhelyzeti támogatás (krízis segély)</t>
  </si>
  <si>
    <t>Ebrendészeti feladatok</t>
  </si>
  <si>
    <t>UNESCO Zene városa</t>
  </si>
  <si>
    <t>Európa Ifjúsági Fővárosa 2024 pályázat benyújtása</t>
  </si>
  <si>
    <t>Európa Kulturális Fővárosa V. ütem</t>
  </si>
  <si>
    <t>Koronavírus védekezés költségeire és gazdasági hatásának enyhítésére</t>
  </si>
  <si>
    <t xml:space="preserve"> - Intézményi felmentési idő, jub.jut., végkielégítés és működési kiadások</t>
  </si>
  <si>
    <t xml:space="preserve">          - Ex Symposion Alapítvány</t>
  </si>
  <si>
    <r>
      <t xml:space="preserve">TOP-7.1.1-16-H-ESZA-2019-01202 </t>
    </r>
    <r>
      <rPr>
        <sz val="10"/>
        <rFont val="Palatino Linotype"/>
        <family val="1"/>
        <charset val="238"/>
      </rPr>
      <t>"Élmény, közösség, tudás" családi programok az Agórával</t>
    </r>
  </si>
  <si>
    <t>Népszámlálás 2022.</t>
  </si>
  <si>
    <t xml:space="preserve">Európai Fenntartható Városfejlesztési Hálózat "Global Goals for Cities" Urbact III. </t>
  </si>
  <si>
    <t>Európa Kulturális Fővárosa VIII. ütem</t>
  </si>
  <si>
    <t>Európa Kulturális Fővárosa XII. ütem</t>
  </si>
  <si>
    <t>Európa Kulturális Fővárosa XIII. ütem</t>
  </si>
  <si>
    <t>Európa Kulturális Fővárosa XIV. ütem</t>
  </si>
  <si>
    <t>Önkormányzati érdekeket érintő településrendezési eszközök módosítása</t>
  </si>
  <si>
    <t>Veszprém 0393/1 hrsz-ú ingatlanon tervezett Állatvédelmi Kompetenciaközpont megépítése érdekében szükséges, szabályozási tervben foglalt út funkciójú ingatlan kisajátítás</t>
  </si>
  <si>
    <t>Állatkerti bekötőút kiviteli terv</t>
  </si>
  <si>
    <t>Közterületi játszóeszközök felújítása (78/2003 GKM rendelet)</t>
  </si>
  <si>
    <t>Önkormányzati bérlakások felújítása</t>
  </si>
  <si>
    <t>Köztéri padok felújítása</t>
  </si>
  <si>
    <t>Labdapályák és sporteszközök felújítása</t>
  </si>
  <si>
    <t>Veszprémi Csillag Úti Körzeti Óvoda</t>
  </si>
  <si>
    <t>Veszprémi Bölcsődei és Eü.Alapell. Integrált Int.</t>
  </si>
  <si>
    <t>Tűzjelző rendszer felújítása</t>
  </si>
  <si>
    <t>1. sz. Idősek Otthona (Török I. u. 10.)</t>
  </si>
  <si>
    <t>VKTT Egyesített Szociális Intézmény</t>
  </si>
  <si>
    <t>Halle utcai parkoló</t>
  </si>
  <si>
    <t>Séd-völgyi futókör</t>
  </si>
  <si>
    <t>Játszóterek</t>
  </si>
  <si>
    <t>Európa Kulturális Fővárosa XV. ütem</t>
  </si>
  <si>
    <t>XV. ütem összesen</t>
  </si>
  <si>
    <t>Európa Kulturális Fővárosa XVI. ütem</t>
  </si>
  <si>
    <t>Európa Kulturális Fővárosa XVII. ütem</t>
  </si>
  <si>
    <t>Európa Kulturális Fővárosa XVIII. ütem</t>
  </si>
  <si>
    <t>Európa Kulturális Fővárosa XIX. ütem</t>
  </si>
  <si>
    <t xml:space="preserve">          - Magyar Mozgógép Fesztivál</t>
  </si>
  <si>
    <t xml:space="preserve">          - Bakony Expo</t>
  </si>
  <si>
    <t>Összmagyar Sport és Kulturális Találkozó</t>
  </si>
  <si>
    <t>Városgazdálkodási szolgáltatás</t>
  </si>
  <si>
    <t xml:space="preserve"> - Projekt kiadásokhoz kapcsolódó céltartalék</t>
  </si>
  <si>
    <t>Programiroda - városi nagyrendezvények</t>
  </si>
  <si>
    <t xml:space="preserve">          - Nemzeti ünnep - Augusztus 20.</t>
  </si>
  <si>
    <t xml:space="preserve">          - Nemzeti ünnep - Október 23</t>
  </si>
  <si>
    <t xml:space="preserve">          - Szent Mihály napi búcsú</t>
  </si>
  <si>
    <t>Regőczi István Alapítvány - Covid árvák megsegítésének támogatása</t>
  </si>
  <si>
    <r>
      <rPr>
        <b/>
        <sz val="10"/>
        <rFont val="Palatino Linotype"/>
        <family val="1"/>
        <charset val="238"/>
      </rPr>
      <t>TOP – 7.1.1-16-H-ESZA-2019-01202</t>
    </r>
    <r>
      <rPr>
        <sz val="10"/>
        <rFont val="Palatino Linotype"/>
        <family val="1"/>
        <charset val="238"/>
      </rPr>
      <t xml:space="preserve"> "Élmény, közösség, tudás" családi programok az Agórával</t>
    </r>
  </si>
  <si>
    <r>
      <t xml:space="preserve">TOP-7.1.1-16-H-ESZA-2020-01437 </t>
    </r>
    <r>
      <rPr>
        <sz val="10"/>
        <rFont val="Palatino Linotype"/>
        <family val="1"/>
        <charset val="238"/>
      </rPr>
      <t>HangSzín/zene-kép-alkotás</t>
    </r>
  </si>
  <si>
    <r>
      <t xml:space="preserve">TOP-7.1.1-16-H-ESZA-202-01419 </t>
    </r>
    <r>
      <rPr>
        <sz val="10"/>
        <rFont val="Palatino Linotype"/>
        <family val="1"/>
        <charset val="238"/>
      </rPr>
      <t>Veszprém Vár múltjának interaktív bemutatása</t>
    </r>
  </si>
  <si>
    <t>ebből: - Európa Kulturális Főváros XX. ütem</t>
  </si>
  <si>
    <t>2022. évi Országgyűlési képviselők választása és népszavazás</t>
  </si>
  <si>
    <t>Sport és Élsport</t>
  </si>
  <si>
    <t>Szabadidő- és Diáksport</t>
  </si>
  <si>
    <t>Programiroda Kft. - kulturális, művészeti rendezvények támogatása</t>
  </si>
  <si>
    <t>U</t>
  </si>
  <si>
    <t>V</t>
  </si>
  <si>
    <r>
      <rPr>
        <b/>
        <sz val="10"/>
        <rFont val="Palatino Linotype"/>
        <family val="1"/>
        <charset val="238"/>
      </rPr>
      <t>TOP – 6.9.2 -16-VP1-2018-0000</t>
    </r>
    <r>
      <rPr>
        <sz val="10"/>
        <rFont val="Palatino Linotype"/>
        <family val="1"/>
        <charset val="238"/>
      </rPr>
      <t>1 Közösségfejlesztés Veszprém város településrészein</t>
    </r>
  </si>
  <si>
    <t>Könyvtári könyvek, egyéb doc. (CD, DVD stb.) jogszabályi előírás szerint</t>
  </si>
  <si>
    <t>Világítótestek részleges cseréje</t>
  </si>
  <si>
    <t>Tűzjelző rendszer megvalósítás</t>
  </si>
  <si>
    <t>Beléptető rendszer kialakítás</t>
  </si>
  <si>
    <t>Gépkocsi nyomkövető rendszer</t>
  </si>
  <si>
    <t>Gépkocsi gumiabroncs beszerzés</t>
  </si>
  <si>
    <t>Bútorok beszerzése</t>
  </si>
  <si>
    <t>Csereerdő telepítés - Márkó-Bánd kerékpárút</t>
  </si>
  <si>
    <t>2017-2022</t>
  </si>
  <si>
    <t>2018-2022</t>
  </si>
  <si>
    <t>Előirányzat csoport / Kiemelt előirányzat neve</t>
  </si>
  <si>
    <t>Helyi önkormányzatok működésének általános támogatása</t>
  </si>
  <si>
    <t>Települési önkormányzatok egyes köznevelési feladatainak támogatása</t>
  </si>
  <si>
    <t>Települési önkormányzatok egyes szociális és gyermekjóléti feladatainak támogatása</t>
  </si>
  <si>
    <t>Települési önkormányzatok kulturális feladatainak támogatása</t>
  </si>
  <si>
    <t>Elszámolásból származó bevételek</t>
  </si>
  <si>
    <t>Települési önkormányzatok gyermekétkeztetési feladatainak támogatása</t>
  </si>
  <si>
    <t>Epipen injekció biztosítása gyermekjóléti, köznevelési intézményekben és házi gyermekorvosi rendelőkben</t>
  </si>
  <si>
    <t>Európa Kulturális Fővárosa XXI. ütem</t>
  </si>
  <si>
    <t>Európa Kulturális Fővárosa XXIII. ütem</t>
  </si>
  <si>
    <t>Európa Kulturális Fővárosa XXV. ütem</t>
  </si>
  <si>
    <t>Digitális Kiállítótér a volt Városi Művelődési Központban (Dimitrov) I. ütem</t>
  </si>
  <si>
    <t>Európa Kulturális Fővárosa XXXIII. ütem</t>
  </si>
  <si>
    <t>Európa Kulturális Fővárosa XXXIV. ütem</t>
  </si>
  <si>
    <t xml:space="preserve">Európa Kulturális Fővárosa </t>
  </si>
  <si>
    <t>Welcome Veszprém - turisztikai szolgáltatások fejlesztése</t>
  </si>
  <si>
    <t>Veszprémi Turisztikai Egyesület EKF program támogatása</t>
  </si>
  <si>
    <t>Táblarendszer fejlesztése és információs térkép, installációk, Séd-völgyi kerékpárút kitáblázása</t>
  </si>
  <si>
    <t>Kioszk, QR kód leolvasó és Audio-guide</t>
  </si>
  <si>
    <t>E-bike töltő és szervizközpontok</t>
  </si>
  <si>
    <t>Köz-WC és ivókutak</t>
  </si>
  <si>
    <t>Köztéri infrastruktúra fejlesztése, szobrok téliesítése</t>
  </si>
  <si>
    <t>Európa Kulturális Fővárosa XXXVII. ütem</t>
  </si>
  <si>
    <t>Pontszerű telekommunikációs fejlesztések Veszprém belvárosában</t>
  </si>
  <si>
    <t>VMJV Kulturális tartalomfejlesztés 2023.</t>
  </si>
  <si>
    <t>Erasmus+ Hangadó pályázat - Veszprém Ifjúsági Koncepciójának megújítása</t>
  </si>
  <si>
    <t>2021. évi tény</t>
  </si>
  <si>
    <t>Választókerületi keretek</t>
  </si>
  <si>
    <t>Humanitárius katasztrófa miatt érkező menekültek elhelyezési költségei</t>
  </si>
  <si>
    <t>Sportmarketing</t>
  </si>
  <si>
    <t>Helyi Esélyegyenlőségi Program felülvizsgálata</t>
  </si>
  <si>
    <t>Veszprém-Gyulafirátót Pásztor utca feletti csapadékvíz elöntés védekezés és kárelhárítás költségeire</t>
  </si>
  <si>
    <t>Hulladékelszállítás, gyomtalanítás</t>
  </si>
  <si>
    <t>Veszprém monográfia tárhely</t>
  </si>
  <si>
    <t>Európa Kulturális Fővárosa XL ütem</t>
  </si>
  <si>
    <t>Népi építészeti Program - Bakonyi Ház megújítása</t>
  </si>
  <si>
    <t>Humanitárius katasztrófa miatt érkező menekültek ellátási (élelmezési) költségei</t>
  </si>
  <si>
    <t>Telefonbeszerzések</t>
  </si>
  <si>
    <t>Képzőművészeti alkotások vásárlása</t>
  </si>
  <si>
    <t xml:space="preserve"> - Választókerületi keret</t>
  </si>
  <si>
    <t xml:space="preserve"> - Működési kiadásokra képzett céltartalék </t>
  </si>
  <si>
    <t xml:space="preserve"> - Környezetvédelmi Alap</t>
  </si>
  <si>
    <t>VESZOL - Veszprém, Pápai u. 37. sz. munkásszálló működetési feladatai – eszközpótlások (konyhai eszközök, felszerelések, bútorok, mosógép, szárítógép, párnák, matracok, takarók, monitor, ágyneműk)</t>
  </si>
  <si>
    <t>Tirat Carmel utca kisajátítás</t>
  </si>
  <si>
    <t>Erdőtelepítés</t>
  </si>
  <si>
    <t>TOP PLUSZ pályázat előkésztés</t>
  </si>
  <si>
    <t>Lakossági LED csere program</t>
  </si>
  <si>
    <t>Úszás oktatás</t>
  </si>
  <si>
    <t>10 000 lakos feletti önkormányzatok energiaáremelkedés miatti támogatás</t>
  </si>
  <si>
    <t>Veszprém Balaton 2023 Zrt. - EKF Turisztikai Látogatóbarát Pályázat (hulladékgyűjtő, televízió, tablet, gyermek és családsegítő eszközök, kiállítási eszközök, zöld sarok kiállítás eszközök)</t>
  </si>
  <si>
    <t>Veszprém Balaton 2023 Zrt. - EKF támogatás - Jutas piknik III. eszköz</t>
  </si>
  <si>
    <t>Néptánc pályázati támogatás (projektor)</t>
  </si>
  <si>
    <r>
      <rPr>
        <b/>
        <sz val="10"/>
        <rFont val="Palatino Linotype"/>
        <family val="1"/>
        <charset val="238"/>
      </rPr>
      <t>TOP-7.1.1-16-H-ESZA-2020-01437</t>
    </r>
    <r>
      <rPr>
        <sz val="10"/>
        <rFont val="Palatino Linotype"/>
        <family val="1"/>
        <charset val="238"/>
      </rPr>
      <t xml:space="preserve"> HangSzín/zene-kép-alkotás</t>
    </r>
  </si>
  <si>
    <t>Veszprém Balaton 2023 Zrt. - EKF támogatás (Simoga projekt)</t>
  </si>
  <si>
    <t>Veszprém Balaton 2023 Zrt. - EKF támogatás (Fixir projekt)</t>
  </si>
  <si>
    <t>Veszprém Balaton 2023 Zrt. - EKF támogatás (8x8 projekt)</t>
  </si>
  <si>
    <t>Veszprém Balaton 2023 Zrt. -Radio Freguency Identification rendszer - eszközbeszerzés</t>
  </si>
  <si>
    <t>Országos Dokumentumellátó Rendszer eszközbeszerzés (könyvtári könyvek beszerzése)</t>
  </si>
  <si>
    <t>Veszprém Balaton 2023 Zrt. Támogatás - Egry József 140 III. ütem eszközök beszerzése</t>
  </si>
  <si>
    <t>Tárgyi eszközök beszerzése (pályázathoz kapcsolódó)</t>
  </si>
  <si>
    <t>Igazgatás</t>
  </si>
  <si>
    <t>Lakossági vízbekötés</t>
  </si>
  <si>
    <t>2022-2029</t>
  </si>
  <si>
    <t>TOP Plusz 1.3-1-21_VEI_2022-00002 Veszprém város fenntartható városfejlesztési stratégiái</t>
  </si>
  <si>
    <t>V-Busz Kft. - autóbusz vásárlás beruházási hitel tőketörlesztése</t>
  </si>
  <si>
    <t xml:space="preserve">           Menekültek megsegítésére nyújtott adomány</t>
  </si>
  <si>
    <t xml:space="preserve">           Környezetvédelmi Alap bevételei</t>
  </si>
  <si>
    <t xml:space="preserve">Kisértékű tárgyi eszköz beszerzések </t>
  </si>
  <si>
    <t>ebből:  -Vár Ucca Műhely támogatása</t>
  </si>
  <si>
    <t>Teljes költség**</t>
  </si>
  <si>
    <t>2022. évi              tény</t>
  </si>
  <si>
    <t>2023. évi eredeti előirányzat</t>
  </si>
  <si>
    <t>2024. évi előirányzat</t>
  </si>
  <si>
    <t>Környezetvédelmi Alap bevételei</t>
  </si>
  <si>
    <t>Fakivágási kompenzáció bevételei</t>
  </si>
  <si>
    <t>Polgármesteri Hivatal közhatalmi bevételei</t>
  </si>
  <si>
    <t xml:space="preserve"> - Zöldfelületek minőségi megőrzésének kiadásaira (fakivágási kompenzáció)</t>
  </si>
  <si>
    <t xml:space="preserve"> - Településrendezési szerződésből befolyt összeg</t>
  </si>
  <si>
    <t xml:space="preserve"> - Beruházási kiadásokra képzett céltartalék/lakásalap                     </t>
  </si>
  <si>
    <t xml:space="preserve"> - Beruházási kiadásokra képzett céltartalék</t>
  </si>
  <si>
    <t>2022. évi tény</t>
  </si>
  <si>
    <t>2024. évi bevételi előirányzat</t>
  </si>
  <si>
    <t>2024. évi kiadási előirányzat</t>
  </si>
  <si>
    <t>Európa Kulturális Fővárosa LVIII. ütem</t>
  </si>
  <si>
    <t>Európa Kulturális Fővárosa LVII. ütem</t>
  </si>
  <si>
    <t>Európa Kulturális Fővárosa LIV. ütem</t>
  </si>
  <si>
    <t>Európa Kulturális Fővárosa LII. ütem</t>
  </si>
  <si>
    <t>Európa Kulturális Fővárosa LI. ütem</t>
  </si>
  <si>
    <t>Urbact fenntartható városfejlesztési hálózat IV. "BiodiverCity" - városi biológiai sokféleség megőrzése, minőségi támogatása és fejlesztése - dologi kiadások</t>
  </si>
  <si>
    <t>Urbact fenntartható városfejlesztési hálózat IV. "NextGen Youth Work" - ifjúságszakmai fejlesztések a fiatalok bevonásának és a digitalizáció előnyeinek tudatosítás és kihasználása az ifjúsági munkások körében - dologi kiadások</t>
  </si>
  <si>
    <t>2024. évi európai parlamenti, helyi önkormányzati és nemzetiségi önkormányzati választások lebonyolítása</t>
  </si>
  <si>
    <t>KÖLTSÉGVETÉSI BEVÉTELEI ÉS KIADÁSAI 2024. ÉVBEN</t>
  </si>
  <si>
    <t>2025-től</t>
  </si>
  <si>
    <t>2023. évi tény</t>
  </si>
  <si>
    <t>Urbact fenntartható városfejlesztési hálózat IV. "BiodiverCity" - városi biológiai sokféleség megőrzése, minőségi támogatása és fejlesztése</t>
  </si>
  <si>
    <t>2023-2025</t>
  </si>
  <si>
    <t>Urbact fenntartható városfejlesztési hálózat IV. "NextGen Youth Work" - ifjúságszakmai fejlesztések a fiatalok bevonásának és a digitalizáció előnyeinek tudatosítás és kihasználása az ifjúsági munkások körében</t>
  </si>
  <si>
    <t>*** A projekt a támogatási szerződés szerint részben nettó módon finanszírozott.</t>
  </si>
  <si>
    <t>Teljesítés                      2022.          12.31.-ig**</t>
  </si>
  <si>
    <t>2024. év utáni javaslat</t>
  </si>
  <si>
    <t>Interreg Danube NONA</t>
  </si>
  <si>
    <t>Interreg Europa RROXIMITIES</t>
  </si>
  <si>
    <t>Driving Urban Transition SUMODO</t>
  </si>
  <si>
    <t>Interreg Central Access2CE</t>
  </si>
  <si>
    <t>Köztéri műalkotások rekonstrukciója</t>
  </si>
  <si>
    <t>Kádártai Faluház</t>
  </si>
  <si>
    <t>Gyulafirátóti Művelődési Ház</t>
  </si>
  <si>
    <t>Kazán csere</t>
  </si>
  <si>
    <t>Gyulafirátóti Művelődési Ház felújítása</t>
  </si>
  <si>
    <t>A Veszprém 2364/42 hrsz.-alatti Jutasi úti sporttelep (Teniszcentrum) villamos hálózatának a felújítása</t>
  </si>
  <si>
    <t>Dózsa Könyvtár melléképület felújítása</t>
  </si>
  <si>
    <t>Fűtési rendszer felújítása</t>
  </si>
  <si>
    <t>Betegszobákban lévő fürdőszoba zuhanyzó akadálymentesítése</t>
  </si>
  <si>
    <t>Felsőörsi raktárbázis tetőjavítás</t>
  </si>
  <si>
    <t>Dubniczay-palota (Vár u. 29.)</t>
  </si>
  <si>
    <t>Fűtésrendszer korszerűsítése</t>
  </si>
  <si>
    <t>Modern képtár külső homlokzati festés</t>
  </si>
  <si>
    <t>Kertészeti felújítások, őszi fásítás tervezése és kivitelezése</t>
  </si>
  <si>
    <t>Kossuth u. locsolórendszer felújítása</t>
  </si>
  <si>
    <t>Fortuna szobor felújítása</t>
  </si>
  <si>
    <t>Elkorhadt nyílászárók cseréje</t>
  </si>
  <si>
    <t>Ívókút telepítése</t>
  </si>
  <si>
    <t>2 csoport gyermekmosdó-öltöző felújítása</t>
  </si>
  <si>
    <t>Cholnoky Jenő Tagóvoda</t>
  </si>
  <si>
    <t>Cserhát ltp. 1. Dr. Magyar Benigna</t>
  </si>
  <si>
    <t>2 db. Légkondicionáló cseréje</t>
  </si>
  <si>
    <t>Nyílászáró csere 2 helyiségben</t>
  </si>
  <si>
    <t>Nyílászáró csere folyosón</t>
  </si>
  <si>
    <t>Udvar rendezés, parkosítás</t>
  </si>
  <si>
    <t>Aprófalvi Bölcsőde (Lóczy u.22.)</t>
  </si>
  <si>
    <t>1 db pavilonban átadó-vizesblokk egység felújítása</t>
  </si>
  <si>
    <t>Veszprémi Családseg. és Gyermekjóléti Integrált Int.</t>
  </si>
  <si>
    <t>Pápai út 37. női fürdőszoba komplett felújítása</t>
  </si>
  <si>
    <t>Pápai út 37. Nyílászáró csere</t>
  </si>
  <si>
    <t>Szociális bérlakás felújítások</t>
  </si>
  <si>
    <t>Boglárka utca véderdő rekultivációja</t>
  </si>
  <si>
    <t>Stadion Sportcsarnok - beázás elhárításának költségei</t>
  </si>
  <si>
    <t>ebből: - Magyar Kultúra Napja</t>
  </si>
  <si>
    <t xml:space="preserve">          - Nemzeti ünnep - Március 15.</t>
  </si>
  <si>
    <t xml:space="preserve">          - Magyar Költészet Napja</t>
  </si>
  <si>
    <t xml:space="preserve">          - Városi Gyereknap</t>
  </si>
  <si>
    <t xml:space="preserve">          - Városi Szilveszter</t>
  </si>
  <si>
    <t xml:space="preserve">          - Kenyér lelke fesztivál</t>
  </si>
  <si>
    <t>ebből: - VeszprémFest</t>
  </si>
  <si>
    <t xml:space="preserve">          - Kabóciádé</t>
  </si>
  <si>
    <t xml:space="preserve">          - Rátonyi Róbert Operettfesztivál</t>
  </si>
  <si>
    <t xml:space="preserve">          - Lélektől Lélekig</t>
  </si>
  <si>
    <t xml:space="preserve">          - Brusznyai Árpád évfordulós kötet kiadása</t>
  </si>
  <si>
    <t xml:space="preserve">          - Veszprémi Várostörténeti Monográfia előkészítése</t>
  </si>
  <si>
    <t xml:space="preserve">          - Darcsi István - Veszprém város sporttörténete</t>
  </si>
  <si>
    <t xml:space="preserve">          - Senior Kisokos</t>
  </si>
  <si>
    <t xml:space="preserve">          - Négy évszak a Bakonyban</t>
  </si>
  <si>
    <t xml:space="preserve">          - Veszprémi Portré Szabad Sajtó Kulturális és KHE</t>
  </si>
  <si>
    <t xml:space="preserve"> - Gárdonyi Zoltán Zenekarért Alapítvány</t>
  </si>
  <si>
    <t>Magyar Kórusok találkozója</t>
  </si>
  <si>
    <t>Filharmónia koncertek támogatása</t>
  </si>
  <si>
    <t>Oktatási intézmények támogatása</t>
  </si>
  <si>
    <t xml:space="preserve">            - Nyugdíjas találkozó</t>
  </si>
  <si>
    <t xml:space="preserve">           - Ifjúsági koncepció megvalósításának végrehajtása</t>
  </si>
  <si>
    <t xml:space="preserve">           - Ifjúsági kötelező feladatok ellátása</t>
  </si>
  <si>
    <t xml:space="preserve">         - Letelepedési támogatás</t>
  </si>
  <si>
    <t>V-Busz Veszprémi Közlekedési Kft.</t>
  </si>
  <si>
    <t>Keresztény Értelmiségek támogatása</t>
  </si>
  <si>
    <t>Szabad-Sajtó Kulturális és Ifjúsági Közhasznú Egyesület</t>
  </si>
  <si>
    <t>Veszprémi Rendőrkapitányság támogatása</t>
  </si>
  <si>
    <t>Nobel program támogatása</t>
  </si>
  <si>
    <t>Diabetes Világnap</t>
  </si>
  <si>
    <t>Hulladékkezelés költsége</t>
  </si>
  <si>
    <t>Ipari és gyártási szakirányú pályaorientációs foglalkozások tartása</t>
  </si>
  <si>
    <t>Swing-Swing Kft. - Családika program</t>
  </si>
  <si>
    <t>Magyar Lélek Alapítvány támogatása</t>
  </si>
  <si>
    <t>Beruházásokhoz kapcsolódó költöztetési feladatok</t>
  </si>
  <si>
    <t>Országos Mentőszolgálat</t>
  </si>
  <si>
    <t>Alkohol és Drogsegély Ambulancia Napsugár Klub</t>
  </si>
  <si>
    <t>Jutasi 100 emlékprogram</t>
  </si>
  <si>
    <t>Brusznyai Árpád születésének 100. évfordulója</t>
  </si>
  <si>
    <t>Szeglethy György születésének 170. évfordulója</t>
  </si>
  <si>
    <t>"Digitális élményközpontok hálózatának kialakítása és központi minőségbiztosítása" projekt üzemeltetési költsége</t>
  </si>
  <si>
    <t>Szent Imre Alapítvány támogatása</t>
  </si>
  <si>
    <t>Építész Kiállítás 2024 támogatása</t>
  </si>
  <si>
    <t>Pegazus Színház Közhasznú Nonprofit Kft. támogatása</t>
  </si>
  <si>
    <t>Kulturális kínálat bővítés</t>
  </si>
  <si>
    <t>Beruházásokhoz kapcsolódó ingatlanrendezési feladatok</t>
  </si>
  <si>
    <t>Mocorgó Játszótér felújítása</t>
  </si>
  <si>
    <t>Európa Kulturális Fővárosa XLIV. ütem</t>
  </si>
  <si>
    <t>Veszprémi Várbörtön felújítása</t>
  </si>
  <si>
    <t>Európa Kulturális Fővárosa XLV. ütem</t>
  </si>
  <si>
    <t>VMJV Kulturális tartalomfejlesztés 2023. 2. csomag</t>
  </si>
  <si>
    <t>Európa Kulturális Fővárosa XLVI. ütem</t>
  </si>
  <si>
    <t>Rézsűs játszótér részleges átalakítása és felújítása</t>
  </si>
  <si>
    <t>Kiskuti csárda felújítása</t>
  </si>
  <si>
    <t>Európa Kulturális Fővárosa XLIX. ütem</t>
  </si>
  <si>
    <t>Parkolók létesítése a Csikász és Csermák utcában</t>
  </si>
  <si>
    <t>Veszprémben élő és Veszprémbe látogató gyermekek nevelésének és biztonságos közlekedésének elősegítése az EKF évében</t>
  </si>
  <si>
    <t>Várfalsétány kialakítása</t>
  </si>
  <si>
    <t>VMJV Kulturális tartalomfejlesztés 3. csomag</t>
  </si>
  <si>
    <t>Európa Kulturális Fővárosa LVI. ütem</t>
  </si>
  <si>
    <t>Jutasi út 32. ingatlan bontása és tereprendezése, Jutasi út 30. ingatlanon kutya- és utasváró létesítése</t>
  </si>
  <si>
    <t>Nagy Sándor szoborfejek kihelyezése a Püspökkertben</t>
  </si>
  <si>
    <t>Városrészi zászlók gyártása és kihelyezése, játszóterek fejlesztése</t>
  </si>
  <si>
    <t>Európa Kulturális Fővárosa LIX. ütem</t>
  </si>
  <si>
    <t>Dubniczay-palota részleges felújítása, átalakítása</t>
  </si>
  <si>
    <t>Európa Kulturális Fővárosa LXI. ütem</t>
  </si>
  <si>
    <t>Botlatókövek és sétáfesztivál</t>
  </si>
  <si>
    <t>Közösség terek és közterületek fejlesztése Veszprémben</t>
  </si>
  <si>
    <t>Európa Kulturális Fővárosa LXII. ütem</t>
  </si>
  <si>
    <t>"Ember A Rács Mögött" kiállítás megvalósítása</t>
  </si>
  <si>
    <t>Glass Art NOW! @ The Venice Glass Week 2023</t>
  </si>
  <si>
    <t>Európa Kulturális Fővárosa LXIII. ütem</t>
  </si>
  <si>
    <t>Európa Kulturális Fővárosa L. ütem</t>
  </si>
  <si>
    <t>Csermák lépcső felújítása</t>
  </si>
  <si>
    <t>Európa Kulturális Fővárosa LXIV. ütem</t>
  </si>
  <si>
    <t>Veszprémi Városháza rendezvénytermeinek és kapcsolódó kiszolgáló helységeinek felújítása</t>
  </si>
  <si>
    <t>Európa Kulturális Fővárosa XLVII. ütem</t>
  </si>
  <si>
    <t>Digitális Múzeum kialakítása a volt Dimitrov Művelődési Központ épületében</t>
  </si>
  <si>
    <t>Európa Kulturális Fővárosa 2023 beruházások előkészítése (önerő)</t>
  </si>
  <si>
    <t>Teljesítés                      2022.          12.31.-ig</t>
  </si>
  <si>
    <t>Helyi védett épületek bejegyzése</t>
  </si>
  <si>
    <t>Vásárcsarnok lift felújítás</t>
  </si>
  <si>
    <t>Pálfy Gusztáv két kisplasztikájának megvásárlása (Boldog Gizella királyné, Szent István király)</t>
  </si>
  <si>
    <t>Veszprém 8713/2 hrsz.-ú – természetben a Veszprém Sportuszoda és az Aréna között található – ingatlanból kialakuló 10.958 m² nagyságú „kivett beépítetlen terület” megnevezésű ingatlan elidegenítése</t>
  </si>
  <si>
    <t xml:space="preserve">Szán utca - Méhes  u. csapadékvíz elvezetés (útrek. előtt) I. ütem: Cs-1-0-0 </t>
  </si>
  <si>
    <t xml:space="preserve">Kalmár tér parkoló építések </t>
  </si>
  <si>
    <t>Veszprém, Batthyány Lajos utca parkoló tervezés</t>
  </si>
  <si>
    <t>Veszprém-Gyulafirátót Északi fejlesztési terv úthálózat fejlesztés tervezés</t>
  </si>
  <si>
    <t xml:space="preserve">Buszmegállók kialakításának tervezése </t>
  </si>
  <si>
    <t>Bakony Társasház belső gáz és központifűtés rendszer felújítása, valamint villamos hálózat felújításának tervezési munkái</t>
  </si>
  <si>
    <t>Fejlesztések előkészítő munkái</t>
  </si>
  <si>
    <t>Dubniczay-palota (Vár u. 29.) homlokzat és nyílászáró felújítás</t>
  </si>
  <si>
    <t>VKTT Egyesített Szociális Intézmény 2. sz. Idősek Otthona (Völgyikút u. 2.) lift korszerűsítése (csere)</t>
  </si>
  <si>
    <t xml:space="preserve">Ördögárok utca 4. szám alatti épület lapostető részleges felújítás </t>
  </si>
  <si>
    <t>Sólyi utca parkoló kialakítása</t>
  </si>
  <si>
    <t>Útkataszter I. ütem</t>
  </si>
  <si>
    <t>Támfalkataszter elkészítése</t>
  </si>
  <si>
    <t>Térfigyelő rendszer fejlesztése (köztéri műalkotásokhoz)</t>
  </si>
  <si>
    <t xml:space="preserve">Önkormányzati telephelyek okosmérősítése, távfelügyelet </t>
  </si>
  <si>
    <t>Adventi dekoráció beszerzése</t>
  </si>
  <si>
    <t>Energetikai korszerűsítés tervezése</t>
  </si>
  <si>
    <t>GFT szennyvíz felújítás-pótlás: FI- 2014-379 Veszprém Ördögárok utca, szennyvízcsatorna rekonstrukciója (396 fm NA300)</t>
  </si>
  <si>
    <t xml:space="preserve">GFT szennyvíz felújítás-pótlás: FI-2022-2273 Veszprém szennyvíztisztító telep, Csigaszivattyúk pótlása </t>
  </si>
  <si>
    <t>GFT szennyvíz felújítás-pótlás: FI-2022-2274 Veszprém szennyvíztisztító telep, Folyamatirányító rendszer rekonstrukciója</t>
  </si>
  <si>
    <t xml:space="preserve">           4. vk. 16 db beton virágvályú beszerzése+földdel feltöltés, telepítés</t>
  </si>
  <si>
    <t xml:space="preserve">        11.vk. Harmat utca-Dózsa György utca sarkán lévő 2D-3D alkotás körüli zöldterület rendezése (föld elterítése, füvesítés, fizikai korlátok)</t>
  </si>
  <si>
    <t>Városgazdálkodás - Füredi úti megrongált kamera cseréje, Aradi vértanuk Körgyűrű kamera cseréje</t>
  </si>
  <si>
    <t>Korlátok lépcső mellé</t>
  </si>
  <si>
    <t>Wartha Vince utcai stadion szabadtéri futókör és focipályát elválasztó háló és kerítés, valamint futballpálya felújítás</t>
  </si>
  <si>
    <t>Jutasi út - Kopácsy József utca kereszteződésében körforgalmi csomópont kiviteli tervdokumentáció elkészítése</t>
  </si>
  <si>
    <t>Vilonyai utcában meglévő párhuzamos parkolók átépítése</t>
  </si>
  <si>
    <t>P+R parkolók megvalósíthatósági tanulmány</t>
  </si>
  <si>
    <t>Gyulafirátót É-i mentesítő záportározó tervezése, engedélyezése</t>
  </si>
  <si>
    <t>Török Ignác utcában lévő parkoló csapadékvíz elvezetésének megoldása (tervezés, engedélyezés, kivitelezés)</t>
  </si>
  <si>
    <t>Görgey Artúr utcában párhuzamos parkolóállások kialakítása Gábor Áron és Aradi Vértanúk útja között, tervezés és engedélyezés</t>
  </si>
  <si>
    <t>Diósy Márton utcában parkolók (Klapka) terv korszerűségi felülvizsgálat, engedélyezés, kivitelezés</t>
  </si>
  <si>
    <t>Csikász Imre utca 2. szám előtt 4-5 db. parkoló kialakítása</t>
  </si>
  <si>
    <t>GFT ivóvíz felújítás-pótlás: FI-2014-28 Veszprém Hársfa utca, Ivóvízvezeték rekonstrukció I. ütem az Őrház utca - Petőfi Sándor utca közötti szakaszon (220 fm NA80 ac)</t>
  </si>
  <si>
    <t>Tüzér utcában járda építés és gyalogátkelőhely kialakítása</t>
  </si>
  <si>
    <t>Veszprém települési és turisztikai kártya</t>
  </si>
  <si>
    <t>Őszi kertészeti feladatok</t>
  </si>
  <si>
    <t>Közvilágítás korszerűsítés (Haszkovó utca 39. déli oldala, Haszkovó utca 27. Gábor Áron utca 4. irányába</t>
  </si>
  <si>
    <t>GFT szennyvíz beruházás: Veszprém szennyvíztisztító telep, szennyvízfogadó állomás kialakítása</t>
  </si>
  <si>
    <t>Ördögárok u. 5. intézményi fakivágások, pótlások</t>
  </si>
  <si>
    <t>Kemecse utcában meglévő gyalogátkelő átalakítása</t>
  </si>
  <si>
    <t>Gyulafirátót településrészen meglévő játszótérhez járda tervezése, engedélyezése</t>
  </si>
  <si>
    <t>Márkó Bánd kerékpárút - kamerák felszerelése</t>
  </si>
  <si>
    <t>Wass Albert szobor elhelyezése közterületen</t>
  </si>
  <si>
    <t>Millenniumi Emlékmű új helyszínen történő felállítása</t>
  </si>
  <si>
    <t>Veszprém, Ibolya utcában járda kialakításának tervezés, hatósági ügyintézés</t>
  </si>
  <si>
    <t>Zirci utcai temetőnél gyalogos járdafelület kialakítás tervezés, hatósági jóváhagyás</t>
  </si>
  <si>
    <t>Szeglethy portré - Somogyi Győző festőművész olajportréja</t>
  </si>
  <si>
    <t>Rab Mária forráshoz fahíd építése</t>
  </si>
  <si>
    <t>Katolikus Szeretetszolgálat támogatása (Korai Fejlesztőközpont kialakítására a Cholnoky forfa épületben)</t>
  </si>
  <si>
    <t>Önkormányzat és a Magyar Állam által kötött integrációs megállapodás alapján víziközmű fejlesztésre fel nem használt forrás</t>
  </si>
  <si>
    <t xml:space="preserve"> - ebből: 1. vk. Veszprém-Gyulafirátót Római Katolikus Templom (Nepomuki Szent János-templom elemi károk elhárításához javasolt összeg)</t>
  </si>
  <si>
    <t xml:space="preserve">Kisértékű tárgyi eszközök beszerzése </t>
  </si>
  <si>
    <t>Iskolavédőnők, iskolaorvosok, háziorvosi praxisok</t>
  </si>
  <si>
    <t xml:space="preserve">Szűrőaudiométer </t>
  </si>
  <si>
    <t xml:space="preserve">Számítógép </t>
  </si>
  <si>
    <t>Nyomtató</t>
  </si>
  <si>
    <t xml:space="preserve">Forgószék </t>
  </si>
  <si>
    <t>Visus tábla (Kettesy-féle)</t>
  </si>
  <si>
    <t>Kis asztal székekkel váróba</t>
  </si>
  <si>
    <t>Kártyaolvasó</t>
  </si>
  <si>
    <t>Hűtőszekrény</t>
  </si>
  <si>
    <t xml:space="preserve">Mosható szék betegek részére </t>
  </si>
  <si>
    <t xml:space="preserve">Halle u. 5. Dr. Steinhof Gábor </t>
  </si>
  <si>
    <t xml:space="preserve">4 üléses várótermi pad </t>
  </si>
  <si>
    <t xml:space="preserve">Cserhát ltp 1. Dr. Mészáros Adél </t>
  </si>
  <si>
    <t>Mosható szék, betegek részére</t>
  </si>
  <si>
    <t xml:space="preserve"> Március 15. u. Dr. Mántó István</t>
  </si>
  <si>
    <t>Orvosi íróasztal</t>
  </si>
  <si>
    <t>Nővér íróasztal</t>
  </si>
  <si>
    <t>Forgószék</t>
  </si>
  <si>
    <t>Kartoték szekrény 2x5 fiókos</t>
  </si>
  <si>
    <t>Tárgyi eszköz beszerzés</t>
  </si>
  <si>
    <t xml:space="preserve">Néptánc pályázati támogatás (mikrofon), NKA </t>
  </si>
  <si>
    <t>Honlap akadálymentesítés</t>
  </si>
  <si>
    <t>Tárgyi eszközök beszerzése (mosó és szárítógép, íróasztal, szekrény)</t>
  </si>
  <si>
    <t>,</t>
  </si>
  <si>
    <t>Informatikai eszközök beszerzése (monitor, router, switch, notebook, asztali számítógép)</t>
  </si>
  <si>
    <t>Magyar Turisztikai Szövetség Alapítvány támogatása (TV-k, kivetítők, telefonok)</t>
  </si>
  <si>
    <t>R. Kiss Lenke plasztikái</t>
  </si>
  <si>
    <t>Auer Ház berendezése, bebútorozása</t>
  </si>
  <si>
    <t>Telegdi Balázs Wrapped Forms X. című műalkotás megvásárlása</t>
  </si>
  <si>
    <t>SIP2 szolgáltatás Aleph integrált rendszer kiegészítés</t>
  </si>
  <si>
    <t>Tárgyi eszközök beszerzése (homokfúvó kompresszor elektromos bekötés kiépítése, esztergapad másoló berendezéssel, ipari biztonsági porelszívó, fényképezőgép, laborbútorok)</t>
  </si>
  <si>
    <t>Kisértékű tárgyi eszközök beszerzése</t>
  </si>
  <si>
    <t>Veszprém Balaton 2023 Zrt. Támogatás - "Emlékgép" Állandó kiállítás (vitrinek, bútorok, hardver eszközök, fényképezőgép, Szamizdat hagyaték, kisértékű restaurátor eszközök, jogdíjak, közlési díjak)</t>
  </si>
  <si>
    <t>Kovácsműhely megvásárlása támogatásból</t>
  </si>
  <si>
    <t>Üvegművészeti műtárgy vásárlása támogatásból</t>
  </si>
  <si>
    <t>Restaurátor eszközök megvásárlása támogatásból</t>
  </si>
  <si>
    <t>Szerver csere</t>
  </si>
  <si>
    <t>Polcrendszer bővítés</t>
  </si>
  <si>
    <t>Leltározási program beszerzés</t>
  </si>
  <si>
    <t>Telefonalközpont beszerzések</t>
  </si>
  <si>
    <t>Kis házasságkötő terem - klímaberendezés</t>
  </si>
  <si>
    <t>Tárgyi eszköz beszerzés (szavazófülke)</t>
  </si>
  <si>
    <t xml:space="preserve"> - Közüzemi költségekre képzett céltartalék</t>
  </si>
  <si>
    <t>2022. évi           tény</t>
  </si>
  <si>
    <t>Veszprém Március 15. utca 4/C szám alatt található fogorvosi rendelő felújítása</t>
  </si>
  <si>
    <t>Főzőkonyha melegvíz ellátása átalakítása, villamos hálózat szabványosítása</t>
  </si>
  <si>
    <t xml:space="preserve">Okoszebrák kialakítása </t>
  </si>
  <si>
    <t xml:space="preserve">         - Városi Szemle folyóirat kiadása - Veszprémi Szemle Várostörténeti Közhasznú Alapítvány</t>
  </si>
  <si>
    <t xml:space="preserve">          - Szeglethy György kötet kiadásának támogatása (Veszprémi Szemle Várostörténeti KHA)</t>
  </si>
  <si>
    <t>Európa Kulturális Fővárosa LIII. ütem</t>
  </si>
  <si>
    <t>V-Bike közbringa rendszer üzemeltetése (közszolgáltatási feladatok II.)</t>
  </si>
  <si>
    <t>Szolgáltatás vásárlás (közszolgáltatási feladatok I.)</t>
  </si>
  <si>
    <t>W</t>
  </si>
  <si>
    <t>Z</t>
  </si>
  <si>
    <t>Városi fenntarthatósággal összefüggő feladatok ellátása</t>
  </si>
  <si>
    <t xml:space="preserve">Egyéb működési bevételek </t>
  </si>
  <si>
    <t>Működési célú költségvetési maradvány igénybevétele</t>
  </si>
  <si>
    <t xml:space="preserve"> - Víziközmű fejlesztés</t>
  </si>
  <si>
    <t>Veszprém Balaton 2023. Zrt. - EKF támogatás - Nemzetiségi fesztivál -DCI gép, Gizella óriásbábok, fényfüzér</t>
  </si>
  <si>
    <t>Veszprém Balaton 2023 Zrt. pályázat - család- és látogatóbarát eszközbeszerzés</t>
  </si>
  <si>
    <t>Veszprém Balaton 2023 Zrt. Támogatás - látogatóbarát eszközök beszerzése</t>
  </si>
  <si>
    <t xml:space="preserve">          - Tóth József - Tóth Józsi egy diszkós kalandjai a Bakony Művektől Barbadosig című könyv támogatása</t>
  </si>
  <si>
    <t>Beruházásokhoz kapcsolódó energetikai tanúsítvány</t>
  </si>
  <si>
    <t>"Kapaszkodó" Mentálhigiénés Egyesület támogatása</t>
  </si>
  <si>
    <t>Településképi Arculati Kézikönyv és Településképi rendelet módosítása</t>
  </si>
  <si>
    <t>Fixre telepített sebességmérő (traffipax) - Gyulafirátótra</t>
  </si>
  <si>
    <t>Közvilágítás bővítések (tervezés, kivitelezés) 2011. évi CLXXXIX. Törvény</t>
  </si>
  <si>
    <t>Művészetek Háza Veszprém épületeinek felújítása (tetőhéjalás javítás, homlokzat felújítás, nyílászáró csere)</t>
  </si>
  <si>
    <t>A főzőkonyha folyosó, lépcsőház repedések kiváltó ok megszüntetése, kivitelezés II. ütem</t>
  </si>
  <si>
    <t>A főzőkonyha folyosó, lépcsőház repedéseinek statikai felülvizsgálata, javítás</t>
  </si>
  <si>
    <t>Földutak és nagyfelületű útfelújítások</t>
  </si>
  <si>
    <t>1. pavilon fürdőszoba - átadó - csoportszobák felújítás</t>
  </si>
  <si>
    <t xml:space="preserve">Pápai út 37. lakószobák padlóburkolat cseréje </t>
  </si>
  <si>
    <t>601835-CITIZ-1-2018-1-HU-CITIZ-NT Reveal YouropEaN Cultural Heritage/Tárd fel európai kulturális örökségedet (ENriCH)</t>
  </si>
  <si>
    <t>Millenniumi emlékmű projektelőkészítési és lebonyolítási feladatok</t>
  </si>
  <si>
    <t>2024. évi eredeti előirányzat</t>
  </si>
  <si>
    <t>2024. évi   eredeti előirányzat</t>
  </si>
  <si>
    <t>Közkifolyók létesítése, mérősítése</t>
  </si>
  <si>
    <t>Mikszáth Kálmán u. 13. épület külső főfalainak víztelenítése</t>
  </si>
  <si>
    <r>
      <rPr>
        <b/>
        <sz val="10"/>
        <rFont val="Palatino Linotype"/>
        <family val="1"/>
        <charset val="238"/>
      </rPr>
      <t xml:space="preserve">TOP – 7.1.1-16-H-ESZA-2019-01192 </t>
    </r>
    <r>
      <rPr>
        <sz val="10"/>
        <rFont val="Palatino Linotype"/>
        <family val="1"/>
        <charset val="238"/>
      </rPr>
      <t>A családra mint a társadalom alapegységére építő komplex programok</t>
    </r>
  </si>
  <si>
    <r>
      <t xml:space="preserve">TOP-7.1.1-16-H-ESZA-2020-01214 </t>
    </r>
    <r>
      <rPr>
        <sz val="10"/>
        <rFont val="Palatino Linotype"/>
        <family val="1"/>
        <charset val="238"/>
      </rPr>
      <t>A város mint otthon és óriási játszótér (Kult.-műv.i kapacitások fejl. a Kabóca Bábszínházban)</t>
    </r>
  </si>
  <si>
    <r>
      <rPr>
        <b/>
        <sz val="10"/>
        <rFont val="Palatino Linotype"/>
        <family val="1"/>
        <charset val="238"/>
      </rPr>
      <t>TOP-7-1-16H-ESZA-2019-01192</t>
    </r>
    <r>
      <rPr>
        <sz val="10"/>
        <rFont val="Palatino Linotype"/>
        <family val="1"/>
        <charset val="238"/>
      </rPr>
      <t xml:space="preserve"> A családra mint a társadalom alapegységére építő komplex programok</t>
    </r>
  </si>
  <si>
    <t>Európa Kulturális Fővárosa XLIII. ütem</t>
  </si>
  <si>
    <t>Ister DTP Interreg Projekt</t>
  </si>
  <si>
    <t>Európa Kulturális Fővárosa XXVII. ütem</t>
  </si>
  <si>
    <t>Európa Kulturális Fővárosa XXVIII. ütem</t>
  </si>
  <si>
    <t>Európa Kulturális Fővárosa XXIX. ütem</t>
  </si>
  <si>
    <t>Európa Kulturális Fővárosa XXX. ütem</t>
  </si>
  <si>
    <t>Európa Kulturális Fővárosa XXXVI. ütem</t>
  </si>
  <si>
    <t>Európa Kulturális Fővárosa XXXVIII. ütem</t>
  </si>
  <si>
    <t>Európa Kulturális Fővárosa XLII. ütem</t>
  </si>
  <si>
    <t>Veszprém Balaton 2023 Zrt. - EKF - II. Jutas Piknik pályázati támogatás (babzsákfotelek, öltözősátrak, router)</t>
  </si>
  <si>
    <t xml:space="preserve">          - Erős Hit, Erős Akarat c. kötet kiadásának támogatása (Veszprémi Szemle Várostörténeti KHA)</t>
  </si>
  <si>
    <t>Veszprémi Kistérség Többcélú Társulásának pénzeszköz átadás (Egyesített Szoc.Int.)</t>
  </si>
  <si>
    <t>Német Nemzetiségi Önk. helyiségének bérleti díja</t>
  </si>
  <si>
    <t>Swing-Swing Kft. szolgáltatás vásárlás</t>
  </si>
  <si>
    <t>Kittenberger K. Növény- és Vadaspark Nonprofit Kft. működéséhez hozzájárulás</t>
  </si>
  <si>
    <t>Vagyongazdálkodással és ingatlanhasznosítással összefüggő fel. (földhivatali eljárások, vagyonértékelés)</t>
  </si>
  <si>
    <t>Volánbusz Zrt. szolgáltató részére elővárosi és regionális járatokon történő helyi személyszállítási közszolgáltatási feladatok ellátásához hozzájárulás</t>
  </si>
  <si>
    <t>Közterület-felügyelet</t>
  </si>
  <si>
    <t>Handball Team Zrt. szolgáltatás vásárlás</t>
  </si>
  <si>
    <t>Pápai u.-Jutasi út belső krt mellékkötelezettségek</t>
  </si>
  <si>
    <t>Hetman Jan Tarnowski Alapítvány (Lengyelország) - Ukrajnából menekülni kényszerülők megsegítése</t>
  </si>
  <si>
    <t xml:space="preserve">2027. évi Tájékozódási Futó Világbajnokság </t>
  </si>
  <si>
    <t>Keleti Sportterület víz- és környezetrendezési hatástanulmány</t>
  </si>
  <si>
    <t>Nyugati fejlesztési terv víz- és környezetrendezés hatástanulmány</t>
  </si>
  <si>
    <t>Veszprém-Gyulafirátót buszforduló lépcső, rámpa</t>
  </si>
  <si>
    <t>Fal- és tetőbeázás megszüntetése (utcafront felöli fal, AM mosdó)</t>
  </si>
  <si>
    <t>Tulajdonosi bevételek</t>
  </si>
  <si>
    <t>Európa Kulturális Fővárosa XLVIII. ütem</t>
  </si>
  <si>
    <t>a Veszprém Megyei Jogú Város Önkormányzata támogatási szerződéssel rendelkező</t>
  </si>
  <si>
    <t xml:space="preserve"> Európai Uniós forrásból finanszírozott támogatással megvalósuló programok, projektek bevételeiről és kiadásairól az Ávr. 24. § (1) bekezdés a) pontjának és b) pont bd) alpontjának megfelelően</t>
  </si>
  <si>
    <t xml:space="preserve">            2. vk. 4 db kutyaürülék-gyűjtő edény beszerzése és kihelyezése</t>
  </si>
  <si>
    <t xml:space="preserve">            2. vk. 1 db Urban pad beszerzése és kihelyezése a Haszkovó utca 25. közelében</t>
  </si>
  <si>
    <t xml:space="preserve">           4. vk. 3 db Urban 6 pad beszerzése és telepítése</t>
  </si>
  <si>
    <t xml:space="preserve">           4. vk. 2 db Konstruktív köztéri asztal+padok beszerzése és telepítése</t>
  </si>
  <si>
    <t xml:space="preserve">           4. vk. Szemétgyűjtők kihelyezése 3 db</t>
  </si>
  <si>
    <t xml:space="preserve">          6. vk. Játszóeszköz, utcabútor beszerzés és telepítés (3 db Kártyaasztal beszerzése, műfű telepítéssel és műanyag ágyas szegéllyel)</t>
  </si>
  <si>
    <t xml:space="preserve">        11.vk. 2 db Közterületi pad elhelyezése (régi cseréje) - Kiskőrösi utca, kavicsfogú álteknős szobor mellett</t>
  </si>
  <si>
    <t>Élhetőbb Rátótért Egyesület</t>
  </si>
  <si>
    <t>2023. évi              tény**</t>
  </si>
  <si>
    <t>2023. évi              tény</t>
  </si>
  <si>
    <t>2024. évi  eredeti előirányzat</t>
  </si>
  <si>
    <t xml:space="preserve">Ingatlanvásárlás Kádártai úti buszforduló </t>
  </si>
  <si>
    <t>Informatikai eszközök beszerzése (szünetmentes táp, multifunkcionális nyomtató, Wifi csatlakozási pont UNIFI UapAclr)</t>
  </si>
  <si>
    <t>Informatikai eszközök beszerzése (NAXCH hálózati adattároló, Wifi csatlakozási pont UNIFI UapAclr)</t>
  </si>
  <si>
    <t>Beépített szekrénysor</t>
  </si>
  <si>
    <t>Informatikai eszközök</t>
  </si>
  <si>
    <t>Kisértékű tárgyi eszközök beszerzése (hűtőszekrény)</t>
  </si>
  <si>
    <t>Klíma</t>
  </si>
  <si>
    <t>Kisértékű tárgyi eszközök beszerzése (bútorok, konyhai eszközök)</t>
  </si>
  <si>
    <t>Fűnyíró</t>
  </si>
  <si>
    <t>Robot porszívó</t>
  </si>
  <si>
    <t>Ruha állvány</t>
  </si>
  <si>
    <t>JBL hangszóró</t>
  </si>
  <si>
    <t>Udvari játéktároló</t>
  </si>
  <si>
    <t>Kisértékű tárgyi eszközök beszerzése (irodai szék, szőnyeg, telefon, ruhaszárító, mozgásfejlesztő játékok)</t>
  </si>
  <si>
    <t>Kisértékű tárgyi eszközök beszerzése (konyhai eszközök)</t>
  </si>
  <si>
    <t>Kisértékű tárgyi eszközök beszerzése  (mobiltelefonok, spirálozó, többfunkciós robotgép, szeletelőgép)</t>
  </si>
  <si>
    <t>Kisértékű tárgyi eszközök beszerzése (konyhai és szakmai eszközök)</t>
  </si>
  <si>
    <t>Kisértékű tárgyi eszközök beszerzése (szakmai eszközök, bútorok)</t>
  </si>
  <si>
    <t>Kisértékű tárgyi eszközök beszerzése (mobiltelefonok, irodabútor)</t>
  </si>
  <si>
    <t>Kisértékű tárgyi eszköz vásárlás Pápai út 37.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</si>
  <si>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Mikszáth Kálmán u. 13.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</si>
  <si>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Kisértékű tárgyi eszköz vásárlás Rózsa u. 48. - CSÁO (digitális lázmérő, légzésfigyelő, elektromos sterilizáló (cumisüveg), fertőtlenítő állomás, bébiőr,  hűtő/fagyasztó, bojler,  bútor, szőnyeg, függöny, mobiltelefon, mikró, kávéfőző, vízmelegítő, ventilátor/hősugárzó, külső winchester, router, iratmegsemmisítő, porszívó, mérleg,  szárítógép)</t>
  </si>
  <si>
    <t>Kültéri hangosító rendszer</t>
  </si>
  <si>
    <t>Számítástechnikai eszközök beszerzése, grafikai program csomag</t>
  </si>
  <si>
    <t>Kazáncsere a Török Ignác u. 7. sz. alatti Igazgatási épületben</t>
  </si>
  <si>
    <t>Vízbekötés tervezéssel, engedélyeztetéssel és kivitelezéssel Felsőörsi raktárbázison</t>
  </si>
  <si>
    <t>EMT-TE-2023-1307 pályázat - intézményi eszközfejlesztés</t>
  </si>
  <si>
    <t>Veszprém Balaton 2023 Zrt. Pályázat - Lovagterem pályázat</t>
  </si>
  <si>
    <t>V-Busz Kft. - jegykiadó automata beszerzése, Kereszt u. 9. alatti ügyfélszolgálati iroda bútorzata, berendezésének felújítása, különjárati autóbusz beszerzése</t>
  </si>
  <si>
    <t>Színháztechnikai berendezések</t>
  </si>
  <si>
    <t>Deák utca épület átalakítás</t>
  </si>
  <si>
    <t>Arculati elemek</t>
  </si>
  <si>
    <t xml:space="preserve">Helikoni Ünnepségek Keszthelyen </t>
  </si>
  <si>
    <t>Köztéri szobrok, emléktáblák, lektorátus - ENN Uibo szobor</t>
  </si>
  <si>
    <t>Könyvkiadás, operatív és turisztikai koordinációs feladatok, terjesztés, turisztikai marketing feladatok, tanulmányok</t>
  </si>
  <si>
    <t>Kapcsolat' 96 Mentálhigiénés Egyesület támogatása - berendezés megújítása</t>
  </si>
  <si>
    <t>Takácskerti sportpálya fejlesztés és zöldterület rendezés</t>
  </si>
  <si>
    <t>Városrész közlekedési koncepció elkészítése</t>
  </si>
  <si>
    <t>Rendőrségnek gépjármű beszerzés</t>
  </si>
  <si>
    <t>Otthonra találni a művészetben projekt támogatása</t>
  </si>
  <si>
    <t>Önkormányzati épületek energiahatékonysági vizsgálata</t>
  </si>
  <si>
    <t>Helikopter emlékmű - telekvásárlás</t>
  </si>
  <si>
    <t>Bérlőkijelölési jog vásárlása (Magyar Máltai Szeretetszolgálattól)</t>
  </si>
  <si>
    <t>Veszprém - Rovaniemi testvérvárosi kapcsolat 50 éves jubileumi támogatása</t>
  </si>
  <si>
    <t>2.vk. Támogatása - Veszprémi Bóbita Körzeti Óvoda - gyermek homokozók árnyékolásának megvalósítása, bejáratok fölé előtetők szerelése</t>
  </si>
  <si>
    <t xml:space="preserve">       2.vk.  6 db. "Tiszántóli" szemétgyűjtő beszerzése és kihelyezése</t>
  </si>
  <si>
    <t xml:space="preserve">       2.vk.  Veszprémi Deák Ferenc Általános Iskola (2db. Kültéri IP kamera konzollal, acél feszítős UTP kábellel, 1 db. Homokozó kialakítása és egy homokozó felújítása, sporteszközök)</t>
  </si>
  <si>
    <t xml:space="preserve">       2.vk.  VKTT Egyesített Szociális Intézmény I. sz. Idősek Otthonában kerti bútor beszerzése</t>
  </si>
  <si>
    <t>2023. évi        tény</t>
  </si>
  <si>
    <t xml:space="preserve">       4.vk.  Utcai kutyürülék tároló 3 db.</t>
  </si>
  <si>
    <t xml:space="preserve">       4.vk.  Gyalogátkelőhely kialakítás - Aradi vértanú/Haszkovó utcák kereszteződésében </t>
  </si>
  <si>
    <t xml:space="preserve">       4.vk.  Kültéri pingpong asztal + telepítés 2 db.</t>
  </si>
  <si>
    <t xml:space="preserve">       4.vk.  Sakk asztal 2 paddal</t>
  </si>
  <si>
    <t xml:space="preserve">       4.vk.  Beton virágládák 10 db.</t>
  </si>
  <si>
    <t xml:space="preserve">       4.vk.  Szemetes kültéri 4.db.</t>
  </si>
  <si>
    <t xml:space="preserve">       4.vk.  Kültéri kártyaasztal 1 db.</t>
  </si>
  <si>
    <t xml:space="preserve"> - "Otthon - Veszprémben"- önálló lakhatást, letelepedést elősegítő és helyi munkavállalást ösztönző támogatás (Veszprémi Ifjúsági Közalapítvány)</t>
  </si>
  <si>
    <t xml:space="preserve">           - Veszprémi újszülöttek támogatása (Veszprémi Ifjúsági Közalapítvány)</t>
  </si>
  <si>
    <t>10.vk. Hársfa Tagóvoda támogatása - focipálya felújítás</t>
  </si>
  <si>
    <t xml:space="preserve">      1.vk. Kádártai utcanévtálák beszerzése</t>
  </si>
  <si>
    <t xml:space="preserve">      1.vk. Kádárta Faluház sportpálya pad</t>
  </si>
  <si>
    <t xml:space="preserve">      1.vk. Játszótér - járdaépítés</t>
  </si>
  <si>
    <t>1.vk. Kádárta séd, sérült mederszegély (Orvosi rendelő előtt)</t>
  </si>
  <si>
    <t xml:space="preserve">          - Majális</t>
  </si>
  <si>
    <t>2023. évi     tény</t>
  </si>
  <si>
    <t>Sétány fogadótér bútorzata</t>
  </si>
  <si>
    <t>Ablakcsere a szakkönyvtárban</t>
  </si>
  <si>
    <t xml:space="preserve">          - Gyárkert Fesztivál </t>
  </si>
  <si>
    <t xml:space="preserve">       6.vk. Képviselői fa ültetése</t>
  </si>
  <si>
    <t xml:space="preserve">        8.vk. Kemence telepítése Szabadságpusztára</t>
  </si>
  <si>
    <t xml:space="preserve">        8.vk. Faültetés</t>
  </si>
  <si>
    <t>2024. évi módosított előirányzat 2</t>
  </si>
  <si>
    <t>módosított előirányzat 2</t>
  </si>
  <si>
    <t>Kisértékű tárgyi eszközök beszerzése (Krumplikoptató, tornatermi eszközök, laminálógép, botmixer, szeletelőgép)</t>
  </si>
  <si>
    <t>Informatikai eszközök (számítógép, switch)</t>
  </si>
  <si>
    <t>Ünnepi viselet rendezvényekre</t>
  </si>
  <si>
    <t>Játszótéri gumiszőnyeg</t>
  </si>
  <si>
    <t>Napvitorla tartozékokkal</t>
  </si>
  <si>
    <t>Karos napvédő ablakra</t>
  </si>
  <si>
    <t>Kisértékű tárgyi eszközök beszerzése (szőnyegek, laptopok, mobil és vonalas telefonkészülékek, hordozható magnók)</t>
  </si>
  <si>
    <t>Új tűzjelző rendszer kiépítése a Mikszáth u. 13. székhelyen</t>
  </si>
  <si>
    <t>Kisértékű tárgyi eszközök beszerzése (Irodabútorok)</t>
  </si>
  <si>
    <t>Gyulafirátót Posta u. 15. külső nyílászáró csere</t>
  </si>
  <si>
    <t>Gépkocsibeszerzések</t>
  </si>
  <si>
    <t>Kisértékű tárgyi eszközök beszerzése (szőnyeg, gyerekasztal, gyerekszék, gyerekfektető és tartó, bútor csoportszobákba, fűnyíró, ütvefúró, fejlesztő játékok, lombfújó, szegélynyíró, tornatermi felszerelések, ütéscsillapító burkolat, informatikai eszközök íróasztal, irodai székek, laptop, projektor, karnis szúnyogháló, tálcakocsi, TV, gurulós TV tartó állvány, függöny)</t>
  </si>
  <si>
    <t>Nyilvános illemhely QR kód olvasós forgókapu</t>
  </si>
  <si>
    <t>EKF pályázatban fel nem használt támogatási előleg visszafizetése</t>
  </si>
  <si>
    <t>FELHALMOZÁSI KIADÁSOK MINDÖSSZESEN</t>
  </si>
  <si>
    <t>Informatikai eszközök beszerzése (számítógép, laptop, szkenner, RFID olvasó könyvtárosi munkaállomás)</t>
  </si>
  <si>
    <t>Tárgyi eszköz beszerzés (irodai forgószék, könyvtárosi munkaállomás, porszívó, vonalkód leolvasó, lamináló, vaku, hangfal, polc, fogas. Létra, kerékpártároló, polc, lapvágó, diavetítő)</t>
  </si>
  <si>
    <t>Amerikai Kuckó (számítástechnikai eszközök, könyvek, hősugárzó, polc, asztal, szék, árnyékolóeszköz, szőnyeg, paraván)</t>
  </si>
  <si>
    <t>Kisértékű tárgyi eszközök beszerzése (porszívó, pénztárgép, hűtőszekrény, kávéfőző, gőzállomás jelmezek kezelésére, nyári gumi, létra, fellépő)</t>
  </si>
  <si>
    <t>DAT térképfrissítés, földkönyv, közműnyilvántartás, GPS - GPS-hez szükséges vezérlőegység és szoftver</t>
  </si>
  <si>
    <t>Felsőörsi raktárbázis nyílászáró csere</t>
  </si>
  <si>
    <t>Ponyvás pergola teraszfedéshez</t>
  </si>
  <si>
    <t>Eötvös Károly Könyvtár</t>
  </si>
  <si>
    <t>XXVI. Magyar Ingatlanfejlesztési Nívódíj pályázat részvételi díja</t>
  </si>
  <si>
    <t>Szilágyi Táncegyüttes Alapítvány támogatása</t>
  </si>
  <si>
    <t>Szabadságpusztai kemence</t>
  </si>
  <si>
    <t>AutiSpektrum Egyesület támogatása</t>
  </si>
  <si>
    <t>Kutyaházak beszerzése (Ebrendészeti feladatok)</t>
  </si>
  <si>
    <t>Magasnyomású ipari gőztisztító (Ebrendészeti feladatok)</t>
  </si>
  <si>
    <t>Konténer felújítása (Ebrendészeti feladatok)</t>
  </si>
  <si>
    <t>Kerítés felújítása (Ebrendészeti feladatok)</t>
  </si>
  <si>
    <t>Veszprém 2030 Műszaki Infrastruktúra Fejlesztő Kft. - törzstőke emelés</t>
  </si>
  <si>
    <t>Veszprém 2030 Műszaki Infrastruktúra Fejlesztő Kft. - tőketartalékba helyezés</t>
  </si>
  <si>
    <t>Kutyafuttató park kialakítása</t>
  </si>
  <si>
    <t>Önkormányzati ingatlan energetikai célú felújítása</t>
  </si>
  <si>
    <t>2023. évi              várható**</t>
  </si>
  <si>
    <t>Veszprémi Petőfi Színház komplex fejlesztése</t>
  </si>
  <si>
    <t>Veszprémi új Városi Jégcsarnok építése</t>
  </si>
  <si>
    <t>Veszprém belterületi közúthálózat fejlesztési céljainak és kapcsolódó tereinek megvalósítása (támogatás és önerő)</t>
  </si>
  <si>
    <t>Modern Városok Program keretében megvalósuló veszprémi belterületi közúthálózat fejlesztése projekt során az építési engedélyhez nem kötött felújítások, rekonstrukciók előkészítéséhez kapcsolódó beruházás lebonyolítói tevékenység ellátása a lakóutak és fő közlekedési utak tekintetében</t>
  </si>
  <si>
    <t>Karbonsemleges Veszprém 2030. c. stratégia elkészítése</t>
  </si>
  <si>
    <t>**Az intézményeknél kimutatott adatokat is tartalmazza</t>
  </si>
  <si>
    <t>Kisértékű tárgyi eszközök beszerzése (létra, mobiltelefon)</t>
  </si>
  <si>
    <t>Kisértékű tárgyi eszközök beszerzése (gyerekasztal, gyerekszék, bútor csoportszobába, szőnyeg, karnis, szalagfüggöny, fejlesztő játékok, informatikai eszközök, irodai székek, tornaszobai felszerelések, lombfújó, szőnyeg, textilroló, íróasztal, saválló asztal, festményszárító állvány, szegélynyíró)</t>
  </si>
  <si>
    <t>Csizmadia kerámiák restaurálása és elhelyezése</t>
  </si>
  <si>
    <t>Pannon Kultúrklub támogatása</t>
  </si>
  <si>
    <t>European Urban Initiative, „TOPIC 2: Technology in cities” pályázat benyújtása</t>
  </si>
  <si>
    <t>Szabadság tér közmű- és útrekonstrukció</t>
  </si>
  <si>
    <t>Szennyvízhálózat rekonstrukció Március 15. u. 5. sz. alatti ingatlanon (Jendrassik-Venesz Techinkum)</t>
  </si>
  <si>
    <t>Teljesítés</t>
  </si>
  <si>
    <t xml:space="preserve">teljesítés </t>
  </si>
  <si>
    <t>teljesítés</t>
  </si>
  <si>
    <t>X</t>
  </si>
  <si>
    <t>Y</t>
  </si>
  <si>
    <t>13. melléklet</t>
  </si>
  <si>
    <t>adósságot keletkeztető ügyletekből származó kötelezettségei</t>
  </si>
  <si>
    <t>Hitel megnevezése</t>
  </si>
  <si>
    <t>Hitelt nyújtó pénzintézet</t>
  </si>
  <si>
    <t>Hitel- szerződés dátuma</t>
  </si>
  <si>
    <t>Lejárat idő- pontja</t>
  </si>
  <si>
    <t>Hitelkeret</t>
  </si>
  <si>
    <t>Hitel-állomány  2023.12.31</t>
  </si>
  <si>
    <t>Hitelfelvétel 2024 I. félév</t>
  </si>
  <si>
    <t>Tőke-törlesztés 2024 I. felev</t>
  </si>
  <si>
    <t>Hitel-állomány  2024.06.30</t>
  </si>
  <si>
    <t>Hitelfelvétel 2024 II. félév</t>
  </si>
  <si>
    <t>Tőke-törlesztés 2024 II. felev</t>
  </si>
  <si>
    <t>Hitelállomány  2024.12.31</t>
  </si>
  <si>
    <t>1.</t>
  </si>
  <si>
    <t>Hitelszerződés - MFB ÖIP 2013.</t>
  </si>
  <si>
    <t>Takarékbank / MBH Bank</t>
  </si>
  <si>
    <t>2.</t>
  </si>
  <si>
    <t>Hitelszerződés - MFB ÖIP 2014</t>
  </si>
  <si>
    <t>UniCredit Bank</t>
  </si>
  <si>
    <t>3.</t>
  </si>
  <si>
    <t>Kölcsönszerződés - Célhitel 2019</t>
  </si>
  <si>
    <t>OTP Bank</t>
  </si>
  <si>
    <t>4.</t>
  </si>
  <si>
    <t>Fejlesztési hitel - 2021</t>
  </si>
  <si>
    <t>UniCreditBank</t>
  </si>
  <si>
    <t>I.</t>
  </si>
  <si>
    <t>Pénzintézetekkel szemben fenálló kötelezettségek összesen</t>
  </si>
  <si>
    <t xml:space="preserve">1. melléklet </t>
  </si>
  <si>
    <t>2024. évi költségvetési bevételeinek I. félévi teljesítése</t>
  </si>
  <si>
    <t xml:space="preserve">2. melléklet </t>
  </si>
  <si>
    <t>2024. évi költségvetési kiadásainak I. félévi teljesítése</t>
  </si>
  <si>
    <t xml:space="preserve">3. melléklet </t>
  </si>
  <si>
    <t xml:space="preserve">4. melléklet </t>
  </si>
  <si>
    <t xml:space="preserve">5. melléklet </t>
  </si>
  <si>
    <t>2024. évi felhalmozási költségvetési kiadásainak I. félévi teljesítése</t>
  </si>
  <si>
    <t>6. melléklet</t>
  </si>
  <si>
    <t>Önkormányzati feladatok és egyéb kötelezettségek 2024. évi működési költségvetési kiadásainak I. félévi teljesítése</t>
  </si>
  <si>
    <t xml:space="preserve">7. melléklet </t>
  </si>
  <si>
    <t>2024. évi beruházási és egyéb felhalmozási célú kiadások I. félévi teljesítése</t>
  </si>
  <si>
    <t xml:space="preserve">8. melléklet </t>
  </si>
  <si>
    <t>2024. évi felújítási kiadások I. félévi teljesítése</t>
  </si>
  <si>
    <t xml:space="preserve">9. melléklet </t>
  </si>
  <si>
    <t>Európai Uniós forrásból finanszírozott támogatással megvalósuló programok, projektek 2024. évi költségvetési kiadásainak I. félévi teljesítése</t>
  </si>
  <si>
    <t xml:space="preserve">10. melléklet </t>
  </si>
  <si>
    <t>Modern Városok Program és más hazai finanszírozásból megvalósuló feladatok 2024. évi költségvetési kiadásainak I. félévi teljesítése</t>
  </si>
  <si>
    <t>Európa Kulturális Fővárosa program 2024. évi költségvetési kiadásainak I. félévi teljesítése</t>
  </si>
  <si>
    <t xml:space="preserve">11. melléklet </t>
  </si>
  <si>
    <t xml:space="preserve">12. melléklet </t>
  </si>
  <si>
    <t>Támogatás teljesítés       2024. I. félév</t>
  </si>
  <si>
    <t>Kiadás teljesítés 2024. I. félév</t>
  </si>
  <si>
    <t>14. melléklet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</si>
</sst>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F_t_-;\-* #,##0.00\ _F_t_-;_-* &quot;-&quot;??\ _F_t_-;_-@_-"/>
    <numFmt numFmtId="165" formatCode="0.0%"/>
  </numFmts>
  <fonts count="65" x14ac:knownFonts="1">
    <font>
      <sz val="10"/>
      <name val="Arial CE"/>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1"/>
      <name val="Palatino Linotype"/>
      <family val="1"/>
      <charset val="238"/>
    </font>
    <font>
      <sz val="10"/>
      <name val="Arial"/>
      <family val="2"/>
      <charset val="238"/>
    </font>
    <font>
      <b/>
      <sz val="11"/>
      <name val="Palatino Linotype"/>
      <family val="1"/>
      <charset val="238"/>
    </font>
    <font>
      <i/>
      <sz val="11"/>
      <name val="Palatino Linotype"/>
      <family val="1"/>
      <charset val="238"/>
    </font>
    <font>
      <sz val="9"/>
      <name val="Palatino Linotype"/>
      <family val="1"/>
      <charset val="238"/>
    </font>
    <font>
      <sz val="8"/>
      <name val="Arial CE"/>
      <charset val="238"/>
    </font>
    <font>
      <sz val="12"/>
      <name val="Times New Roman"/>
      <family val="1"/>
      <charset val="238"/>
    </font>
    <font>
      <sz val="10"/>
      <name val="Palatino Linotype"/>
      <family val="1"/>
      <charset val="238"/>
    </font>
    <font>
      <b/>
      <sz val="9"/>
      <name val="Palatino Linotype"/>
      <family val="1"/>
      <charset val="238"/>
    </font>
    <font>
      <i/>
      <sz val="10"/>
      <name val="Palatino Linotype"/>
      <family val="1"/>
      <charset val="238"/>
    </font>
    <font>
      <b/>
      <sz val="10"/>
      <name val="Palatino Linotype"/>
      <family val="1"/>
      <charset val="238"/>
    </font>
    <font>
      <sz val="9"/>
      <name val="Arial CE"/>
      <charset val="238"/>
    </font>
    <font>
      <i/>
      <u/>
      <sz val="10"/>
      <name val="Palatino Linotype"/>
      <family val="1"/>
      <charset val="238"/>
    </font>
    <font>
      <b/>
      <i/>
      <sz val="10"/>
      <name val="Palatino Linotype"/>
      <family val="1"/>
      <charset val="238"/>
    </font>
    <font>
      <b/>
      <i/>
      <sz val="11"/>
      <name val="Palatino Linotype"/>
      <family val="1"/>
      <charset val="238"/>
    </font>
    <font>
      <sz val="7"/>
      <name val="Palatino Linotype"/>
      <family val="1"/>
      <charset val="238"/>
    </font>
    <font>
      <i/>
      <sz val="10"/>
      <name val="Arial CE"/>
      <charset val="238"/>
    </font>
    <font>
      <sz val="11"/>
      <name val="Arial CE"/>
      <charset val="238"/>
    </font>
    <font>
      <b/>
      <u/>
      <sz val="10"/>
      <name val="Palatino Linotype"/>
      <family val="1"/>
      <charset val="238"/>
    </font>
    <font>
      <b/>
      <u/>
      <sz val="11"/>
      <name val="Palatino Linotype"/>
      <family val="1"/>
      <charset val="238"/>
    </font>
    <font>
      <b/>
      <u/>
      <sz val="12"/>
      <name val="Palatino Linotype"/>
      <family val="1"/>
      <charset val="238"/>
    </font>
    <font>
      <u/>
      <sz val="10"/>
      <name val="Palatino Linotype"/>
      <family val="1"/>
      <charset val="238"/>
    </font>
    <font>
      <sz val="11"/>
      <color theme="1"/>
      <name val="Calibri"/>
      <family val="2"/>
      <charset val="238"/>
      <scheme val="minor"/>
    </font>
    <font>
      <sz val="11"/>
      <color rgb="FFFF0000"/>
      <name val="Palatino Linotype"/>
      <family val="1"/>
      <charset val="238"/>
    </font>
    <font>
      <b/>
      <sz val="10"/>
      <color theme="5" tint="-0.499984740745262"/>
      <name val="Palatino Linotype"/>
      <family val="1"/>
      <charset val="238"/>
    </font>
    <font>
      <b/>
      <i/>
      <sz val="10"/>
      <color theme="5" tint="-0.499984740745262"/>
      <name val="Palatino Linotype"/>
      <family val="1"/>
      <charset val="238"/>
    </font>
    <font>
      <b/>
      <sz val="10"/>
      <color theme="5" tint="-0.499984740745262"/>
      <name val="Arial CE"/>
      <charset val="238"/>
    </font>
    <font>
      <b/>
      <i/>
      <sz val="10"/>
      <color theme="5" tint="-0.499984740745262"/>
      <name val="Arial CE"/>
      <charset val="238"/>
    </font>
    <font>
      <b/>
      <sz val="11"/>
      <color theme="5" tint="-0.499984740745262"/>
      <name val="Palatino Linotype"/>
      <family val="1"/>
      <charset val="238"/>
    </font>
    <font>
      <sz val="11"/>
      <color theme="5" tint="-0.499984740745262"/>
      <name val="Palatino Linotype"/>
      <family val="1"/>
      <charset val="238"/>
    </font>
    <font>
      <sz val="11"/>
      <color theme="1"/>
      <name val="Palatino Linotype"/>
      <family val="1"/>
      <charset val="238"/>
    </font>
    <font>
      <b/>
      <i/>
      <sz val="11"/>
      <color theme="5" tint="-0.499984740745262"/>
      <name val="Palatino Linotype"/>
      <family val="1"/>
      <charset val="238"/>
    </font>
    <font>
      <sz val="10"/>
      <color theme="5" tint="-0.499984740745262"/>
      <name val="Palatino Linotype"/>
      <family val="1"/>
      <charset val="238"/>
    </font>
    <font>
      <i/>
      <sz val="10"/>
      <color theme="5" tint="-0.499984740745262"/>
      <name val="Palatino Linotype"/>
      <family val="1"/>
      <charset val="238"/>
    </font>
    <font>
      <b/>
      <u/>
      <sz val="11"/>
      <color theme="1"/>
      <name val="Palatino Linotype"/>
      <family val="1"/>
      <charset val="238"/>
    </font>
    <font>
      <b/>
      <i/>
      <sz val="11"/>
      <color theme="1"/>
      <name val="Palatino Linotype"/>
      <family val="1"/>
      <charset val="238"/>
    </font>
    <font>
      <sz val="11"/>
      <color rgb="FF800000"/>
      <name val="Palatino Linotype"/>
      <family val="1"/>
      <charset val="238"/>
    </font>
    <font>
      <b/>
      <sz val="11"/>
      <color rgb="FF800000"/>
      <name val="Palatino Linotype"/>
      <family val="1"/>
      <charset val="238"/>
    </font>
    <font>
      <b/>
      <sz val="10"/>
      <color rgb="FF632523"/>
      <name val="Palatino Linotype"/>
      <family val="1"/>
      <charset val="238"/>
    </font>
    <font>
      <sz val="10"/>
      <color rgb="FFFF0000"/>
      <name val="Palatino Linotype"/>
      <family val="1"/>
      <charset val="238"/>
    </font>
    <font>
      <b/>
      <i/>
      <u/>
      <sz val="11"/>
      <color theme="1"/>
      <name val="Palatino Linotype"/>
      <family val="1"/>
      <charset val="238"/>
    </font>
    <font>
      <b/>
      <sz val="10"/>
      <color theme="9" tint="-0.499984740745262"/>
      <name val="Palatino Linotype"/>
      <family val="1"/>
      <charset val="238"/>
    </font>
    <font>
      <sz val="10.5"/>
      <name val="Palatino Linotype"/>
      <family val="1"/>
      <charset val="238"/>
    </font>
    <font>
      <sz val="11"/>
      <color rgb="FF000000"/>
      <name val="Calibri"/>
      <family val="2"/>
      <charset val="238"/>
    </font>
    <font>
      <i/>
      <sz val="9"/>
      <name val="Palatino Linotype"/>
      <family val="1"/>
      <charset val="238"/>
    </font>
    <font>
      <sz val="12"/>
      <name val="Palatino Linotype"/>
      <family val="1"/>
      <charset val="238"/>
    </font>
    <font>
      <i/>
      <sz val="11"/>
      <color rgb="FFFF0000"/>
      <name val="Palatino Linotype"/>
      <family val="1"/>
      <charset val="238"/>
    </font>
    <font>
      <i/>
      <sz val="10"/>
      <color rgb="FFFF0000"/>
      <name val="Palatino Linotype"/>
      <family val="1"/>
      <charset val="238"/>
    </font>
    <font>
      <b/>
      <i/>
      <sz val="10"/>
      <color rgb="FFFF0000"/>
      <name val="Palatino Linotype"/>
      <family val="1"/>
      <charset val="238"/>
    </font>
    <font>
      <b/>
      <sz val="10"/>
      <color rgb="FFFF0000"/>
      <name val="Palatino Linotype"/>
      <family val="1"/>
      <charset val="238"/>
    </font>
    <font>
      <b/>
      <sz val="11"/>
      <color rgb="FFFF0000"/>
      <name val="Palatino Linotype"/>
      <family val="1"/>
      <charset val="238"/>
    </font>
    <font>
      <i/>
      <sz val="10"/>
      <color rgb="FF080808"/>
      <name val="Palatino Linotype"/>
      <family val="1"/>
      <charset val="238"/>
    </font>
    <font>
      <sz val="10"/>
      <name val="Times New Roman"/>
      <family val="1"/>
      <charset val="238"/>
    </font>
    <font>
      <sz val="16"/>
      <name val="Palatino Linotype"/>
      <family val="1"/>
      <charset val="23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0" tint="-0.14999847407452621"/>
        <bgColor indexed="64"/>
      </patternFill>
    </fill>
  </fills>
  <borders count="246">
    <border>
      <left/>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medium">
        <color indexed="64"/>
      </right>
      <top/>
      <bottom/>
      <diagonal/>
    </border>
    <border>
      <left/>
      <right style="medium">
        <color indexed="64"/>
      </right>
      <top/>
      <bottom style="medium">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bottom style="hair">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double">
        <color indexed="64"/>
      </bottom>
      <diagonal/>
    </border>
    <border>
      <left/>
      <right/>
      <top style="double">
        <color indexed="64"/>
      </top>
      <bottom style="medium">
        <color indexed="64"/>
      </bottom>
      <diagonal/>
    </border>
    <border>
      <left/>
      <right/>
      <top style="thin">
        <color indexed="64"/>
      </top>
      <bottom style="medium">
        <color indexed="64"/>
      </bottom>
      <diagonal/>
    </border>
    <border>
      <left style="double">
        <color indexed="64"/>
      </left>
      <right style="double">
        <color indexed="64"/>
      </right>
      <top style="medium">
        <color indexed="64"/>
      </top>
      <bottom style="medium">
        <color indexed="64"/>
      </bottom>
      <diagonal/>
    </border>
    <border>
      <left style="double">
        <color indexed="64"/>
      </left>
      <right style="double">
        <color indexed="64"/>
      </right>
      <top style="hair">
        <color indexed="64"/>
      </top>
      <bottom style="hair">
        <color indexed="64"/>
      </bottom>
      <diagonal/>
    </border>
    <border>
      <left style="double">
        <color indexed="64"/>
      </left>
      <right style="medium">
        <color indexed="64"/>
      </right>
      <top style="medium">
        <color indexed="64"/>
      </top>
      <bottom style="medium">
        <color indexed="64"/>
      </bottom>
      <diagonal/>
    </border>
    <border>
      <left style="double">
        <color indexed="64"/>
      </left>
      <right style="medium">
        <color indexed="64"/>
      </right>
      <top/>
      <bottom/>
      <diagonal/>
    </border>
    <border>
      <left style="thin">
        <color indexed="64"/>
      </left>
      <right style="thin">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hair">
        <color indexed="64"/>
      </top>
      <bottom style="hair">
        <color indexed="64"/>
      </bottom>
      <diagonal/>
    </border>
    <border>
      <left style="double">
        <color indexed="64"/>
      </left>
      <right style="hair">
        <color indexed="64"/>
      </right>
      <top style="medium">
        <color indexed="64"/>
      </top>
      <bottom style="hair">
        <color indexed="64"/>
      </bottom>
      <diagonal/>
    </border>
    <border>
      <left style="thin">
        <color indexed="64"/>
      </left>
      <right style="thin">
        <color indexed="64"/>
      </right>
      <top style="thin">
        <color indexed="64"/>
      </top>
      <bottom style="medium">
        <color indexed="64"/>
      </bottom>
      <diagonal/>
    </border>
    <border>
      <left style="double">
        <color indexed="64"/>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double">
        <color indexed="64"/>
      </bottom>
      <diagonal/>
    </border>
    <border>
      <left style="medium">
        <color indexed="64"/>
      </left>
      <right/>
      <top style="double">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double">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double">
        <color indexed="64"/>
      </left>
      <right style="hair">
        <color indexed="64"/>
      </right>
      <top/>
      <bottom style="hair">
        <color indexed="64"/>
      </bottom>
      <diagonal/>
    </border>
    <border>
      <left style="medium">
        <color indexed="64"/>
      </left>
      <right style="hair">
        <color indexed="64"/>
      </right>
      <top style="hair">
        <color indexed="64"/>
      </top>
      <bottom/>
      <diagonal/>
    </border>
    <border>
      <left style="hair">
        <color indexed="64"/>
      </left>
      <right style="hair">
        <color indexed="64"/>
      </right>
      <top/>
      <bottom/>
      <diagonal/>
    </border>
    <border>
      <left/>
      <right style="hair">
        <color indexed="64"/>
      </right>
      <top/>
      <bottom/>
      <diagonal/>
    </border>
    <border>
      <left/>
      <right style="hair">
        <color indexed="64"/>
      </right>
      <top/>
      <bottom style="hair">
        <color indexed="64"/>
      </bottom>
      <diagonal/>
    </border>
    <border>
      <left style="hair">
        <color indexed="64"/>
      </left>
      <right/>
      <top style="medium">
        <color indexed="64"/>
      </top>
      <bottom style="hair">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double">
        <color indexed="64"/>
      </left>
      <right/>
      <top/>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style="thin">
        <color indexed="64"/>
      </left>
      <right style="medium">
        <color indexed="64"/>
      </right>
      <top/>
      <bottom/>
      <diagonal/>
    </border>
    <border>
      <left style="double">
        <color indexed="64"/>
      </left>
      <right/>
      <top style="thin">
        <color indexed="64"/>
      </top>
      <bottom style="double">
        <color indexed="64"/>
      </bottom>
      <diagonal/>
    </border>
    <border>
      <left style="medium">
        <color indexed="64"/>
      </left>
      <right/>
      <top style="double">
        <color indexed="64"/>
      </top>
      <bottom style="double">
        <color indexed="64"/>
      </bottom>
      <diagonal/>
    </border>
    <border>
      <left/>
      <right style="thin">
        <color indexed="64"/>
      </right>
      <top style="double">
        <color indexed="64"/>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bottom/>
      <diagonal/>
    </border>
    <border>
      <left style="medium">
        <color indexed="64"/>
      </left>
      <right/>
      <top/>
      <bottom style="thin">
        <color indexed="64"/>
      </bottom>
      <diagonal/>
    </border>
    <border>
      <left style="double">
        <color indexed="64"/>
      </left>
      <right/>
      <top/>
      <bottom style="thin">
        <color indexed="64"/>
      </bottom>
      <diagonal/>
    </border>
    <border>
      <left style="thin">
        <color indexed="64"/>
      </left>
      <right/>
      <top style="thin">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top style="double">
        <color indexed="64"/>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style="hair">
        <color indexed="64"/>
      </left>
      <right style="hair">
        <color indexed="64"/>
      </right>
      <top style="hair">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hair">
        <color indexed="64"/>
      </right>
      <top style="hair">
        <color indexed="64"/>
      </top>
      <bottom style="hair">
        <color indexed="64"/>
      </bottom>
      <diagonal/>
    </border>
    <border>
      <left/>
      <right style="hair">
        <color indexed="64"/>
      </right>
      <top style="double">
        <color indexed="64"/>
      </top>
      <bottom style="hair">
        <color indexed="64"/>
      </bottom>
      <diagonal/>
    </border>
    <border>
      <left/>
      <right style="double">
        <color indexed="64"/>
      </right>
      <top style="thin">
        <color indexed="64"/>
      </top>
      <bottom style="thin">
        <color indexed="64"/>
      </bottom>
      <diagonal/>
    </border>
    <border>
      <left style="hair">
        <color indexed="64"/>
      </left>
      <right style="hair">
        <color indexed="64"/>
      </right>
      <top style="medium">
        <color indexed="64"/>
      </top>
      <bottom/>
      <diagonal/>
    </border>
    <border>
      <left style="double">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style="medium">
        <color indexed="64"/>
      </left>
      <right/>
      <top style="hair">
        <color indexed="64"/>
      </top>
      <bottom style="hair">
        <color indexed="64"/>
      </bottom>
      <diagonal/>
    </border>
    <border>
      <left style="double">
        <color indexed="64"/>
      </left>
      <right style="double">
        <color indexed="64"/>
      </right>
      <top/>
      <bottom/>
      <diagonal/>
    </border>
    <border>
      <left/>
      <right/>
      <top style="hair">
        <color indexed="64"/>
      </top>
      <bottom style="hair">
        <color indexed="64"/>
      </bottom>
      <diagonal/>
    </border>
    <border>
      <left/>
      <right style="hair">
        <color indexed="64"/>
      </right>
      <top style="medium">
        <color indexed="64"/>
      </top>
      <bottom style="hair">
        <color indexed="64"/>
      </bottom>
      <diagonal/>
    </border>
    <border>
      <left/>
      <right style="hair">
        <color indexed="64"/>
      </right>
      <top style="hair">
        <color indexed="64"/>
      </top>
      <bottom/>
      <diagonal/>
    </border>
    <border>
      <left/>
      <right style="hair">
        <color indexed="64"/>
      </right>
      <top style="medium">
        <color indexed="64"/>
      </top>
      <bottom/>
      <diagonal/>
    </border>
    <border>
      <left/>
      <right style="hair">
        <color indexed="64"/>
      </right>
      <top style="medium">
        <color indexed="64"/>
      </top>
      <bottom style="medium">
        <color indexed="64"/>
      </bottom>
      <diagonal/>
    </border>
    <border>
      <left style="double">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top style="hair">
        <color indexed="64"/>
      </top>
      <bottom style="double">
        <color indexed="64"/>
      </bottom>
      <diagonal/>
    </border>
    <border>
      <left/>
      <right/>
      <top/>
      <bottom style="hair">
        <color indexed="64"/>
      </bottom>
      <diagonal/>
    </border>
    <border>
      <left/>
      <right/>
      <top style="medium">
        <color indexed="64"/>
      </top>
      <bottom style="hair">
        <color indexed="64"/>
      </bottom>
      <diagonal/>
    </border>
    <border>
      <left style="hair">
        <color indexed="64"/>
      </left>
      <right style="hair">
        <color indexed="64"/>
      </right>
      <top style="double">
        <color indexed="64"/>
      </top>
      <bottom style="medium">
        <color indexed="64"/>
      </bottom>
      <diagonal/>
    </border>
    <border>
      <left style="hair">
        <color indexed="64"/>
      </left>
      <right/>
      <top style="double">
        <color indexed="64"/>
      </top>
      <bottom style="hair">
        <color indexed="64"/>
      </bottom>
      <diagonal/>
    </border>
    <border>
      <left style="double">
        <color indexed="64"/>
      </left>
      <right style="medium">
        <color indexed="64"/>
      </right>
      <top/>
      <bottom style="hair">
        <color indexed="64"/>
      </bottom>
      <diagonal/>
    </border>
    <border>
      <left style="double">
        <color indexed="64"/>
      </left>
      <right style="medium">
        <color indexed="64"/>
      </right>
      <top style="hair">
        <color indexed="64"/>
      </top>
      <bottom style="hair">
        <color indexed="64"/>
      </bottom>
      <diagonal/>
    </border>
    <border>
      <left style="hair">
        <color indexed="64"/>
      </left>
      <right style="double">
        <color indexed="64"/>
      </right>
      <top style="medium">
        <color indexed="64"/>
      </top>
      <bottom style="hair">
        <color indexed="64"/>
      </bottom>
      <diagonal/>
    </border>
    <border>
      <left style="hair">
        <color indexed="64"/>
      </left>
      <right style="double">
        <color indexed="64"/>
      </right>
      <top style="hair">
        <color indexed="64"/>
      </top>
      <bottom style="hair">
        <color indexed="64"/>
      </bottom>
      <diagonal/>
    </border>
    <border>
      <left style="hair">
        <color indexed="64"/>
      </left>
      <right style="double">
        <color indexed="64"/>
      </right>
      <top style="medium">
        <color indexed="64"/>
      </top>
      <bottom/>
      <diagonal/>
    </border>
    <border>
      <left style="double">
        <color indexed="64"/>
      </left>
      <right style="hair">
        <color indexed="64"/>
      </right>
      <top style="medium">
        <color indexed="64"/>
      </top>
      <bottom style="medium">
        <color indexed="64"/>
      </bottom>
      <diagonal/>
    </border>
    <border>
      <left/>
      <right/>
      <top style="hair">
        <color indexed="64"/>
      </top>
      <bottom/>
      <diagonal/>
    </border>
    <border>
      <left style="hair">
        <color indexed="64"/>
      </left>
      <right style="medium">
        <color indexed="64"/>
      </right>
      <top style="hair">
        <color indexed="64"/>
      </top>
      <bottom style="double">
        <color indexed="64"/>
      </bottom>
      <diagonal/>
    </border>
    <border>
      <left/>
      <right/>
      <top style="hair">
        <color indexed="64"/>
      </top>
      <bottom style="double">
        <color indexed="64"/>
      </bottom>
      <diagonal/>
    </border>
    <border>
      <left style="hair">
        <color indexed="64"/>
      </left>
      <right style="medium">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hair">
        <color indexed="64"/>
      </top>
      <bottom/>
      <diagonal/>
    </border>
    <border>
      <left style="double">
        <color indexed="64"/>
      </left>
      <right style="hair">
        <color indexed="64"/>
      </right>
      <top style="hair">
        <color indexed="64"/>
      </top>
      <bottom/>
      <diagonal/>
    </border>
    <border>
      <left style="hair">
        <color indexed="64"/>
      </left>
      <right style="double">
        <color indexed="64"/>
      </right>
      <top style="double">
        <color indexed="64"/>
      </top>
      <bottom style="hair">
        <color indexed="64"/>
      </bottom>
      <diagonal/>
    </border>
    <border>
      <left style="double">
        <color indexed="64"/>
      </left>
      <right style="hair">
        <color indexed="64"/>
      </right>
      <top style="hair">
        <color indexed="64"/>
      </top>
      <bottom style="medium">
        <color indexed="64"/>
      </bottom>
      <diagonal/>
    </border>
    <border>
      <left style="medium">
        <color indexed="64"/>
      </left>
      <right style="medium">
        <color indexed="64"/>
      </right>
      <top/>
      <bottom/>
      <diagonal/>
    </border>
    <border>
      <left style="hair">
        <color indexed="64"/>
      </left>
      <right/>
      <top style="double">
        <color indexed="64"/>
      </top>
      <bottom style="medium">
        <color indexed="64"/>
      </bottom>
      <diagonal/>
    </border>
    <border>
      <left style="hair">
        <color indexed="64"/>
      </left>
      <right/>
      <top style="medium">
        <color indexed="64"/>
      </top>
      <bottom style="medium">
        <color indexed="64"/>
      </bottom>
      <diagonal/>
    </border>
    <border>
      <left style="hair">
        <color indexed="64"/>
      </left>
      <right style="double">
        <color indexed="64"/>
      </right>
      <top/>
      <bottom style="hair">
        <color indexed="64"/>
      </bottom>
      <diagonal/>
    </border>
    <border>
      <left style="double">
        <color indexed="64"/>
      </left>
      <right style="medium">
        <color indexed="64"/>
      </right>
      <top style="hair">
        <color indexed="64"/>
      </top>
      <bottom/>
      <diagonal/>
    </border>
    <border>
      <left style="hair">
        <color indexed="64"/>
      </left>
      <right style="double">
        <color indexed="64"/>
      </right>
      <top style="hair">
        <color indexed="64"/>
      </top>
      <bottom/>
      <diagonal/>
    </border>
    <border>
      <left/>
      <right style="hair">
        <color indexed="64"/>
      </right>
      <top style="double">
        <color indexed="64"/>
      </top>
      <bottom style="medium">
        <color indexed="64"/>
      </bottom>
      <diagonal/>
    </border>
    <border>
      <left style="thin">
        <color indexed="64"/>
      </left>
      <right style="thin">
        <color indexed="64"/>
      </right>
      <top/>
      <bottom style="medium">
        <color indexed="64"/>
      </bottom>
      <diagonal/>
    </border>
    <border>
      <left/>
      <right style="medium">
        <color indexed="64"/>
      </right>
      <top/>
      <bottom style="hair">
        <color indexed="64"/>
      </bottom>
      <diagonal/>
    </border>
    <border>
      <left style="double">
        <color indexed="64"/>
      </left>
      <right style="double">
        <color indexed="64"/>
      </right>
      <top style="medium">
        <color indexed="64"/>
      </top>
      <bottom/>
      <diagonal/>
    </border>
    <border>
      <left style="double">
        <color indexed="64"/>
      </left>
      <right style="hair">
        <color indexed="64"/>
      </right>
      <top style="medium">
        <color indexed="64"/>
      </top>
      <bottom/>
      <diagonal/>
    </border>
    <border>
      <left style="hair">
        <color indexed="64"/>
      </left>
      <right style="double">
        <color indexed="64"/>
      </right>
      <top/>
      <bottom/>
      <diagonal/>
    </border>
    <border>
      <left style="double">
        <color indexed="64"/>
      </left>
      <right style="hair">
        <color indexed="64"/>
      </right>
      <top/>
      <bottom/>
      <diagonal/>
    </border>
    <border>
      <left style="hair">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double">
        <color indexed="64"/>
      </top>
      <bottom style="hair">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medium">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right/>
      <top style="double">
        <color indexed="64"/>
      </top>
      <bottom style="double">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medium">
        <color indexed="64"/>
      </top>
      <bottom style="dotted">
        <color indexed="64"/>
      </bottom>
      <diagonal/>
    </border>
    <border>
      <left style="medium">
        <color indexed="64"/>
      </left>
      <right style="thin">
        <color indexed="64"/>
      </right>
      <top style="dotted">
        <color indexed="64"/>
      </top>
      <bottom style="medium">
        <color indexed="64"/>
      </bottom>
      <diagonal/>
    </border>
    <border>
      <left style="thin">
        <color indexed="64"/>
      </left>
      <right style="double">
        <color indexed="64"/>
      </right>
      <top style="medium">
        <color indexed="64"/>
      </top>
      <bottom style="dotted">
        <color indexed="64"/>
      </bottom>
      <diagonal/>
    </border>
    <border>
      <left style="thin">
        <color indexed="64"/>
      </left>
      <right style="double">
        <color indexed="64"/>
      </right>
      <top style="dotted">
        <color indexed="64"/>
      </top>
      <bottom style="medium">
        <color indexed="64"/>
      </bottom>
      <diagonal/>
    </border>
    <border>
      <left/>
      <right style="double">
        <color indexed="64"/>
      </right>
      <top style="double">
        <color indexed="64"/>
      </top>
      <bottom style="hair">
        <color indexed="64"/>
      </bottom>
      <diagonal/>
    </border>
    <border>
      <left/>
      <right style="double">
        <color indexed="64"/>
      </right>
      <top style="hair">
        <color indexed="64"/>
      </top>
      <bottom style="hair">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diagonal/>
    </border>
    <border>
      <left/>
      <right style="double">
        <color indexed="64"/>
      </right>
      <top/>
      <bottom style="thin">
        <color indexed="64"/>
      </bottom>
      <diagonal/>
    </border>
    <border>
      <left/>
      <right style="double">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style="medium">
        <color indexed="64"/>
      </top>
      <bottom/>
      <diagonal/>
    </border>
    <border>
      <left style="medium">
        <color indexed="64"/>
      </left>
      <right style="medium">
        <color indexed="64"/>
      </right>
      <top style="thin">
        <color indexed="64"/>
      </top>
      <bottom/>
      <diagonal/>
    </border>
    <border>
      <left style="thin">
        <color indexed="64"/>
      </left>
      <right style="double">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hair">
        <color indexed="64"/>
      </top>
      <bottom/>
      <diagonal/>
    </border>
    <border>
      <left/>
      <right style="medium">
        <color indexed="64"/>
      </right>
      <top style="hair">
        <color indexed="64"/>
      </top>
      <bottom style="hair">
        <color indexed="64"/>
      </bottom>
      <diagonal/>
    </border>
    <border>
      <left style="hair">
        <color indexed="64"/>
      </left>
      <right/>
      <top/>
      <bottom/>
      <diagonal/>
    </border>
    <border>
      <left style="hair">
        <color indexed="64"/>
      </left>
      <right style="double">
        <color indexed="64"/>
      </right>
      <top style="hair">
        <color indexed="64"/>
      </top>
      <bottom style="double">
        <color indexed="64"/>
      </bottom>
      <diagonal/>
    </border>
    <border>
      <left style="double">
        <color indexed="64"/>
      </left>
      <right/>
      <top style="hair">
        <color indexed="64"/>
      </top>
      <bottom style="hair">
        <color indexed="64"/>
      </bottom>
      <diagonal/>
    </border>
    <border>
      <left style="hair">
        <color indexed="64"/>
      </left>
      <right/>
      <top style="medium">
        <color indexed="64"/>
      </top>
      <bottom/>
      <diagonal/>
    </border>
    <border>
      <left style="hair">
        <color indexed="64"/>
      </left>
      <right style="hair">
        <color indexed="64"/>
      </right>
      <top style="double">
        <color indexed="64"/>
      </top>
      <bottom/>
      <diagonal/>
    </border>
    <border>
      <left/>
      <right style="medium">
        <color indexed="64"/>
      </right>
      <top style="double">
        <color indexed="64"/>
      </top>
      <bottom style="hair">
        <color indexed="64"/>
      </bottom>
      <diagonal/>
    </border>
    <border>
      <left/>
      <right style="medium">
        <color indexed="64"/>
      </right>
      <top style="hair">
        <color indexed="64"/>
      </top>
      <bottom style="double">
        <color indexed="64"/>
      </bottom>
      <diagonal/>
    </border>
    <border>
      <left style="double">
        <color indexed="64"/>
      </left>
      <right style="medium">
        <color indexed="64"/>
      </right>
      <top style="hair">
        <color indexed="64"/>
      </top>
      <bottom style="medium">
        <color indexed="64"/>
      </bottom>
      <diagonal/>
    </border>
    <border>
      <left/>
      <right style="double">
        <color indexed="64"/>
      </right>
      <top/>
      <bottom style="hair">
        <color indexed="64"/>
      </bottom>
      <diagonal/>
    </border>
    <border>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right style="thin">
        <color auto="1"/>
      </right>
      <top style="medium">
        <color auto="1"/>
      </top>
      <bottom style="medium">
        <color auto="1"/>
      </bottom>
      <diagonal/>
    </border>
    <border>
      <left/>
      <right style="double">
        <color auto="1"/>
      </right>
      <top style="medium">
        <color auto="1"/>
      </top>
      <bottom style="thin">
        <color auto="1"/>
      </bottom>
      <diagonal/>
    </border>
    <border>
      <left style="hair">
        <color indexed="64"/>
      </left>
      <right style="double">
        <color indexed="64"/>
      </right>
      <top style="double">
        <color indexed="64"/>
      </top>
      <bottom/>
      <diagonal/>
    </border>
    <border>
      <left/>
      <right style="medium">
        <color indexed="64"/>
      </right>
      <top style="double">
        <color indexed="64"/>
      </top>
      <bottom/>
      <diagonal/>
    </border>
    <border>
      <left style="medium">
        <color indexed="64"/>
      </left>
      <right/>
      <top/>
      <bottom style="hair">
        <color indexed="64"/>
      </bottom>
      <diagonal/>
    </border>
    <border>
      <left/>
      <right style="double">
        <color indexed="64"/>
      </right>
      <top/>
      <bottom/>
      <diagonal/>
    </border>
    <border>
      <left style="medium">
        <color indexed="64"/>
      </left>
      <right/>
      <top style="hair">
        <color indexed="64"/>
      </top>
      <bottom style="double">
        <color indexed="64"/>
      </bottom>
      <diagonal/>
    </border>
    <border>
      <left/>
      <right style="double">
        <color indexed="64"/>
      </right>
      <top style="hair">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medium">
        <color indexed="64"/>
      </left>
      <right/>
      <top style="double">
        <color indexed="64"/>
      </top>
      <bottom style="hair">
        <color indexed="64"/>
      </bottom>
      <diagonal/>
    </border>
    <border>
      <left/>
      <right style="medium">
        <color indexed="64"/>
      </right>
      <top style="hair">
        <color indexed="64"/>
      </top>
      <bottom style="medium">
        <color indexed="64"/>
      </bottom>
      <diagonal/>
    </border>
    <border>
      <left style="double">
        <color indexed="64"/>
      </left>
      <right style="medium">
        <color indexed="64"/>
      </right>
      <top style="double">
        <color indexed="64"/>
      </top>
      <bottom style="hair">
        <color indexed="64"/>
      </bottom>
      <diagonal/>
    </border>
    <border>
      <left style="medium">
        <color indexed="64"/>
      </left>
      <right style="hair">
        <color indexed="64"/>
      </right>
      <top style="hair">
        <color indexed="64"/>
      </top>
      <bottom style="double">
        <color indexed="64"/>
      </bottom>
      <diagonal/>
    </border>
    <border>
      <left/>
      <right style="medium">
        <color indexed="64"/>
      </right>
      <top style="medium">
        <color indexed="64"/>
      </top>
      <bottom style="medium">
        <color indexed="64"/>
      </bottom>
      <diagonal/>
    </border>
    <border>
      <left style="double">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double">
        <color indexed="64"/>
      </left>
      <right/>
      <top style="double">
        <color indexed="64"/>
      </top>
      <bottom style="medium">
        <color indexed="64"/>
      </bottom>
      <diagonal/>
    </border>
    <border>
      <left style="double">
        <color indexed="64"/>
      </left>
      <right/>
      <top style="thin">
        <color indexed="64"/>
      </top>
      <bottom style="medium">
        <color indexed="64"/>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double">
        <color indexed="64"/>
      </right>
      <top style="hair">
        <color indexed="64"/>
      </top>
      <bottom/>
      <diagonal/>
    </border>
    <border>
      <left/>
      <right style="medium">
        <color indexed="64"/>
      </right>
      <top style="hair">
        <color indexed="64"/>
      </top>
      <bottom/>
      <diagonal/>
    </border>
    <border>
      <left style="hair">
        <color indexed="64"/>
      </left>
      <right style="hair">
        <color indexed="64"/>
      </right>
      <top/>
      <bottom style="medium">
        <color indexed="64"/>
      </bottom>
      <diagonal/>
    </border>
    <border>
      <left style="double">
        <color indexed="64"/>
      </left>
      <right style="hair">
        <color indexed="64"/>
      </right>
      <top/>
      <bottom style="medium">
        <color indexed="64"/>
      </bottom>
      <diagonal/>
    </border>
    <border>
      <left style="thin">
        <color indexed="64"/>
      </left>
      <right/>
      <top style="double">
        <color indexed="64"/>
      </top>
      <bottom style="double">
        <color indexed="64"/>
      </bottom>
      <diagonal/>
    </border>
    <border>
      <left style="thin">
        <color indexed="64"/>
      </left>
      <right style="double">
        <color indexed="64"/>
      </right>
      <top/>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style="thin">
        <color indexed="64"/>
      </left>
      <right style="double">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style="double">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double">
        <color indexed="64"/>
      </bottom>
      <diagonal/>
    </border>
    <border>
      <left style="thin">
        <color indexed="64"/>
      </left>
      <right style="medium">
        <color indexed="64"/>
      </right>
      <top/>
      <bottom style="double">
        <color indexed="64"/>
      </bottom>
      <diagonal/>
    </border>
    <border>
      <left style="double">
        <color indexed="64"/>
      </left>
      <right/>
      <top/>
      <bottom style="hair">
        <color indexed="64"/>
      </bottom>
      <diagonal/>
    </border>
    <border>
      <left style="double">
        <color indexed="64"/>
      </left>
      <right/>
      <top style="hair">
        <color indexed="64"/>
      </top>
      <bottom/>
      <diagonal/>
    </border>
    <border>
      <left style="double">
        <color indexed="64"/>
      </left>
      <right/>
      <top style="double">
        <color indexed="64"/>
      </top>
      <bottom style="hair">
        <color indexed="64"/>
      </bottom>
      <diagonal/>
    </border>
    <border>
      <left/>
      <right style="double">
        <color indexed="64"/>
      </right>
      <top style="medium">
        <color indexed="64"/>
      </top>
      <bottom style="medium">
        <color indexed="64"/>
      </bottom>
      <diagonal/>
    </border>
    <border>
      <left style="hair">
        <color indexed="64"/>
      </left>
      <right/>
      <top style="hair">
        <color indexed="64"/>
      </top>
      <bottom style="medium">
        <color indexed="64"/>
      </bottom>
      <diagonal/>
    </border>
    <border>
      <left style="medium">
        <color indexed="64"/>
      </left>
      <right/>
      <top style="hair">
        <color indexed="64"/>
      </top>
      <bottom style="medium">
        <color indexed="64"/>
      </bottom>
      <diagonal/>
    </border>
    <border>
      <left/>
      <right style="double">
        <color indexed="64"/>
      </right>
      <top style="hair">
        <color indexed="64"/>
      </top>
      <bottom style="medium">
        <color indexed="64"/>
      </bottom>
      <diagonal/>
    </border>
    <border>
      <left style="hair">
        <color indexed="64"/>
      </left>
      <right style="medium">
        <color indexed="64"/>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double">
        <color auto="1"/>
      </left>
      <right style="double">
        <color indexed="64"/>
      </right>
      <top/>
      <bottom style="medium">
        <color indexed="64"/>
      </bottom>
      <diagonal/>
    </border>
    <border>
      <left style="double">
        <color indexed="64"/>
      </left>
      <right style="double">
        <color indexed="64"/>
      </right>
      <top style="hair">
        <color indexed="64"/>
      </top>
      <bottom/>
      <diagonal/>
    </border>
    <border>
      <left style="medium">
        <color indexed="64"/>
      </left>
      <right/>
      <top style="medium">
        <color indexed="64"/>
      </top>
      <bottom style="double">
        <color indexed="64"/>
      </bottom>
      <diagonal/>
    </border>
    <border>
      <left/>
      <right style="hair">
        <color indexed="64"/>
      </right>
      <top style="medium">
        <color indexed="64"/>
      </top>
      <bottom style="double">
        <color indexed="64"/>
      </bottom>
      <diagonal/>
    </border>
    <border>
      <left style="hair">
        <color indexed="64"/>
      </left>
      <right style="hair">
        <color indexed="64"/>
      </right>
      <top style="medium">
        <color indexed="64"/>
      </top>
      <bottom style="double">
        <color indexed="64"/>
      </bottom>
      <diagonal/>
    </border>
    <border>
      <left style="hair">
        <color indexed="64"/>
      </left>
      <right style="medium">
        <color indexed="64"/>
      </right>
      <top style="medium">
        <color indexed="64"/>
      </top>
      <bottom style="double">
        <color indexed="64"/>
      </bottom>
      <diagonal/>
    </border>
    <border>
      <left style="medium">
        <color auto="1"/>
      </left>
      <right style="hair">
        <color auto="1"/>
      </right>
      <top style="double">
        <color auto="1"/>
      </top>
      <bottom style="medium">
        <color auto="1"/>
      </bottom>
      <diagonal/>
    </border>
  </borders>
  <cellStyleXfs count="59">
    <xf numFmtId="0" fontId="0" fillId="0" borderId="0"/>
    <xf numFmtId="164" fontId="16" fillId="0" borderId="0" applyFont="0" applyFill="0" applyBorder="0" applyAlignment="0" applyProtection="0"/>
    <xf numFmtId="164" fontId="17"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33" fillId="0" borderId="0" applyFont="0" applyFill="0" applyBorder="0" applyAlignment="0" applyProtection="0"/>
    <xf numFmtId="164" fontId="12" fillId="0" borderId="0" applyFont="0" applyFill="0" applyBorder="0" applyAlignment="0" applyProtection="0"/>
    <xf numFmtId="0" fontId="33" fillId="0" borderId="0"/>
    <xf numFmtId="0" fontId="16" fillId="0" borderId="0"/>
    <xf numFmtId="0" fontId="17" fillId="0" borderId="0"/>
    <xf numFmtId="0" fontId="17"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0"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10" fillId="0" borderId="0"/>
    <xf numFmtId="0" fontId="10" fillId="0" borderId="0"/>
    <xf numFmtId="0" fontId="12" fillId="0" borderId="0"/>
    <xf numFmtId="0" fontId="12" fillId="0" borderId="0"/>
    <xf numFmtId="0" fontId="10" fillId="0" borderId="0"/>
    <xf numFmtId="0" fontId="12" fillId="0" borderId="0"/>
    <xf numFmtId="0" fontId="12" fillId="0" borderId="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0" fontId="12" fillId="0" borderId="0"/>
    <xf numFmtId="0" fontId="9" fillId="0" borderId="0"/>
    <xf numFmtId="0" fontId="9" fillId="0" borderId="0"/>
    <xf numFmtId="0" fontId="9" fillId="0" borderId="0"/>
    <xf numFmtId="0" fontId="9" fillId="0" borderId="0"/>
    <xf numFmtId="0" fontId="9" fillId="0" borderId="0"/>
    <xf numFmtId="0" fontId="9" fillId="0" borderId="0"/>
    <xf numFmtId="164" fontId="8" fillId="0" borderId="0" applyFont="0" applyFill="0" applyBorder="0" applyAlignment="0" applyProtection="0"/>
    <xf numFmtId="0" fontId="7" fillId="0" borderId="0"/>
    <xf numFmtId="0" fontId="7" fillId="0" borderId="0"/>
    <xf numFmtId="0" fontId="6" fillId="0" borderId="0"/>
    <xf numFmtId="0" fontId="5" fillId="0" borderId="0"/>
    <xf numFmtId="0" fontId="5" fillId="0" borderId="0"/>
    <xf numFmtId="0" fontId="4" fillId="0" borderId="0"/>
    <xf numFmtId="0" fontId="4" fillId="0" borderId="0"/>
    <xf numFmtId="164" fontId="3" fillId="0" borderId="0" applyFont="0" applyFill="0" applyBorder="0" applyAlignment="0" applyProtection="0"/>
    <xf numFmtId="0" fontId="54" fillId="0" borderId="0"/>
    <xf numFmtId="0" fontId="2" fillId="0" borderId="0"/>
    <xf numFmtId="0" fontId="63" fillId="0" borderId="0"/>
    <xf numFmtId="0" fontId="63" fillId="0" borderId="0"/>
    <xf numFmtId="0" fontId="63" fillId="0" borderId="0"/>
    <xf numFmtId="164" fontId="1" fillId="0" borderId="0" applyFont="0" applyFill="0" applyBorder="0" applyAlignment="0" applyProtection="0"/>
  </cellStyleXfs>
  <cellXfs count="2051">
    <xf numFmtId="0" fontId="0" fillId="0" borderId="0" xfId="0"/>
    <xf numFmtId="0" fontId="11" fillId="0" borderId="0" xfId="0" applyFont="1" applyAlignment="1">
      <alignment vertical="center"/>
    </xf>
    <xf numFmtId="3" fontId="11" fillId="0" borderId="0" xfId="0" applyNumberFormat="1" applyFont="1"/>
    <xf numFmtId="3" fontId="11" fillId="0" borderId="0" xfId="27" applyNumberFormat="1" applyFont="1" applyAlignment="1">
      <alignment horizontal="center"/>
    </xf>
    <xf numFmtId="3" fontId="11" fillId="0" borderId="0" xfId="27" applyNumberFormat="1" applyFont="1"/>
    <xf numFmtId="3" fontId="13" fillId="0" borderId="0" xfId="27" applyNumberFormat="1" applyFont="1"/>
    <xf numFmtId="3" fontId="11" fillId="0" borderId="0" xfId="27" applyNumberFormat="1" applyFont="1" applyAlignment="1">
      <alignment vertical="center"/>
    </xf>
    <xf numFmtId="3" fontId="11" fillId="0" borderId="0" xfId="27" applyNumberFormat="1" applyFont="1" applyAlignment="1">
      <alignment horizontal="center" vertical="center"/>
    </xf>
    <xf numFmtId="3" fontId="14" fillId="0" borderId="0" xfId="27" applyNumberFormat="1" applyFont="1" applyAlignment="1">
      <alignment horizontal="center" vertical="center"/>
    </xf>
    <xf numFmtId="3" fontId="11" fillId="0" borderId="0" xfId="27" applyNumberFormat="1" applyFont="1" applyAlignment="1">
      <alignment vertical="top" wrapText="1"/>
    </xf>
    <xf numFmtId="3" fontId="13" fillId="0" borderId="0" xfId="27" applyNumberFormat="1" applyFont="1" applyAlignment="1">
      <alignment vertical="top" wrapText="1"/>
    </xf>
    <xf numFmtId="3" fontId="13" fillId="0" borderId="0" xfId="27" applyNumberFormat="1" applyFont="1" applyAlignment="1">
      <alignment horizontal="center"/>
    </xf>
    <xf numFmtId="3" fontId="11" fillId="0" borderId="0" xfId="27" applyNumberFormat="1" applyFont="1" applyAlignment="1">
      <alignment horizontal="center" vertical="top" wrapText="1"/>
    </xf>
    <xf numFmtId="0" fontId="11" fillId="0" borderId="0" xfId="0" applyFont="1" applyAlignment="1">
      <alignment horizontal="center" vertical="center"/>
    </xf>
    <xf numFmtId="0" fontId="11" fillId="0" borderId="1" xfId="0" applyFont="1" applyBorder="1" applyAlignment="1">
      <alignment horizontal="center" vertical="center"/>
    </xf>
    <xf numFmtId="0" fontId="13" fillId="0" borderId="0" xfId="0" applyFont="1" applyAlignment="1">
      <alignment vertical="center"/>
    </xf>
    <xf numFmtId="0" fontId="11" fillId="0" borderId="0" xfId="0" applyFont="1"/>
    <xf numFmtId="3" fontId="15" fillId="0" borderId="0" xfId="0" applyNumberFormat="1" applyFont="1" applyAlignment="1">
      <alignment horizontal="center"/>
    </xf>
    <xf numFmtId="3" fontId="13" fillId="0" borderId="5" xfId="0" applyNumberFormat="1" applyFont="1" applyBorder="1" applyAlignment="1">
      <alignment vertical="center"/>
    </xf>
    <xf numFmtId="3" fontId="11" fillId="0" borderId="6" xfId="0" applyNumberFormat="1" applyFont="1" applyBorder="1"/>
    <xf numFmtId="3" fontId="11" fillId="0" borderId="0" xfId="26" applyNumberFormat="1" applyFont="1"/>
    <xf numFmtId="3" fontId="11" fillId="0" borderId="0" xfId="26" applyNumberFormat="1" applyFont="1" applyAlignment="1">
      <alignment horizontal="right"/>
    </xf>
    <xf numFmtId="3" fontId="11" fillId="0" borderId="0" xfId="26" applyNumberFormat="1" applyFont="1" applyAlignment="1">
      <alignment vertical="center"/>
    </xf>
    <xf numFmtId="3" fontId="11" fillId="0" borderId="0" xfId="26" applyNumberFormat="1" applyFont="1" applyAlignment="1">
      <alignment horizontal="center" vertical="center"/>
    </xf>
    <xf numFmtId="3" fontId="13" fillId="0" borderId="7" xfId="26" applyNumberFormat="1" applyFont="1" applyBorder="1" applyAlignment="1">
      <alignment horizontal="center"/>
    </xf>
    <xf numFmtId="3" fontId="11" fillId="0" borderId="7" xfId="26" applyNumberFormat="1" applyFont="1" applyBorder="1" applyAlignment="1">
      <alignment horizontal="center"/>
    </xf>
    <xf numFmtId="3" fontId="13" fillId="0" borderId="7" xfId="26" applyNumberFormat="1" applyFont="1" applyBorder="1" applyAlignment="1">
      <alignment wrapText="1"/>
    </xf>
    <xf numFmtId="3" fontId="13" fillId="0" borderId="7" xfId="26" applyNumberFormat="1" applyFont="1" applyBorder="1"/>
    <xf numFmtId="3" fontId="13" fillId="0" borderId="0" xfId="26" applyNumberFormat="1" applyFont="1"/>
    <xf numFmtId="49" fontId="11" fillId="0" borderId="1" xfId="26" applyNumberFormat="1" applyFont="1" applyBorder="1" applyAlignment="1">
      <alignment horizontal="center"/>
    </xf>
    <xf numFmtId="3" fontId="11" fillId="0" borderId="0" xfId="26" applyNumberFormat="1" applyFont="1" applyAlignment="1">
      <alignment horizontal="center"/>
    </xf>
    <xf numFmtId="3" fontId="13" fillId="0" borderId="5" xfId="26" applyNumberFormat="1" applyFont="1" applyBorder="1" applyAlignment="1">
      <alignment horizontal="center"/>
    </xf>
    <xf numFmtId="3" fontId="11" fillId="0" borderId="5" xfId="26" applyNumberFormat="1" applyFont="1" applyBorder="1" applyAlignment="1">
      <alignment horizontal="center"/>
    </xf>
    <xf numFmtId="3" fontId="13" fillId="0" borderId="5" xfId="26" applyNumberFormat="1" applyFont="1" applyBorder="1"/>
    <xf numFmtId="3" fontId="13" fillId="0" borderId="0" xfId="26" applyNumberFormat="1" applyFont="1" applyAlignment="1">
      <alignment horizontal="center"/>
    </xf>
    <xf numFmtId="3" fontId="14" fillId="0" borderId="0" xfId="26" applyNumberFormat="1" applyFont="1" applyAlignment="1">
      <alignment horizontal="center"/>
    </xf>
    <xf numFmtId="3" fontId="14" fillId="0" borderId="0" xfId="26" applyNumberFormat="1" applyFont="1"/>
    <xf numFmtId="3" fontId="13" fillId="0" borderId="0" xfId="26" applyNumberFormat="1" applyFont="1" applyAlignment="1">
      <alignment vertical="center"/>
    </xf>
    <xf numFmtId="49" fontId="11" fillId="0" borderId="1" xfId="26" applyNumberFormat="1" applyFont="1" applyBorder="1" applyAlignment="1">
      <alignment horizontal="center" vertical="top"/>
    </xf>
    <xf numFmtId="3" fontId="11" fillId="0" borderId="0" xfId="26" applyNumberFormat="1" applyFont="1" applyAlignment="1">
      <alignment vertical="top"/>
    </xf>
    <xf numFmtId="49" fontId="11" fillId="0" borderId="8" xfId="26" applyNumberFormat="1" applyFont="1" applyBorder="1" applyAlignment="1">
      <alignment horizontal="center" vertical="center"/>
    </xf>
    <xf numFmtId="3" fontId="13" fillId="0" borderId="9" xfId="26" applyNumberFormat="1" applyFont="1" applyBorder="1" applyAlignment="1">
      <alignment horizontal="center" vertical="center"/>
    </xf>
    <xf numFmtId="3" fontId="11" fillId="0" borderId="9" xfId="26" applyNumberFormat="1" applyFont="1" applyBorder="1" applyAlignment="1">
      <alignment horizontal="center" vertical="center"/>
    </xf>
    <xf numFmtId="3" fontId="13" fillId="0" borderId="9" xfId="26" applyNumberFormat="1" applyFont="1" applyBorder="1" applyAlignment="1">
      <alignment vertical="center"/>
    </xf>
    <xf numFmtId="49" fontId="11" fillId="0" borderId="0" xfId="26" applyNumberFormat="1" applyFont="1" applyAlignment="1">
      <alignment horizontal="center"/>
    </xf>
    <xf numFmtId="3" fontId="15" fillId="0" borderId="0" xfId="27" applyNumberFormat="1" applyFont="1" applyAlignment="1">
      <alignment horizontal="center" vertical="center"/>
    </xf>
    <xf numFmtId="0" fontId="11" fillId="0" borderId="1" xfId="0" applyFont="1" applyBorder="1" applyAlignment="1">
      <alignment horizontal="center"/>
    </xf>
    <xf numFmtId="0" fontId="11" fillId="0" borderId="1" xfId="0" applyFont="1" applyBorder="1" applyAlignment="1">
      <alignment horizontal="center" vertical="top"/>
    </xf>
    <xf numFmtId="0" fontId="11" fillId="0" borderId="0" xfId="0" applyFont="1" applyAlignment="1">
      <alignment vertical="top"/>
    </xf>
    <xf numFmtId="0" fontId="15" fillId="0" borderId="0" xfId="0" applyFont="1" applyAlignment="1">
      <alignment horizontal="center" vertical="center"/>
    </xf>
    <xf numFmtId="0" fontId="15" fillId="0" borderId="0" xfId="0" applyFont="1" applyAlignment="1">
      <alignment horizontal="center"/>
    </xf>
    <xf numFmtId="0" fontId="15" fillId="0" borderId="0" xfId="0" applyFont="1" applyAlignment="1">
      <alignment vertical="center"/>
    </xf>
    <xf numFmtId="0" fontId="11" fillId="0" borderId="0" xfId="0" applyFont="1" applyAlignment="1">
      <alignment horizontal="center"/>
    </xf>
    <xf numFmtId="0" fontId="13" fillId="0" borderId="0" xfId="0" applyFont="1"/>
    <xf numFmtId="3" fontId="20" fillId="0" borderId="0" xfId="0" applyNumberFormat="1" applyFont="1" applyAlignment="1">
      <alignment horizontal="right" vertical="center"/>
    </xf>
    <xf numFmtId="3" fontId="25" fillId="0" borderId="0" xfId="27" applyNumberFormat="1" applyFont="1" applyAlignment="1">
      <alignment horizontal="center" vertical="center"/>
    </xf>
    <xf numFmtId="3" fontId="15" fillId="0" borderId="0" xfId="0" applyNumberFormat="1" applyFont="1"/>
    <xf numFmtId="3" fontId="19" fillId="0" borderId="0" xfId="0" applyNumberFormat="1" applyFont="1"/>
    <xf numFmtId="3" fontId="18" fillId="0" borderId="12" xfId="27" applyNumberFormat="1" applyFont="1" applyBorder="1" applyAlignment="1">
      <alignment horizontal="center"/>
    </xf>
    <xf numFmtId="3" fontId="18" fillId="0" borderId="13" xfId="27" applyNumberFormat="1" applyFont="1" applyBorder="1" applyAlignment="1">
      <alignment horizontal="center"/>
    </xf>
    <xf numFmtId="3" fontId="18" fillId="0" borderId="13" xfId="27" applyNumberFormat="1" applyFont="1" applyBorder="1" applyAlignment="1">
      <alignment wrapText="1"/>
    </xf>
    <xf numFmtId="3" fontId="18" fillId="0" borderId="12" xfId="27" applyNumberFormat="1" applyFont="1" applyBorder="1" applyAlignment="1">
      <alignment horizontal="center" vertical="center"/>
    </xf>
    <xf numFmtId="3" fontId="18" fillId="0" borderId="18" xfId="27" applyNumberFormat="1" applyFont="1" applyBorder="1" applyAlignment="1">
      <alignment wrapText="1"/>
    </xf>
    <xf numFmtId="3" fontId="20" fillId="0" borderId="12" xfId="27" applyNumberFormat="1" applyFont="1" applyBorder="1" applyAlignment="1">
      <alignment horizontal="center" vertical="center"/>
    </xf>
    <xf numFmtId="3" fontId="20" fillId="0" borderId="13" xfId="27" applyNumberFormat="1" applyFont="1" applyBorder="1" applyAlignment="1">
      <alignment vertical="center" wrapText="1"/>
    </xf>
    <xf numFmtId="3" fontId="18" fillId="0" borderId="12" xfId="27" applyNumberFormat="1" applyFont="1" applyBorder="1" applyAlignment="1">
      <alignment horizontal="center" vertical="top"/>
    </xf>
    <xf numFmtId="49" fontId="20" fillId="0" borderId="13" xfId="27" applyNumberFormat="1" applyFont="1" applyBorder="1" applyAlignment="1">
      <alignment horizontal="left" vertical="center" wrapText="1" indent="4"/>
    </xf>
    <xf numFmtId="3" fontId="18" fillId="0" borderId="20" xfId="27" applyNumberFormat="1" applyFont="1" applyBorder="1" applyAlignment="1">
      <alignment horizontal="center" vertical="center"/>
    </xf>
    <xf numFmtId="3" fontId="24" fillId="0" borderId="20" xfId="27" applyNumberFormat="1" applyFont="1" applyBorder="1" applyAlignment="1">
      <alignment horizontal="center"/>
    </xf>
    <xf numFmtId="3" fontId="25" fillId="0" borderId="0" xfId="27" applyNumberFormat="1" applyFont="1" applyAlignment="1">
      <alignment horizontal="center"/>
    </xf>
    <xf numFmtId="3" fontId="20" fillId="0" borderId="13" xfId="27" applyNumberFormat="1" applyFont="1" applyBorder="1" applyAlignment="1">
      <alignment horizontal="left" wrapText="1" indent="2"/>
    </xf>
    <xf numFmtId="0" fontId="13" fillId="0" borderId="0" xfId="0" applyFont="1" applyAlignment="1">
      <alignment horizontal="center"/>
    </xf>
    <xf numFmtId="3" fontId="18" fillId="0" borderId="20" xfId="27" applyNumberFormat="1" applyFont="1" applyBorder="1" applyAlignment="1">
      <alignment horizontal="center"/>
    </xf>
    <xf numFmtId="3" fontId="13" fillId="0" borderId="7" xfId="26" applyNumberFormat="1" applyFont="1" applyBorder="1" applyAlignment="1">
      <alignment horizontal="left" textRotation="90" wrapText="1"/>
    </xf>
    <xf numFmtId="3" fontId="11" fillId="0" borderId="7" xfId="26" applyNumberFormat="1" applyFont="1" applyBorder="1" applyAlignment="1">
      <alignment horizontal="center" wrapText="1"/>
    </xf>
    <xf numFmtId="3" fontId="13" fillId="0" borderId="7" xfId="26" applyNumberFormat="1" applyFont="1" applyBorder="1" applyAlignment="1">
      <alignment horizontal="left" wrapText="1"/>
    </xf>
    <xf numFmtId="3" fontId="13" fillId="0" borderId="0" xfId="26" applyNumberFormat="1" applyFont="1" applyAlignment="1">
      <alignment horizontal="left"/>
    </xf>
    <xf numFmtId="0" fontId="13" fillId="0" borderId="6" xfId="0" applyFont="1" applyBorder="1" applyAlignment="1">
      <alignment horizontal="center"/>
    </xf>
    <xf numFmtId="0" fontId="11" fillId="0" borderId="6" xfId="0" applyFont="1" applyBorder="1" applyAlignment="1">
      <alignment horizontal="center" vertical="top"/>
    </xf>
    <xf numFmtId="0" fontId="13" fillId="0" borderId="6" xfId="0" applyFont="1" applyBorder="1" applyAlignment="1">
      <alignment wrapText="1"/>
    </xf>
    <xf numFmtId="3" fontId="13" fillId="0" borderId="6" xfId="26" applyNumberFormat="1" applyFont="1" applyBorder="1" applyAlignment="1">
      <alignment horizontal="left" textRotation="90" wrapText="1"/>
    </xf>
    <xf numFmtId="3" fontId="11" fillId="0" borderId="6" xfId="26" applyNumberFormat="1" applyFont="1" applyBorder="1" applyAlignment="1">
      <alignment horizontal="center" wrapText="1"/>
    </xf>
    <xf numFmtId="3" fontId="13" fillId="0" borderId="6" xfId="26" applyNumberFormat="1" applyFont="1" applyBorder="1" applyAlignment="1">
      <alignment horizontal="left" wrapText="1"/>
    </xf>
    <xf numFmtId="0" fontId="13" fillId="0" borderId="5" xfId="0" applyFont="1" applyBorder="1" applyAlignment="1">
      <alignment horizontal="center" vertical="center"/>
    </xf>
    <xf numFmtId="0" fontId="11" fillId="0" borderId="5" xfId="0" applyFont="1" applyBorder="1" applyAlignment="1">
      <alignment horizontal="center" vertical="center"/>
    </xf>
    <xf numFmtId="0" fontId="11" fillId="0" borderId="6" xfId="0" applyFont="1" applyBorder="1" applyAlignment="1">
      <alignment horizontal="center"/>
    </xf>
    <xf numFmtId="0" fontId="13" fillId="0" borderId="25" xfId="0" applyFont="1" applyBorder="1" applyAlignment="1">
      <alignment horizontal="center" vertical="center"/>
    </xf>
    <xf numFmtId="0" fontId="11" fillId="0" borderId="25" xfId="0" applyFont="1" applyBorder="1" applyAlignment="1">
      <alignment horizontal="center" vertical="center"/>
    </xf>
    <xf numFmtId="0" fontId="13" fillId="0" borderId="25" xfId="0" applyFont="1" applyBorder="1" applyAlignment="1">
      <alignment vertical="center"/>
    </xf>
    <xf numFmtId="0" fontId="13" fillId="0" borderId="26" xfId="0" applyFont="1" applyBorder="1" applyAlignment="1">
      <alignment horizontal="center" vertical="center"/>
    </xf>
    <xf numFmtId="0" fontId="11" fillId="0" borderId="26" xfId="0" applyFont="1" applyBorder="1" applyAlignment="1">
      <alignment horizontal="center" vertical="center"/>
    </xf>
    <xf numFmtId="0" fontId="13" fillId="0" borderId="26" xfId="0" applyFont="1" applyBorder="1" applyAlignment="1">
      <alignment vertical="center"/>
    </xf>
    <xf numFmtId="0" fontId="13" fillId="0" borderId="5" xfId="0" applyFont="1" applyBorder="1" applyAlignment="1">
      <alignment vertical="center" shrinkToFit="1"/>
    </xf>
    <xf numFmtId="0" fontId="11" fillId="0" borderId="6" xfId="0" applyFont="1" applyBorder="1" applyAlignment="1">
      <alignment horizontal="left" indent="1"/>
    </xf>
    <xf numFmtId="0" fontId="13" fillId="0" borderId="27" xfId="0" applyFont="1" applyBorder="1" applyAlignment="1">
      <alignment horizontal="center" vertical="center"/>
    </xf>
    <xf numFmtId="0" fontId="11" fillId="0" borderId="27" xfId="0" applyFont="1" applyBorder="1" applyAlignment="1">
      <alignment horizontal="center" vertical="center"/>
    </xf>
    <xf numFmtId="0" fontId="13" fillId="0" borderId="27" xfId="0" applyFont="1" applyBorder="1" applyAlignment="1">
      <alignment vertical="center"/>
    </xf>
    <xf numFmtId="3" fontId="18" fillId="0" borderId="0" xfId="0" applyNumberFormat="1" applyFont="1"/>
    <xf numFmtId="3" fontId="20" fillId="0" borderId="0" xfId="0" applyNumberFormat="1" applyFont="1" applyAlignment="1">
      <alignment horizontal="right"/>
    </xf>
    <xf numFmtId="3" fontId="11" fillId="0" borderId="0" xfId="29" applyNumberFormat="1" applyFont="1"/>
    <xf numFmtId="3" fontId="11" fillId="0" borderId="0" xfId="29" applyNumberFormat="1" applyFont="1" applyAlignment="1">
      <alignment horizontal="center"/>
    </xf>
    <xf numFmtId="14" fontId="11" fillId="0" borderId="0" xfId="29" applyNumberFormat="1" applyFont="1" applyAlignment="1">
      <alignment horizontal="center"/>
    </xf>
    <xf numFmtId="3" fontId="11" fillId="0" borderId="0" xfId="29" applyNumberFormat="1" applyFont="1" applyAlignment="1">
      <alignment horizontal="center" vertical="center" wrapText="1"/>
    </xf>
    <xf numFmtId="3" fontId="13" fillId="0" borderId="28" xfId="29" applyNumberFormat="1" applyFont="1" applyBorder="1" applyAlignment="1">
      <alignment horizontal="right" vertical="center"/>
    </xf>
    <xf numFmtId="3" fontId="11" fillId="0" borderId="29" xfId="29" applyNumberFormat="1" applyFont="1" applyBorder="1" applyAlignment="1">
      <alignment horizontal="right" vertical="center" wrapText="1"/>
    </xf>
    <xf numFmtId="0" fontId="11" fillId="0" borderId="0" xfId="0" applyFont="1" applyAlignment="1">
      <alignment horizontal="right"/>
    </xf>
    <xf numFmtId="3" fontId="11" fillId="0" borderId="0" xfId="0" applyNumberFormat="1" applyFont="1" applyAlignment="1">
      <alignment horizontal="right"/>
    </xf>
    <xf numFmtId="3" fontId="13" fillId="0" borderId="30" xfId="26" applyNumberFormat="1" applyFont="1" applyBorder="1" applyAlignment="1">
      <alignment horizontal="center" vertical="center" wrapText="1"/>
    </xf>
    <xf numFmtId="3" fontId="11" fillId="0" borderId="32" xfId="26" applyNumberFormat="1" applyFont="1" applyBorder="1" applyAlignment="1">
      <alignment horizontal="center" vertical="center" wrapText="1"/>
    </xf>
    <xf numFmtId="3" fontId="11" fillId="0" borderId="40" xfId="29" applyNumberFormat="1" applyFont="1" applyBorder="1" applyAlignment="1">
      <alignment horizontal="center" vertical="center" wrapText="1"/>
    </xf>
    <xf numFmtId="3" fontId="18" fillId="0" borderId="0" xfId="27" applyNumberFormat="1" applyFont="1"/>
    <xf numFmtId="3" fontId="29" fillId="0" borderId="13" xfId="27" applyNumberFormat="1" applyFont="1" applyBorder="1" applyAlignment="1">
      <alignment wrapText="1"/>
    </xf>
    <xf numFmtId="3" fontId="11" fillId="0" borderId="42" xfId="26" applyNumberFormat="1" applyFont="1" applyBorder="1" applyAlignment="1">
      <alignment horizontal="center" textRotation="90" wrapText="1"/>
    </xf>
    <xf numFmtId="3" fontId="11" fillId="0" borderId="1" xfId="26" applyNumberFormat="1" applyFont="1" applyBorder="1" applyAlignment="1">
      <alignment horizontal="center" wrapText="1"/>
    </xf>
    <xf numFmtId="49" fontId="11" fillId="0" borderId="1" xfId="0" applyNumberFormat="1" applyFont="1" applyBorder="1" applyAlignment="1">
      <alignment horizontal="center" vertical="center"/>
    </xf>
    <xf numFmtId="49" fontId="11" fillId="0" borderId="1" xfId="0" applyNumberFormat="1" applyFont="1" applyBorder="1" applyAlignment="1">
      <alignment horizontal="center"/>
    </xf>
    <xf numFmtId="49" fontId="11" fillId="0" borderId="1" xfId="0" applyNumberFormat="1" applyFont="1" applyBorder="1" applyAlignment="1">
      <alignment horizontal="center" vertical="top"/>
    </xf>
    <xf numFmtId="3" fontId="11" fillId="0" borderId="43" xfId="26" applyNumberFormat="1" applyFont="1" applyBorder="1" applyAlignment="1">
      <alignment horizontal="center" textRotation="90" wrapText="1"/>
    </xf>
    <xf numFmtId="0" fontId="11" fillId="0" borderId="44" xfId="0" applyFont="1" applyBorder="1" applyAlignment="1">
      <alignment horizontal="center" vertical="center"/>
    </xf>
    <xf numFmtId="0" fontId="11" fillId="0" borderId="45" xfId="0" applyFont="1" applyBorder="1" applyAlignment="1">
      <alignment horizontal="center" vertical="center"/>
    </xf>
    <xf numFmtId="0" fontId="11" fillId="0" borderId="43" xfId="0" applyFont="1" applyBorder="1" applyAlignment="1">
      <alignment horizontal="center" vertical="center"/>
    </xf>
    <xf numFmtId="0" fontId="11" fillId="0" borderId="46" xfId="0" applyFont="1" applyBorder="1" applyAlignment="1">
      <alignment horizontal="center" vertical="center"/>
    </xf>
    <xf numFmtId="49" fontId="11" fillId="0" borderId="42" xfId="26" applyNumberFormat="1" applyFont="1" applyBorder="1" applyAlignment="1">
      <alignment horizontal="center"/>
    </xf>
    <xf numFmtId="49" fontId="11" fillId="0" borderId="43" xfId="26" applyNumberFormat="1" applyFont="1" applyBorder="1" applyAlignment="1">
      <alignment horizontal="center"/>
    </xf>
    <xf numFmtId="49" fontId="14" fillId="0" borderId="1" xfId="26" applyNumberFormat="1" applyFont="1" applyBorder="1" applyAlignment="1">
      <alignment horizontal="center"/>
    </xf>
    <xf numFmtId="49" fontId="11" fillId="0" borderId="1" xfId="26" applyNumberFormat="1" applyFont="1" applyBorder="1" applyAlignment="1">
      <alignment horizontal="center" vertical="center"/>
    </xf>
    <xf numFmtId="3" fontId="18" fillId="0" borderId="32" xfId="26" applyNumberFormat="1" applyFont="1" applyBorder="1" applyAlignment="1">
      <alignment horizontal="center" vertical="center" wrapText="1"/>
    </xf>
    <xf numFmtId="3" fontId="11" fillId="0" borderId="47" xfId="26" applyNumberFormat="1" applyFont="1" applyBorder="1" applyAlignment="1">
      <alignment horizontal="center" vertical="center" textRotation="90" wrapText="1"/>
    </xf>
    <xf numFmtId="3" fontId="11" fillId="0" borderId="32" xfId="26" applyNumberFormat="1" applyFont="1" applyBorder="1" applyAlignment="1">
      <alignment horizontal="center" vertical="center" textRotation="90" wrapText="1"/>
    </xf>
    <xf numFmtId="3" fontId="13" fillId="0" borderId="32" xfId="26" applyNumberFormat="1" applyFont="1" applyBorder="1" applyAlignment="1">
      <alignment horizontal="center" vertical="center" wrapText="1"/>
    </xf>
    <xf numFmtId="3" fontId="11" fillId="0" borderId="48" xfId="26" applyNumberFormat="1" applyFont="1" applyBorder="1" applyAlignment="1">
      <alignment horizontal="center" vertical="center" wrapText="1"/>
    </xf>
    <xf numFmtId="3" fontId="13" fillId="0" borderId="7" xfId="26" applyNumberFormat="1" applyFont="1" applyBorder="1" applyAlignment="1">
      <alignment horizontal="right" wrapText="1"/>
    </xf>
    <xf numFmtId="3" fontId="13" fillId="0" borderId="6" xfId="0" applyNumberFormat="1" applyFont="1" applyBorder="1"/>
    <xf numFmtId="3" fontId="13" fillId="0" borderId="6" xfId="26" applyNumberFormat="1" applyFont="1" applyBorder="1" applyAlignment="1">
      <alignment horizontal="right" wrapText="1"/>
    </xf>
    <xf numFmtId="3" fontId="13" fillId="0" borderId="25" xfId="0" applyNumberFormat="1" applyFont="1" applyBorder="1" applyAlignment="1">
      <alignment vertical="center"/>
    </xf>
    <xf numFmtId="3" fontId="13" fillId="0" borderId="27" xfId="0" applyNumberFormat="1" applyFont="1" applyBorder="1" applyAlignment="1">
      <alignment vertical="center"/>
    </xf>
    <xf numFmtId="3" fontId="14" fillId="0" borderId="0" xfId="26" applyNumberFormat="1" applyFont="1" applyAlignment="1">
      <alignment horizontal="right"/>
    </xf>
    <xf numFmtId="3" fontId="11" fillId="0" borderId="3" xfId="26" applyNumberFormat="1" applyFont="1" applyBorder="1" applyAlignment="1">
      <alignment horizontal="center"/>
    </xf>
    <xf numFmtId="49" fontId="11" fillId="0" borderId="47" xfId="26" applyNumberFormat="1" applyFont="1" applyBorder="1" applyAlignment="1">
      <alignment horizontal="center" vertical="center" textRotation="90"/>
    </xf>
    <xf numFmtId="3" fontId="11" fillId="0" borderId="32" xfId="26" applyNumberFormat="1" applyFont="1" applyBorder="1" applyAlignment="1">
      <alignment horizontal="center" vertical="center" textRotation="90"/>
    </xf>
    <xf numFmtId="3" fontId="13" fillId="0" borderId="32" xfId="26" applyNumberFormat="1" applyFont="1" applyBorder="1" applyAlignment="1">
      <alignment horizontal="center" vertical="center"/>
    </xf>
    <xf numFmtId="3" fontId="11" fillId="0" borderId="49" xfId="26" applyNumberFormat="1" applyFont="1" applyBorder="1" applyAlignment="1">
      <alignment horizontal="center" vertical="center" wrapText="1"/>
    </xf>
    <xf numFmtId="0" fontId="11" fillId="0" borderId="0" xfId="31" applyFont="1"/>
    <xf numFmtId="0" fontId="11" fillId="0" borderId="13" xfId="31" applyFont="1" applyBorder="1" applyAlignment="1">
      <alignment horizontal="center" vertical="top"/>
    </xf>
    <xf numFmtId="0" fontId="11" fillId="0" borderId="13" xfId="28" applyFont="1" applyBorder="1" applyAlignment="1">
      <alignment wrapText="1"/>
    </xf>
    <xf numFmtId="0" fontId="11" fillId="0" borderId="13" xfId="28" applyFont="1" applyBorder="1" applyAlignment="1">
      <alignment vertical="top" wrapText="1"/>
    </xf>
    <xf numFmtId="0" fontId="11" fillId="0" borderId="0" xfId="31" applyFont="1" applyAlignment="1">
      <alignment vertical="center"/>
    </xf>
    <xf numFmtId="3" fontId="11" fillId="0" borderId="18" xfId="28" applyNumberFormat="1" applyFont="1" applyBorder="1" applyAlignment="1">
      <alignment horizontal="right"/>
    </xf>
    <xf numFmtId="3" fontId="11" fillId="0" borderId="19" xfId="31" applyNumberFormat="1" applyFont="1" applyBorder="1" applyAlignment="1">
      <alignment horizontal="right"/>
    </xf>
    <xf numFmtId="3" fontId="11" fillId="0" borderId="18" xfId="31" applyNumberFormat="1" applyFont="1" applyBorder="1" applyAlignment="1">
      <alignment horizontal="right"/>
    </xf>
    <xf numFmtId="0" fontId="11" fillId="0" borderId="0" xfId="31" applyFont="1" applyAlignment="1">
      <alignment horizontal="left"/>
    </xf>
    <xf numFmtId="3" fontId="11" fillId="0" borderId="13" xfId="31" applyNumberFormat="1" applyFont="1" applyBorder="1" applyAlignment="1">
      <alignment horizontal="right"/>
    </xf>
    <xf numFmtId="3" fontId="11" fillId="0" borderId="17" xfId="31" applyNumberFormat="1" applyFont="1" applyBorder="1" applyAlignment="1">
      <alignment horizontal="right"/>
    </xf>
    <xf numFmtId="3" fontId="11" fillId="0" borderId="0" xfId="32" applyNumberFormat="1" applyFont="1" applyAlignment="1">
      <alignment horizontal="right"/>
    </xf>
    <xf numFmtId="3" fontId="11" fillId="0" borderId="0" xfId="32" applyNumberFormat="1" applyFont="1" applyAlignment="1">
      <alignment horizontal="right" wrapText="1"/>
    </xf>
    <xf numFmtId="3" fontId="20" fillId="0" borderId="13" xfId="27" applyNumberFormat="1" applyFont="1" applyBorder="1" applyAlignment="1">
      <alignment wrapText="1"/>
    </xf>
    <xf numFmtId="3" fontId="20" fillId="0" borderId="13" xfId="27" applyNumberFormat="1" applyFont="1" applyBorder="1" applyAlignment="1">
      <alignment horizontal="left" wrapText="1"/>
    </xf>
    <xf numFmtId="3" fontId="20" fillId="0" borderId="13" xfId="27" applyNumberFormat="1" applyFont="1" applyBorder="1" applyAlignment="1">
      <alignment horizontal="left" wrapText="1" indent="3"/>
    </xf>
    <xf numFmtId="3" fontId="18" fillId="0" borderId="0" xfId="0" applyNumberFormat="1" applyFont="1" applyAlignment="1">
      <alignment horizontal="center"/>
    </xf>
    <xf numFmtId="0" fontId="11" fillId="0" borderId="13" xfId="31" applyFont="1" applyBorder="1" applyAlignment="1">
      <alignment horizontal="center"/>
    </xf>
    <xf numFmtId="3" fontId="11" fillId="0" borderId="0" xfId="0" applyNumberFormat="1" applyFont="1" applyAlignment="1">
      <alignment vertical="center"/>
    </xf>
    <xf numFmtId="0" fontId="11" fillId="0" borderId="0" xfId="0" applyFont="1" applyAlignment="1">
      <alignment horizontal="right" vertical="center"/>
    </xf>
    <xf numFmtId="3" fontId="11" fillId="0" borderId="59" xfId="0" applyNumberFormat="1" applyFont="1" applyBorder="1"/>
    <xf numFmtId="0" fontId="13" fillId="0" borderId="5" xfId="0" applyFont="1" applyBorder="1" applyAlignment="1">
      <alignment horizontal="left" vertical="center"/>
    </xf>
    <xf numFmtId="3" fontId="13" fillId="0" borderId="61" xfId="0" applyNumberFormat="1" applyFont="1" applyBorder="1" applyAlignment="1">
      <alignment vertical="center"/>
    </xf>
    <xf numFmtId="3" fontId="11" fillId="0" borderId="59" xfId="0" applyNumberFormat="1" applyFont="1" applyBorder="1" applyAlignment="1">
      <alignment horizontal="right"/>
    </xf>
    <xf numFmtId="0" fontId="13" fillId="0" borderId="25" xfId="0" applyFont="1" applyBorder="1" applyAlignment="1">
      <alignment horizontal="left" vertical="center"/>
    </xf>
    <xf numFmtId="0" fontId="13" fillId="0" borderId="66" xfId="0" applyFont="1" applyBorder="1" applyAlignment="1">
      <alignment horizontal="center" vertical="center"/>
    </xf>
    <xf numFmtId="0" fontId="11" fillId="0" borderId="25" xfId="0" applyFont="1" applyBorder="1" applyAlignment="1">
      <alignment vertical="center"/>
    </xf>
    <xf numFmtId="0" fontId="13" fillId="0" borderId="68" xfId="0" applyFont="1" applyBorder="1" applyAlignment="1">
      <alignment horizontal="left" vertical="center"/>
    </xf>
    <xf numFmtId="0" fontId="13" fillId="0" borderId="69" xfId="0" applyFont="1" applyBorder="1" applyAlignment="1">
      <alignment horizontal="left" vertical="center"/>
    </xf>
    <xf numFmtId="0" fontId="13" fillId="0" borderId="6" xfId="0" applyFont="1" applyBorder="1" applyAlignment="1">
      <alignment horizontal="left" vertical="center" wrapText="1"/>
    </xf>
    <xf numFmtId="0" fontId="13" fillId="0" borderId="6" xfId="0" applyFont="1" applyBorder="1" applyAlignment="1">
      <alignment horizontal="left" vertical="center"/>
    </xf>
    <xf numFmtId="0" fontId="11" fillId="0" borderId="3" xfId="0" applyFont="1" applyBorder="1"/>
    <xf numFmtId="3" fontId="13" fillId="0" borderId="59" xfId="0" applyNumberFormat="1" applyFont="1" applyBorder="1" applyAlignment="1">
      <alignment horizontal="right"/>
    </xf>
    <xf numFmtId="3" fontId="13" fillId="0" borderId="72" xfId="0" applyNumberFormat="1" applyFont="1" applyBorder="1" applyAlignment="1">
      <alignment horizontal="right" vertical="center"/>
    </xf>
    <xf numFmtId="3" fontId="13" fillId="0" borderId="73" xfId="0" applyNumberFormat="1" applyFont="1" applyBorder="1" applyAlignment="1">
      <alignment horizontal="right" vertical="center"/>
    </xf>
    <xf numFmtId="3" fontId="11" fillId="0" borderId="59" xfId="0" applyNumberFormat="1" applyFont="1" applyBorder="1" applyAlignment="1">
      <alignment horizontal="right" vertical="center"/>
    </xf>
    <xf numFmtId="3" fontId="11" fillId="0" borderId="72" xfId="0" applyNumberFormat="1" applyFont="1" applyBorder="1" applyAlignment="1">
      <alignment horizontal="right" vertical="center"/>
    </xf>
    <xf numFmtId="3" fontId="13" fillId="0" borderId="74" xfId="0" applyNumberFormat="1" applyFont="1" applyBorder="1" applyAlignment="1">
      <alignment horizontal="right" vertical="center"/>
    </xf>
    <xf numFmtId="3" fontId="13" fillId="0" borderId="59" xfId="0" applyNumberFormat="1" applyFont="1" applyBorder="1" applyAlignment="1">
      <alignment horizontal="right" vertical="center"/>
    </xf>
    <xf numFmtId="3" fontId="13" fillId="0" borderId="75" xfId="0" applyNumberFormat="1" applyFont="1" applyBorder="1" applyAlignment="1">
      <alignment horizontal="right" vertical="center"/>
    </xf>
    <xf numFmtId="165" fontId="11" fillId="0" borderId="59" xfId="33" applyNumberFormat="1" applyFont="1" applyFill="1" applyBorder="1" applyAlignment="1">
      <alignment horizontal="right"/>
    </xf>
    <xf numFmtId="165" fontId="11" fillId="0" borderId="76" xfId="33" applyNumberFormat="1" applyFont="1" applyFill="1" applyBorder="1" applyAlignment="1">
      <alignment horizontal="right"/>
    </xf>
    <xf numFmtId="3" fontId="18" fillId="0" borderId="13" xfId="27" applyNumberFormat="1" applyFont="1" applyBorder="1" applyAlignment="1">
      <alignment horizontal="center" vertical="top"/>
    </xf>
    <xf numFmtId="3" fontId="13" fillId="0" borderId="84" xfId="26" applyNumberFormat="1" applyFont="1" applyBorder="1" applyAlignment="1">
      <alignment horizontal="right" wrapText="1"/>
    </xf>
    <xf numFmtId="0" fontId="13" fillId="0" borderId="5" xfId="0" applyFont="1" applyBorder="1" applyAlignment="1">
      <alignment vertical="center"/>
    </xf>
    <xf numFmtId="0" fontId="11" fillId="0" borderId="6" xfId="0" applyFont="1" applyBorder="1" applyAlignment="1">
      <alignment horizontal="left" wrapText="1" indent="1"/>
    </xf>
    <xf numFmtId="3" fontId="21" fillId="0" borderId="12" xfId="27" applyNumberFormat="1" applyFont="1" applyBorder="1" applyAlignment="1">
      <alignment horizontal="center" vertical="center"/>
    </xf>
    <xf numFmtId="3" fontId="21" fillId="0" borderId="18" xfId="27" applyNumberFormat="1" applyFont="1" applyBorder="1" applyAlignment="1">
      <alignment wrapText="1"/>
    </xf>
    <xf numFmtId="3" fontId="21" fillId="0" borderId="13" xfId="27" applyNumberFormat="1" applyFont="1" applyBorder="1" applyAlignment="1">
      <alignment wrapText="1"/>
    </xf>
    <xf numFmtId="3" fontId="21" fillId="0" borderId="12" xfId="27" applyNumberFormat="1" applyFont="1" applyBorder="1" applyAlignment="1">
      <alignment horizontal="center"/>
    </xf>
    <xf numFmtId="3" fontId="24" fillId="0" borderId="12" xfId="27" applyNumberFormat="1" applyFont="1" applyBorder="1" applyAlignment="1">
      <alignment horizontal="center" vertical="center"/>
    </xf>
    <xf numFmtId="3" fontId="21" fillId="0" borderId="13" xfId="27" applyNumberFormat="1" applyFont="1" applyBorder="1" applyAlignment="1">
      <alignment horizontal="left" wrapText="1"/>
    </xf>
    <xf numFmtId="1" fontId="26" fillId="0" borderId="0" xfId="27" applyNumberFormat="1" applyFont="1" applyAlignment="1">
      <alignment horizontal="center" vertical="center"/>
    </xf>
    <xf numFmtId="1" fontId="26" fillId="0" borderId="0" xfId="27" applyNumberFormat="1" applyFont="1" applyAlignment="1">
      <alignment horizontal="left" vertical="center"/>
    </xf>
    <xf numFmtId="3" fontId="20" fillId="0" borderId="0" xfId="27" applyNumberFormat="1" applyFont="1" applyAlignment="1">
      <alignment horizontal="center" vertical="center"/>
    </xf>
    <xf numFmtId="3" fontId="18" fillId="0" borderId="0" xfId="27" applyNumberFormat="1" applyFont="1" applyAlignment="1">
      <alignment horizontal="center" vertical="center"/>
    </xf>
    <xf numFmtId="0" fontId="11" fillId="0" borderId="12" xfId="31" applyFont="1" applyBorder="1" applyAlignment="1">
      <alignment horizontal="center"/>
    </xf>
    <xf numFmtId="3" fontId="15" fillId="0" borderId="0" xfId="0" applyNumberFormat="1" applyFont="1" applyAlignment="1">
      <alignment vertical="top"/>
    </xf>
    <xf numFmtId="3" fontId="11" fillId="0" borderId="0" xfId="15" applyNumberFormat="1" applyFont="1" applyAlignment="1">
      <alignment horizontal="right"/>
    </xf>
    <xf numFmtId="0" fontId="11" fillId="0" borderId="0" xfId="15" applyFont="1"/>
    <xf numFmtId="3" fontId="11" fillId="0" borderId="88" xfId="29" applyNumberFormat="1" applyFont="1" applyBorder="1" applyAlignment="1">
      <alignment horizontal="center" vertical="center" wrapText="1"/>
    </xf>
    <xf numFmtId="3" fontId="11" fillId="0" borderId="89" xfId="29" applyNumberFormat="1" applyFont="1" applyBorder="1" applyAlignment="1">
      <alignment horizontal="right" vertical="center" wrapText="1"/>
    </xf>
    <xf numFmtId="3" fontId="20" fillId="0" borderId="20" xfId="27" applyNumberFormat="1" applyFont="1" applyBorder="1" applyAlignment="1">
      <alignment horizontal="center"/>
    </xf>
    <xf numFmtId="3" fontId="14" fillId="0" borderId="0" xfId="27" applyNumberFormat="1" applyFont="1" applyAlignment="1">
      <alignment horizontal="center"/>
    </xf>
    <xf numFmtId="3" fontId="18" fillId="0" borderId="0" xfId="31" applyNumberFormat="1" applyFont="1" applyAlignment="1">
      <alignment horizontal="right"/>
    </xf>
    <xf numFmtId="0" fontId="18" fillId="0" borderId="0" xfId="31" applyFont="1"/>
    <xf numFmtId="3" fontId="20" fillId="0" borderId="0" xfId="31" applyNumberFormat="1" applyFont="1" applyAlignment="1">
      <alignment horizontal="right"/>
    </xf>
    <xf numFmtId="0" fontId="18" fillId="0" borderId="0" xfId="31" applyFont="1" applyAlignment="1">
      <alignment horizontal="center"/>
    </xf>
    <xf numFmtId="3" fontId="11" fillId="0" borderId="0" xfId="15" applyNumberFormat="1" applyFont="1" applyAlignment="1">
      <alignment horizontal="center"/>
    </xf>
    <xf numFmtId="3" fontId="11" fillId="0" borderId="0" xfId="31" applyNumberFormat="1" applyFont="1" applyAlignment="1">
      <alignment horizontal="center" wrapText="1"/>
    </xf>
    <xf numFmtId="3" fontId="11" fillId="0" borderId="4" xfId="31" applyNumberFormat="1" applyFont="1" applyBorder="1" applyAlignment="1">
      <alignment horizontal="center" vertical="center" wrapText="1"/>
    </xf>
    <xf numFmtId="3" fontId="11" fillId="0" borderId="2" xfId="31" applyNumberFormat="1" applyFont="1" applyBorder="1" applyAlignment="1">
      <alignment horizontal="center" vertical="center" wrapText="1"/>
    </xf>
    <xf numFmtId="0" fontId="13" fillId="0" borderId="20" xfId="31" applyFont="1" applyBorder="1" applyAlignment="1">
      <alignment horizontal="center"/>
    </xf>
    <xf numFmtId="3" fontId="13" fillId="0" borderId="106" xfId="28" applyNumberFormat="1" applyFont="1" applyBorder="1" applyAlignment="1">
      <alignment horizontal="right" wrapText="1"/>
    </xf>
    <xf numFmtId="0" fontId="13" fillId="0" borderId="0" xfId="31" applyFont="1"/>
    <xf numFmtId="3" fontId="11" fillId="0" borderId="102" xfId="31" applyNumberFormat="1" applyFont="1" applyBorder="1" applyAlignment="1">
      <alignment horizontal="right"/>
    </xf>
    <xf numFmtId="0" fontId="11" fillId="0" borderId="13" xfId="28" applyFont="1" applyBorder="1" applyAlignment="1">
      <alignment horizontal="left"/>
    </xf>
    <xf numFmtId="3" fontId="11" fillId="0" borderId="13" xfId="28" applyNumberFormat="1" applyFont="1" applyBorder="1" applyAlignment="1">
      <alignment horizontal="right"/>
    </xf>
    <xf numFmtId="3" fontId="11" fillId="0" borderId="103" xfId="31" applyNumberFormat="1" applyFont="1" applyBorder="1" applyAlignment="1">
      <alignment horizontal="right"/>
    </xf>
    <xf numFmtId="3" fontId="11" fillId="0" borderId="0" xfId="15" applyNumberFormat="1" applyFont="1" applyAlignment="1">
      <alignment horizontal="left"/>
    </xf>
    <xf numFmtId="3" fontId="34" fillId="0" borderId="0" xfId="15" applyNumberFormat="1" applyFont="1" applyAlignment="1">
      <alignment horizontal="left"/>
    </xf>
    <xf numFmtId="0" fontId="13" fillId="0" borderId="12" xfId="31" applyFont="1" applyBorder="1" applyAlignment="1">
      <alignment horizontal="center"/>
    </xf>
    <xf numFmtId="3" fontId="13" fillId="0" borderId="105" xfId="28" applyNumberFormat="1" applyFont="1" applyBorder="1" applyAlignment="1">
      <alignment horizontal="right" wrapText="1"/>
    </xf>
    <xf numFmtId="0" fontId="30" fillId="0" borderId="18" xfId="31" applyFont="1" applyBorder="1" applyAlignment="1">
      <alignment horizontal="left"/>
    </xf>
    <xf numFmtId="0" fontId="11" fillId="0" borderId="13" xfId="28" applyFont="1" applyBorder="1"/>
    <xf numFmtId="3" fontId="13" fillId="0" borderId="105" xfId="31" applyNumberFormat="1" applyFont="1" applyBorder="1" applyAlignment="1">
      <alignment horizontal="right"/>
    </xf>
    <xf numFmtId="3" fontId="18" fillId="0" borderId="0" xfId="31" applyNumberFormat="1" applyFont="1" applyAlignment="1">
      <alignment horizontal="center" vertical="center"/>
    </xf>
    <xf numFmtId="3" fontId="13" fillId="0" borderId="0" xfId="31" applyNumberFormat="1" applyFont="1" applyAlignment="1">
      <alignment horizontal="right"/>
    </xf>
    <xf numFmtId="3" fontId="13" fillId="0" borderId="0" xfId="32" applyNumberFormat="1" applyFont="1" applyAlignment="1">
      <alignment horizontal="right"/>
    </xf>
    <xf numFmtId="3" fontId="11" fillId="0" borderId="85" xfId="28" applyNumberFormat="1" applyFont="1" applyBorder="1" applyAlignment="1">
      <alignment horizontal="right" wrapText="1"/>
    </xf>
    <xf numFmtId="0" fontId="18" fillId="0" borderId="0" xfId="0" applyFont="1" applyAlignment="1">
      <alignment horizontal="center"/>
    </xf>
    <xf numFmtId="0" fontId="18" fillId="0" borderId="0" xfId="0" applyFont="1"/>
    <xf numFmtId="0" fontId="15" fillId="0" borderId="3" xfId="0" applyFont="1" applyBorder="1" applyAlignment="1">
      <alignment horizontal="center"/>
    </xf>
    <xf numFmtId="3" fontId="15" fillId="0" borderId="3" xfId="0" applyNumberFormat="1" applyFont="1" applyBorder="1" applyAlignment="1">
      <alignment horizontal="center"/>
    </xf>
    <xf numFmtId="0" fontId="15" fillId="0" borderId="0" xfId="0" applyFont="1"/>
    <xf numFmtId="3" fontId="18" fillId="0" borderId="0" xfId="0" applyNumberFormat="1" applyFont="1" applyAlignment="1">
      <alignment horizontal="right"/>
    </xf>
    <xf numFmtId="3" fontId="15" fillId="0" borderId="0" xfId="26" applyNumberFormat="1" applyFont="1" applyAlignment="1">
      <alignment horizontal="center" vertical="center"/>
    </xf>
    <xf numFmtId="3" fontId="15" fillId="0" borderId="0" xfId="26" applyNumberFormat="1" applyFont="1" applyAlignment="1">
      <alignment horizontal="center"/>
    </xf>
    <xf numFmtId="3" fontId="19" fillId="0" borderId="0" xfId="26" applyNumberFormat="1" applyFont="1" applyAlignment="1">
      <alignment horizontal="center" vertical="center"/>
    </xf>
    <xf numFmtId="3" fontId="11" fillId="0" borderId="0" xfId="31" applyNumberFormat="1" applyFont="1" applyAlignment="1">
      <alignment horizontal="right"/>
    </xf>
    <xf numFmtId="0" fontId="11" fillId="0" borderId="0" xfId="31" applyFont="1" applyAlignment="1">
      <alignment horizontal="center"/>
    </xf>
    <xf numFmtId="1" fontId="18" fillId="0" borderId="0" xfId="27" applyNumberFormat="1" applyFont="1" applyAlignment="1">
      <alignment horizontal="center" vertical="center"/>
    </xf>
    <xf numFmtId="1" fontId="11" fillId="0" borderId="0" xfId="27" applyNumberFormat="1" applyFont="1" applyAlignment="1">
      <alignment horizontal="center" vertical="center"/>
    </xf>
    <xf numFmtId="1" fontId="15" fillId="0" borderId="0" xfId="27" applyNumberFormat="1" applyFont="1" applyAlignment="1">
      <alignment horizontal="center" vertical="center"/>
    </xf>
    <xf numFmtId="3" fontId="29" fillId="0" borderId="34" xfId="27" applyNumberFormat="1" applyFont="1" applyBorder="1" applyAlignment="1">
      <alignment horizontal="left"/>
    </xf>
    <xf numFmtId="3" fontId="18" fillId="0" borderId="0" xfId="31" applyNumberFormat="1" applyFont="1" applyAlignment="1">
      <alignment horizontal="center" wrapText="1"/>
    </xf>
    <xf numFmtId="3" fontId="21" fillId="0" borderId="0" xfId="31" applyNumberFormat="1" applyFont="1" applyAlignment="1">
      <alignment horizontal="right"/>
    </xf>
    <xf numFmtId="0" fontId="15" fillId="0" borderId="0" xfId="31" applyFont="1" applyAlignment="1">
      <alignment horizontal="center"/>
    </xf>
    <xf numFmtId="0" fontId="15" fillId="0" borderId="0" xfId="32" applyFont="1" applyAlignment="1">
      <alignment horizontal="center" wrapText="1"/>
    </xf>
    <xf numFmtId="3" fontId="15" fillId="0" borderId="0" xfId="32" applyNumberFormat="1" applyFont="1" applyAlignment="1">
      <alignment horizontal="center"/>
    </xf>
    <xf numFmtId="0" fontId="11" fillId="0" borderId="90" xfId="28" applyFont="1" applyBorder="1" applyAlignment="1">
      <alignment vertical="top" wrapText="1"/>
    </xf>
    <xf numFmtId="3" fontId="11" fillId="0" borderId="98" xfId="29" applyNumberFormat="1" applyFont="1" applyBorder="1" applyAlignment="1">
      <alignment horizontal="left"/>
    </xf>
    <xf numFmtId="3" fontId="39" fillId="0" borderId="105" xfId="28" applyNumberFormat="1" applyFont="1" applyBorder="1" applyAlignment="1">
      <alignment horizontal="right" wrapText="1"/>
    </xf>
    <xf numFmtId="3" fontId="39" fillId="0" borderId="13" xfId="31" applyNumberFormat="1" applyFont="1" applyBorder="1" applyAlignment="1">
      <alignment horizontal="right"/>
    </xf>
    <xf numFmtId="3" fontId="39" fillId="0" borderId="13" xfId="28" applyNumberFormat="1" applyFont="1" applyBorder="1" applyAlignment="1">
      <alignment horizontal="right" wrapText="1"/>
    </xf>
    <xf numFmtId="0" fontId="39" fillId="0" borderId="90" xfId="28" applyFont="1" applyBorder="1"/>
    <xf numFmtId="3" fontId="11" fillId="0" borderId="16" xfId="31" applyNumberFormat="1" applyFont="1" applyBorder="1" applyAlignment="1">
      <alignment horizontal="center" vertical="center" wrapText="1"/>
    </xf>
    <xf numFmtId="3" fontId="11" fillId="0" borderId="93" xfId="28" applyNumberFormat="1" applyFont="1" applyBorder="1" applyAlignment="1">
      <alignment horizontal="right" wrapText="1"/>
    </xf>
    <xf numFmtId="3" fontId="11" fillId="0" borderId="82" xfId="28" applyNumberFormat="1" applyFont="1" applyBorder="1" applyAlignment="1">
      <alignment horizontal="right" wrapText="1"/>
    </xf>
    <xf numFmtId="3" fontId="39" fillId="0" borderId="82" xfId="28" applyNumberFormat="1" applyFont="1" applyBorder="1" applyAlignment="1">
      <alignment horizontal="right" wrapText="1"/>
    </xf>
    <xf numFmtId="0" fontId="11" fillId="0" borderId="51" xfId="31" applyFont="1" applyBorder="1" applyAlignment="1">
      <alignment horizontal="center" wrapText="1"/>
    </xf>
    <xf numFmtId="0" fontId="11" fillId="0" borderId="38" xfId="31" applyFont="1" applyBorder="1" applyAlignment="1">
      <alignment horizontal="center" wrapText="1"/>
    </xf>
    <xf numFmtId="0" fontId="18" fillId="0" borderId="0" xfId="0" applyFont="1" applyAlignment="1">
      <alignment horizontal="center" vertical="center"/>
    </xf>
    <xf numFmtId="0" fontId="21" fillId="0" borderId="0" xfId="0" applyFont="1" applyAlignment="1">
      <alignment horizontal="center" vertical="center"/>
    </xf>
    <xf numFmtId="0" fontId="18" fillId="0" borderId="0" xfId="0" applyFont="1" applyAlignment="1">
      <alignment vertical="center"/>
    </xf>
    <xf numFmtId="3" fontId="18" fillId="0" borderId="0" xfId="29" applyNumberFormat="1" applyFont="1"/>
    <xf numFmtId="3" fontId="18" fillId="0" borderId="0" xfId="29" applyNumberFormat="1" applyFont="1" applyAlignment="1">
      <alignment horizontal="center"/>
    </xf>
    <xf numFmtId="3" fontId="18" fillId="0" borderId="0" xfId="29" applyNumberFormat="1" applyFont="1" applyAlignment="1">
      <alignment horizontal="left" wrapText="1"/>
    </xf>
    <xf numFmtId="14" fontId="18" fillId="0" borderId="0" xfId="29" applyNumberFormat="1" applyFont="1" applyAlignment="1">
      <alignment horizontal="center"/>
    </xf>
    <xf numFmtId="3" fontId="40" fillId="0" borderId="13" xfId="31" applyNumberFormat="1" applyFont="1" applyBorder="1" applyAlignment="1">
      <alignment horizontal="right"/>
    </xf>
    <xf numFmtId="3" fontId="40" fillId="0" borderId="13" xfId="28" applyNumberFormat="1" applyFont="1" applyBorder="1" applyAlignment="1">
      <alignment horizontal="right" wrapText="1"/>
    </xf>
    <xf numFmtId="3" fontId="40" fillId="0" borderId="93" xfId="28" applyNumberFormat="1" applyFont="1" applyBorder="1" applyAlignment="1">
      <alignment horizontal="right" wrapText="1"/>
    </xf>
    <xf numFmtId="3" fontId="40" fillId="0" borderId="85" xfId="28" applyNumberFormat="1" applyFont="1" applyBorder="1" applyAlignment="1">
      <alignment horizontal="right" wrapText="1"/>
    </xf>
    <xf numFmtId="3" fontId="39" fillId="0" borderId="106" xfId="28" applyNumberFormat="1" applyFont="1" applyBorder="1" applyAlignment="1">
      <alignment horizontal="right" wrapText="1"/>
    </xf>
    <xf numFmtId="3" fontId="40" fillId="0" borderId="82" xfId="28" applyNumberFormat="1" applyFont="1" applyBorder="1" applyAlignment="1">
      <alignment horizontal="right" wrapText="1"/>
    </xf>
    <xf numFmtId="3" fontId="39" fillId="0" borderId="105" xfId="31" applyNumberFormat="1" applyFont="1" applyBorder="1" applyAlignment="1">
      <alignment horizontal="right"/>
    </xf>
    <xf numFmtId="2" fontId="11" fillId="0" borderId="13" xfId="28" applyNumberFormat="1" applyFont="1" applyBorder="1" applyAlignment="1">
      <alignment wrapText="1"/>
    </xf>
    <xf numFmtId="0" fontId="11" fillId="0" borderId="38" xfId="31" applyFont="1" applyBorder="1" applyAlignment="1">
      <alignment horizontal="center" vertical="top" wrapText="1"/>
    </xf>
    <xf numFmtId="3" fontId="13" fillId="0" borderId="26" xfId="0" applyNumberFormat="1" applyFont="1" applyBorder="1" applyAlignment="1">
      <alignment vertical="center"/>
    </xf>
    <xf numFmtId="0" fontId="11" fillId="0" borderId="18" xfId="31" applyFont="1" applyBorder="1" applyAlignment="1">
      <alignment horizontal="center"/>
    </xf>
    <xf numFmtId="3" fontId="40" fillId="0" borderId="18" xfId="28" applyNumberFormat="1" applyFont="1" applyBorder="1" applyAlignment="1">
      <alignment horizontal="right" wrapText="1"/>
    </xf>
    <xf numFmtId="0" fontId="31" fillId="0" borderId="18" xfId="28" applyFont="1" applyBorder="1" applyAlignment="1">
      <alignment horizontal="left"/>
    </xf>
    <xf numFmtId="3" fontId="11" fillId="0" borderId="124" xfId="31" applyNumberFormat="1" applyFont="1" applyBorder="1" applyAlignment="1">
      <alignment horizontal="right"/>
    </xf>
    <xf numFmtId="0" fontId="11" fillId="0" borderId="36" xfId="31" applyFont="1" applyBorder="1" applyAlignment="1">
      <alignment horizontal="center"/>
    </xf>
    <xf numFmtId="3" fontId="40" fillId="0" borderId="36" xfId="28" applyNumberFormat="1" applyFont="1" applyBorder="1" applyAlignment="1">
      <alignment horizontal="right" wrapText="1"/>
    </xf>
    <xf numFmtId="3" fontId="39" fillId="0" borderId="125" xfId="28" applyNumberFormat="1" applyFont="1" applyBorder="1" applyAlignment="1">
      <alignment horizontal="right" wrapText="1"/>
    </xf>
    <xf numFmtId="0" fontId="39" fillId="0" borderId="108" xfId="28" applyFont="1" applyBorder="1"/>
    <xf numFmtId="3" fontId="11" fillId="0" borderId="36" xfId="31" applyNumberFormat="1" applyFont="1" applyBorder="1" applyAlignment="1">
      <alignment horizontal="right"/>
    </xf>
    <xf numFmtId="3" fontId="11" fillId="0" borderId="116" xfId="31" applyNumberFormat="1" applyFont="1" applyBorder="1" applyAlignment="1">
      <alignment horizontal="right"/>
    </xf>
    <xf numFmtId="0" fontId="11" fillId="0" borderId="117" xfId="31" applyFont="1" applyBorder="1" applyAlignment="1">
      <alignment horizontal="center" wrapText="1"/>
    </xf>
    <xf numFmtId="3" fontId="18" fillId="0" borderId="0" xfId="29" applyNumberFormat="1" applyFont="1" applyAlignment="1">
      <alignment horizontal="center" wrapText="1"/>
    </xf>
    <xf numFmtId="3" fontId="18" fillId="0" borderId="15" xfId="29" applyNumberFormat="1" applyFont="1" applyBorder="1" applyAlignment="1">
      <alignment horizontal="center" vertical="center" wrapText="1"/>
    </xf>
    <xf numFmtId="3" fontId="11" fillId="0" borderId="129" xfId="29" applyNumberFormat="1" applyFont="1" applyBorder="1" applyAlignment="1">
      <alignment horizontal="center" vertical="center" wrapText="1"/>
    </xf>
    <xf numFmtId="3" fontId="11" fillId="0" borderId="89" xfId="29" applyNumberFormat="1" applyFont="1" applyBorder="1" applyAlignment="1">
      <alignment horizontal="center" vertical="center" wrapText="1"/>
    </xf>
    <xf numFmtId="3" fontId="18" fillId="0" borderId="0" xfId="29" applyNumberFormat="1" applyFont="1" applyAlignment="1">
      <alignment horizontal="center" vertical="center" wrapText="1"/>
    </xf>
    <xf numFmtId="3" fontId="11" fillId="0" borderId="1" xfId="29" applyNumberFormat="1" applyFont="1" applyBorder="1" applyAlignment="1">
      <alignment horizontal="center" wrapText="1"/>
    </xf>
    <xf numFmtId="3" fontId="30" fillId="0" borderId="54" xfId="29" applyNumberFormat="1" applyFont="1" applyBorder="1" applyAlignment="1">
      <alignment horizontal="left"/>
    </xf>
    <xf numFmtId="3" fontId="11" fillId="0" borderId="53" xfId="29" applyNumberFormat="1" applyFont="1" applyBorder="1" applyAlignment="1">
      <alignment horizontal="center" wrapText="1"/>
    </xf>
    <xf numFmtId="3" fontId="11" fillId="0" borderId="130" xfId="29" applyNumberFormat="1" applyFont="1" applyBorder="1" applyAlignment="1">
      <alignment horizontal="center" vertical="center" wrapText="1"/>
    </xf>
    <xf numFmtId="3" fontId="11" fillId="0" borderId="85" xfId="29" applyNumberFormat="1" applyFont="1" applyBorder="1" applyAlignment="1">
      <alignment horizontal="center" vertical="center" wrapText="1"/>
    </xf>
    <xf numFmtId="14" fontId="11" fillId="0" borderId="105" xfId="29" applyNumberFormat="1" applyFont="1" applyBorder="1" applyAlignment="1">
      <alignment horizontal="center" vertical="center" wrapText="1"/>
    </xf>
    <xf numFmtId="3" fontId="11" fillId="0" borderId="38" xfId="29" applyNumberFormat="1" applyFont="1" applyBorder="1" applyAlignment="1">
      <alignment horizontal="right" vertical="center" wrapText="1"/>
    </xf>
    <xf numFmtId="3" fontId="11" fillId="0" borderId="82" xfId="29" applyNumberFormat="1" applyFont="1" applyBorder="1" applyAlignment="1">
      <alignment horizontal="right" vertical="center" wrapText="1"/>
    </xf>
    <xf numFmtId="3" fontId="11" fillId="0" borderId="13" xfId="29" applyNumberFormat="1" applyFont="1" applyBorder="1" applyAlignment="1">
      <alignment horizontal="right" vertical="center" wrapText="1"/>
    </xf>
    <xf numFmtId="3" fontId="11" fillId="0" borderId="13" xfId="29" applyNumberFormat="1" applyFont="1" applyBorder="1" applyAlignment="1">
      <alignment horizontal="center" vertical="top" wrapText="1"/>
    </xf>
    <xf numFmtId="3" fontId="11" fillId="0" borderId="51" xfId="29" applyNumberFormat="1" applyFont="1" applyBorder="1" applyAlignment="1">
      <alignment horizontal="right" vertical="center" wrapText="1"/>
    </xf>
    <xf numFmtId="3" fontId="11" fillId="0" borderId="55" xfId="29" applyNumberFormat="1" applyFont="1" applyBorder="1" applyAlignment="1">
      <alignment horizontal="right" vertical="center" wrapText="1"/>
    </xf>
    <xf numFmtId="3" fontId="11" fillId="0" borderId="13" xfId="29" applyNumberFormat="1" applyFont="1" applyBorder="1" applyAlignment="1">
      <alignment horizontal="center" vertical="center" wrapText="1"/>
    </xf>
    <xf numFmtId="3" fontId="13" fillId="0" borderId="107" xfId="29" applyNumberFormat="1" applyFont="1" applyBorder="1" applyAlignment="1">
      <alignment horizontal="right" vertical="center"/>
    </xf>
    <xf numFmtId="3" fontId="13" fillId="0" borderId="50" xfId="29" applyNumberFormat="1" applyFont="1" applyBorder="1" applyAlignment="1">
      <alignment horizontal="right" vertical="center"/>
    </xf>
    <xf numFmtId="3" fontId="35" fillId="0" borderId="13" xfId="0" applyNumberFormat="1" applyFont="1" applyBorder="1" applyAlignment="1">
      <alignment horizontal="right" wrapText="1"/>
    </xf>
    <xf numFmtId="3" fontId="35" fillId="0" borderId="14" xfId="0" applyNumberFormat="1" applyFont="1" applyBorder="1" applyAlignment="1">
      <alignment horizontal="right" wrapText="1"/>
    </xf>
    <xf numFmtId="3" fontId="35" fillId="0" borderId="13" xfId="0" applyNumberFormat="1" applyFont="1" applyBorder="1" applyAlignment="1">
      <alignment horizontal="right" vertical="center" wrapText="1"/>
    </xf>
    <xf numFmtId="3" fontId="35" fillId="0" borderId="12" xfId="27" applyNumberFormat="1" applyFont="1" applyBorder="1" applyAlignment="1">
      <alignment horizontal="center" vertical="center"/>
    </xf>
    <xf numFmtId="3" fontId="35" fillId="0" borderId="18" xfId="27" applyNumberFormat="1" applyFont="1" applyBorder="1" applyAlignment="1">
      <alignment wrapText="1"/>
    </xf>
    <xf numFmtId="3" fontId="35" fillId="0" borderId="13" xfId="27" applyNumberFormat="1" applyFont="1" applyBorder="1" applyAlignment="1">
      <alignment horizontal="right"/>
    </xf>
    <xf numFmtId="3" fontId="39" fillId="0" borderId="0" xfId="27" applyNumberFormat="1" applyFont="1" applyAlignment="1">
      <alignment horizontal="center" vertical="center"/>
    </xf>
    <xf numFmtId="3" fontId="35" fillId="0" borderId="18" xfId="0" applyNumberFormat="1" applyFont="1" applyBorder="1" applyAlignment="1">
      <alignment horizontal="right" wrapText="1"/>
    </xf>
    <xf numFmtId="3" fontId="35" fillId="0" borderId="22" xfId="0" applyNumberFormat="1" applyFont="1" applyBorder="1" applyAlignment="1">
      <alignment horizontal="right" wrapText="1"/>
    </xf>
    <xf numFmtId="3" fontId="39" fillId="0" borderId="0" xfId="27" applyNumberFormat="1" applyFont="1" applyAlignment="1">
      <alignment horizontal="center"/>
    </xf>
    <xf numFmtId="3" fontId="36" fillId="0" borderId="12" xfId="27" applyNumberFormat="1" applyFont="1" applyBorder="1" applyAlignment="1">
      <alignment horizontal="center" vertical="center"/>
    </xf>
    <xf numFmtId="3" fontId="36" fillId="0" borderId="18" xfId="27" applyNumberFormat="1" applyFont="1" applyBorder="1" applyAlignment="1">
      <alignment horizontal="left" wrapText="1" indent="4"/>
    </xf>
    <xf numFmtId="3" fontId="36" fillId="0" borderId="13" xfId="0" applyNumberFormat="1" applyFont="1" applyBorder="1" applyAlignment="1">
      <alignment horizontal="right" wrapText="1"/>
    </xf>
    <xf numFmtId="3" fontId="36" fillId="0" borderId="14" xfId="0" applyNumberFormat="1" applyFont="1" applyBorder="1" applyAlignment="1">
      <alignment horizontal="right" wrapText="1"/>
    </xf>
    <xf numFmtId="3" fontId="42" fillId="0" borderId="0" xfId="27" applyNumberFormat="1" applyFont="1" applyAlignment="1">
      <alignment horizontal="center" vertical="center"/>
    </xf>
    <xf numFmtId="3" fontId="36" fillId="0" borderId="18" xfId="27" applyNumberFormat="1" applyFont="1" applyBorder="1" applyAlignment="1">
      <alignment horizontal="left" vertical="top" wrapText="1" indent="4"/>
    </xf>
    <xf numFmtId="3" fontId="35" fillId="0" borderId="20" xfId="27" applyNumberFormat="1" applyFont="1" applyBorder="1" applyAlignment="1">
      <alignment horizontal="center" vertical="center"/>
    </xf>
    <xf numFmtId="3" fontId="36" fillId="0" borderId="0" xfId="27" applyNumberFormat="1" applyFont="1" applyAlignment="1">
      <alignment horizontal="center" vertical="center"/>
    </xf>
    <xf numFmtId="3" fontId="35" fillId="0" borderId="0" xfId="27" applyNumberFormat="1" applyFont="1" applyAlignment="1">
      <alignment horizontal="center" vertical="center"/>
    </xf>
    <xf numFmtId="3" fontId="35" fillId="0" borderId="18" xfId="27" applyNumberFormat="1" applyFont="1" applyBorder="1" applyAlignment="1">
      <alignment horizontal="left" wrapText="1" indent="2"/>
    </xf>
    <xf numFmtId="3" fontId="35" fillId="0" borderId="13" xfId="27" applyNumberFormat="1" applyFont="1" applyBorder="1" applyAlignment="1">
      <alignment horizontal="center"/>
    </xf>
    <xf numFmtId="3" fontId="35" fillId="0" borderId="82" xfId="0" applyNumberFormat="1" applyFont="1" applyBorder="1"/>
    <xf numFmtId="3" fontId="11" fillId="0" borderId="0" xfId="29" applyNumberFormat="1" applyFont="1" applyAlignment="1">
      <alignment horizontal="left" wrapText="1"/>
    </xf>
    <xf numFmtId="3" fontId="13" fillId="0" borderId="123" xfId="28" applyNumberFormat="1" applyFont="1" applyBorder="1" applyAlignment="1">
      <alignment horizontal="right" wrapText="1"/>
    </xf>
    <xf numFmtId="3" fontId="13" fillId="0" borderId="123" xfId="31" applyNumberFormat="1" applyFont="1" applyBorder="1" applyAlignment="1">
      <alignment horizontal="right"/>
    </xf>
    <xf numFmtId="3" fontId="11" fillId="0" borderId="0" xfId="29" applyNumberFormat="1" applyFont="1" applyAlignment="1">
      <alignment horizontal="center" vertical="center"/>
    </xf>
    <xf numFmtId="3" fontId="11" fillId="0" borderId="12" xfId="29" applyNumberFormat="1" applyFont="1" applyBorder="1" applyAlignment="1">
      <alignment horizontal="center" vertical="center" wrapText="1"/>
    </xf>
    <xf numFmtId="3" fontId="11" fillId="0" borderId="180" xfId="29" applyNumberFormat="1" applyFont="1" applyBorder="1" applyAlignment="1">
      <alignment horizontal="center" vertical="center" wrapText="1"/>
    </xf>
    <xf numFmtId="14" fontId="11" fillId="0" borderId="125" xfId="29" applyNumberFormat="1" applyFont="1" applyBorder="1" applyAlignment="1">
      <alignment horizontal="center" vertical="center" wrapText="1"/>
    </xf>
    <xf numFmtId="3" fontId="11" fillId="0" borderId="92" xfId="29" applyNumberFormat="1" applyFont="1" applyBorder="1" applyAlignment="1">
      <alignment horizontal="right" vertical="center" wrapText="1"/>
    </xf>
    <xf numFmtId="3" fontId="11" fillId="0" borderId="36" xfId="29" applyNumberFormat="1" applyFont="1" applyBorder="1" applyAlignment="1">
      <alignment horizontal="right" vertical="center" wrapText="1"/>
    </xf>
    <xf numFmtId="0" fontId="11" fillId="0" borderId="13" xfId="28" applyFont="1" applyBorder="1" applyAlignment="1">
      <alignment vertical="center" wrapText="1"/>
    </xf>
    <xf numFmtId="0" fontId="11" fillId="0" borderId="53" xfId="31" applyFont="1" applyBorder="1" applyAlignment="1">
      <alignment horizontal="center"/>
    </xf>
    <xf numFmtId="3" fontId="13" fillId="0" borderId="53" xfId="31" applyNumberFormat="1" applyFont="1" applyBorder="1" applyAlignment="1">
      <alignment horizontal="right"/>
    </xf>
    <xf numFmtId="0" fontId="13" fillId="0" borderId="52" xfId="31" applyFont="1" applyBorder="1" applyAlignment="1">
      <alignment horizontal="center"/>
    </xf>
    <xf numFmtId="3" fontId="13" fillId="0" borderId="13" xfId="31" applyNumberFormat="1" applyFont="1" applyBorder="1" applyAlignment="1">
      <alignment horizontal="right"/>
    </xf>
    <xf numFmtId="0" fontId="11" fillId="0" borderId="55" xfId="31" applyFont="1" applyBorder="1" applyAlignment="1">
      <alignment horizontal="center" wrapText="1"/>
    </xf>
    <xf numFmtId="3" fontId="13" fillId="0" borderId="18" xfId="31" applyNumberFormat="1" applyFont="1" applyBorder="1" applyAlignment="1">
      <alignment horizontal="right"/>
    </xf>
    <xf numFmtId="3" fontId="13" fillId="0" borderId="131" xfId="31" applyNumberFormat="1" applyFont="1" applyBorder="1" applyAlignment="1">
      <alignment horizontal="right"/>
    </xf>
    <xf numFmtId="3" fontId="11" fillId="0" borderId="12" xfId="27" applyNumberFormat="1" applyFont="1" applyBorder="1" applyAlignment="1">
      <alignment horizontal="center"/>
    </xf>
    <xf numFmtId="3" fontId="43" fillId="0" borderId="13" xfId="0" applyNumberFormat="1" applyFont="1" applyBorder="1" applyAlignment="1">
      <alignment horizontal="right" wrapText="1"/>
    </xf>
    <xf numFmtId="3" fontId="43" fillId="0" borderId="14" xfId="0" applyNumberFormat="1" applyFont="1" applyBorder="1" applyAlignment="1">
      <alignment horizontal="right" wrapText="1"/>
    </xf>
    <xf numFmtId="3" fontId="43" fillId="0" borderId="18" xfId="0" applyNumberFormat="1" applyFont="1" applyBorder="1" applyAlignment="1">
      <alignment horizontal="right" wrapText="1"/>
    </xf>
    <xf numFmtId="3" fontId="43" fillId="0" borderId="22" xfId="0" applyNumberFormat="1" applyFont="1" applyBorder="1" applyAlignment="1">
      <alignment horizontal="right" wrapText="1"/>
    </xf>
    <xf numFmtId="3" fontId="43" fillId="0" borderId="13" xfId="0" applyNumberFormat="1" applyFont="1" applyBorder="1" applyAlignment="1">
      <alignment horizontal="right" vertical="center" wrapText="1"/>
    </xf>
    <xf numFmtId="3" fontId="43" fillId="0" borderId="14" xfId="0" applyNumberFormat="1" applyFont="1" applyBorder="1" applyAlignment="1">
      <alignment horizontal="right" vertical="center" wrapText="1"/>
    </xf>
    <xf numFmtId="3" fontId="44" fillId="0" borderId="13" xfId="0" applyNumberFormat="1" applyFont="1" applyBorder="1" applyAlignment="1">
      <alignment horizontal="right" wrapText="1"/>
    </xf>
    <xf numFmtId="3" fontId="44" fillId="0" borderId="14" xfId="0" applyNumberFormat="1" applyFont="1" applyBorder="1" applyAlignment="1">
      <alignment horizontal="right" wrapText="1"/>
    </xf>
    <xf numFmtId="3" fontId="44" fillId="0" borderId="13" xfId="0" applyNumberFormat="1" applyFont="1" applyBorder="1" applyAlignment="1">
      <alignment horizontal="right" vertical="center" wrapText="1"/>
    </xf>
    <xf numFmtId="3" fontId="44" fillId="0" borderId="14" xfId="0" applyNumberFormat="1" applyFont="1" applyBorder="1" applyAlignment="1">
      <alignment horizontal="right" vertical="center" wrapText="1"/>
    </xf>
    <xf numFmtId="3" fontId="44" fillId="0" borderId="18" xfId="0" applyNumberFormat="1" applyFont="1" applyBorder="1" applyAlignment="1">
      <alignment horizontal="right" wrapText="1"/>
    </xf>
    <xf numFmtId="3" fontId="44" fillId="0" borderId="22" xfId="0" applyNumberFormat="1" applyFont="1" applyBorder="1" applyAlignment="1">
      <alignment horizontal="right" wrapText="1"/>
    </xf>
    <xf numFmtId="3" fontId="39" fillId="0" borderId="13" xfId="27" applyNumberFormat="1" applyFont="1" applyBorder="1"/>
    <xf numFmtId="3" fontId="40" fillId="0" borderId="13" xfId="27" applyNumberFormat="1" applyFont="1" applyBorder="1"/>
    <xf numFmtId="3" fontId="40" fillId="0" borderId="14" xfId="27" applyNumberFormat="1" applyFont="1" applyBorder="1"/>
    <xf numFmtId="3" fontId="39" fillId="0" borderId="82" xfId="31" applyNumberFormat="1" applyFont="1" applyBorder="1" applyAlignment="1">
      <alignment horizontal="right"/>
    </xf>
    <xf numFmtId="3" fontId="44" fillId="0" borderId="18" xfId="27" applyNumberFormat="1" applyFont="1" applyBorder="1" applyAlignment="1">
      <alignment horizontal="left" vertical="top" wrapText="1" indent="4"/>
    </xf>
    <xf numFmtId="3" fontId="35" fillId="0" borderId="14" xfId="0" applyNumberFormat="1" applyFont="1" applyBorder="1" applyAlignment="1">
      <alignment horizontal="right" vertical="center" wrapText="1"/>
    </xf>
    <xf numFmtId="0" fontId="13" fillId="0" borderId="132" xfId="31" applyFont="1" applyBorder="1" applyAlignment="1">
      <alignment horizontal="center" wrapText="1"/>
    </xf>
    <xf numFmtId="3" fontId="13" fillId="0" borderId="54" xfId="28" applyNumberFormat="1" applyFont="1" applyBorder="1" applyAlignment="1">
      <alignment horizontal="right" wrapText="1"/>
    </xf>
    <xf numFmtId="3" fontId="13" fillId="0" borderId="31" xfId="31" applyNumberFormat="1" applyFont="1" applyBorder="1" applyAlignment="1">
      <alignment horizontal="right"/>
    </xf>
    <xf numFmtId="3" fontId="13" fillId="0" borderId="82" xfId="28" applyNumberFormat="1" applyFont="1" applyBorder="1" applyAlignment="1">
      <alignment horizontal="right" wrapText="1"/>
    </xf>
    <xf numFmtId="3" fontId="13" fillId="0" borderId="19" xfId="31" applyNumberFormat="1" applyFont="1" applyBorder="1" applyAlignment="1">
      <alignment horizontal="right"/>
    </xf>
    <xf numFmtId="3" fontId="13" fillId="0" borderId="55" xfId="28" applyNumberFormat="1" applyFont="1" applyBorder="1" applyAlignment="1">
      <alignment horizontal="right" wrapText="1"/>
    </xf>
    <xf numFmtId="3" fontId="13" fillId="0" borderId="98" xfId="28" applyNumberFormat="1" applyFont="1" applyBorder="1" applyAlignment="1">
      <alignment horizontal="right" wrapText="1"/>
    </xf>
    <xf numFmtId="3" fontId="13" fillId="0" borderId="102" xfId="31" applyNumberFormat="1" applyFont="1" applyBorder="1" applyAlignment="1">
      <alignment horizontal="right"/>
    </xf>
    <xf numFmtId="0" fontId="11" fillId="0" borderId="79" xfId="31" applyFont="1" applyBorder="1" applyAlignment="1">
      <alignment horizontal="center"/>
    </xf>
    <xf numFmtId="3" fontId="11" fillId="0" borderId="79" xfId="31" applyNumberFormat="1" applyFont="1" applyBorder="1" applyAlignment="1">
      <alignment horizontal="right"/>
    </xf>
    <xf numFmtId="3" fontId="13" fillId="0" borderId="79" xfId="31" applyNumberFormat="1" applyFont="1" applyBorder="1" applyAlignment="1">
      <alignment horizontal="right"/>
    </xf>
    <xf numFmtId="3" fontId="13" fillId="0" borderId="96" xfId="28" applyNumberFormat="1" applyFont="1" applyBorder="1" applyAlignment="1">
      <alignment horizontal="right" wrapText="1"/>
    </xf>
    <xf numFmtId="0" fontId="11" fillId="0" borderId="17" xfId="31" applyFont="1" applyBorder="1" applyAlignment="1">
      <alignment horizontal="center"/>
    </xf>
    <xf numFmtId="3" fontId="13" fillId="0" borderId="181" xfId="31" applyNumberFormat="1" applyFont="1" applyBorder="1" applyAlignment="1">
      <alignment horizontal="right"/>
    </xf>
    <xf numFmtId="3" fontId="13" fillId="0" borderId="13" xfId="28" applyNumberFormat="1" applyFont="1" applyBorder="1" applyAlignment="1">
      <alignment horizontal="right" wrapText="1"/>
    </xf>
    <xf numFmtId="0" fontId="13" fillId="0" borderId="82" xfId="31" applyFont="1" applyBorder="1" applyAlignment="1">
      <alignment horizontal="center" wrapText="1"/>
    </xf>
    <xf numFmtId="0" fontId="39" fillId="0" borderId="13" xfId="28" applyFont="1" applyBorder="1"/>
    <xf numFmtId="0" fontId="11" fillId="0" borderId="19" xfId="31" applyFont="1" applyBorder="1" applyAlignment="1">
      <alignment horizontal="center"/>
    </xf>
    <xf numFmtId="0" fontId="13" fillId="0" borderId="55" xfId="31" applyFont="1" applyBorder="1" applyAlignment="1">
      <alignment horizontal="center" wrapText="1"/>
    </xf>
    <xf numFmtId="3" fontId="13" fillId="0" borderId="18" xfId="28" applyNumberFormat="1" applyFont="1" applyBorder="1" applyAlignment="1">
      <alignment horizontal="right" wrapText="1"/>
    </xf>
    <xf numFmtId="3" fontId="13" fillId="0" borderId="128" xfId="31" applyNumberFormat="1" applyFont="1" applyBorder="1" applyAlignment="1">
      <alignment horizontal="right"/>
    </xf>
    <xf numFmtId="0" fontId="13" fillId="0" borderId="54" xfId="31" applyFont="1" applyBorder="1" applyAlignment="1">
      <alignment horizontal="center" wrapText="1"/>
    </xf>
    <xf numFmtId="3" fontId="13" fillId="0" borderId="15" xfId="31" applyNumberFormat="1" applyFont="1" applyBorder="1" applyAlignment="1">
      <alignment horizontal="right"/>
    </xf>
    <xf numFmtId="3" fontId="43" fillId="0" borderId="0" xfId="0" applyNumberFormat="1" applyFont="1" applyAlignment="1">
      <alignment horizontal="right" wrapText="1"/>
    </xf>
    <xf numFmtId="3" fontId="21" fillId="0" borderId="55" xfId="30" applyNumberFormat="1" applyFont="1" applyBorder="1"/>
    <xf numFmtId="3" fontId="15" fillId="0" borderId="0" xfId="0" applyNumberFormat="1" applyFont="1" applyAlignment="1">
      <alignment horizontal="center" vertical="center"/>
    </xf>
    <xf numFmtId="3" fontId="14" fillId="0" borderId="0" xfId="0" applyNumberFormat="1" applyFont="1" applyAlignment="1">
      <alignment vertical="center"/>
    </xf>
    <xf numFmtId="0" fontId="28" fillId="0" borderId="0" xfId="0" applyFont="1"/>
    <xf numFmtId="3" fontId="18" fillId="0" borderId="0" xfId="0" applyNumberFormat="1" applyFont="1" applyAlignment="1">
      <alignment horizontal="center" vertical="center"/>
    </xf>
    <xf numFmtId="3" fontId="18" fillId="0" borderId="0" xfId="0" applyNumberFormat="1" applyFont="1" applyAlignment="1">
      <alignment vertical="center"/>
    </xf>
    <xf numFmtId="3" fontId="20" fillId="0" borderId="0" xfId="0" applyNumberFormat="1" applyFont="1" applyAlignment="1">
      <alignment vertical="center"/>
    </xf>
    <xf numFmtId="3" fontId="23" fillId="0" borderId="4" xfId="0" applyNumberFormat="1" applyFont="1" applyBorder="1" applyAlignment="1">
      <alignment horizontal="center" vertical="center" wrapText="1"/>
    </xf>
    <xf numFmtId="3" fontId="18" fillId="0" borderId="20" xfId="0" applyNumberFormat="1" applyFont="1" applyBorder="1" applyAlignment="1">
      <alignment horizontal="center"/>
    </xf>
    <xf numFmtId="3" fontId="18" fillId="0" borderId="18" xfId="0" applyNumberFormat="1" applyFont="1" applyBorder="1" applyAlignment="1">
      <alignment horizontal="center"/>
    </xf>
    <xf numFmtId="3" fontId="21" fillId="0" borderId="98" xfId="30" applyNumberFormat="1" applyFont="1" applyBorder="1" applyAlignment="1">
      <alignment horizontal="left"/>
    </xf>
    <xf numFmtId="3" fontId="21" fillId="0" borderId="55" xfId="30" applyNumberFormat="1" applyFont="1" applyBorder="1" applyAlignment="1">
      <alignment horizontal="left"/>
    </xf>
    <xf numFmtId="3" fontId="18" fillId="0" borderId="18" xfId="0" applyNumberFormat="1" applyFont="1" applyBorder="1"/>
    <xf numFmtId="3" fontId="18" fillId="0" borderId="123" xfId="0" applyNumberFormat="1" applyFont="1" applyBorder="1"/>
    <xf numFmtId="3" fontId="18" fillId="0" borderId="55" xfId="0" applyNumberFormat="1" applyFont="1" applyBorder="1"/>
    <xf numFmtId="3" fontId="18" fillId="0" borderId="12" xfId="0" applyNumberFormat="1" applyFont="1" applyBorder="1" applyAlignment="1">
      <alignment horizontal="center"/>
    </xf>
    <xf numFmtId="3" fontId="18" fillId="0" borderId="13" xfId="0" applyNumberFormat="1" applyFont="1" applyBorder="1" applyAlignment="1">
      <alignment horizontal="center"/>
    </xf>
    <xf numFmtId="3" fontId="18" fillId="0" borderId="90" xfId="30" applyNumberFormat="1" applyFont="1" applyBorder="1" applyAlignment="1">
      <alignment horizontal="left"/>
    </xf>
    <xf numFmtId="3" fontId="18" fillId="0" borderId="13" xfId="0" applyNumberFormat="1" applyFont="1" applyBorder="1"/>
    <xf numFmtId="3" fontId="18" fillId="0" borderId="105" xfId="0" applyNumberFormat="1" applyFont="1" applyBorder="1"/>
    <xf numFmtId="3" fontId="18" fillId="0" borderId="82" xfId="0" applyNumberFormat="1" applyFont="1" applyBorder="1"/>
    <xf numFmtId="3" fontId="20" fillId="0" borderId="13" xfId="0" applyNumberFormat="1" applyFont="1" applyBorder="1"/>
    <xf numFmtId="3" fontId="35" fillId="0" borderId="12" xfId="0" applyNumberFormat="1" applyFont="1" applyBorder="1" applyAlignment="1">
      <alignment horizontal="center" vertical="center"/>
    </xf>
    <xf numFmtId="3" fontId="35" fillId="0" borderId="13" xfId="0" applyNumberFormat="1" applyFont="1" applyBorder="1" applyAlignment="1">
      <alignment horizontal="center"/>
    </xf>
    <xf numFmtId="3" fontId="35" fillId="0" borderId="90" xfId="0" applyNumberFormat="1" applyFont="1" applyBorder="1" applyAlignment="1">
      <alignment horizontal="center"/>
    </xf>
    <xf numFmtId="3" fontId="35" fillId="0" borderId="13" xfId="0" applyNumberFormat="1" applyFont="1" applyBorder="1"/>
    <xf numFmtId="3" fontId="35" fillId="0" borderId="105" xfId="0" applyNumberFormat="1" applyFont="1" applyBorder="1"/>
    <xf numFmtId="3" fontId="35" fillId="0" borderId="0" xfId="0" applyNumberFormat="1" applyFont="1" applyAlignment="1">
      <alignment vertical="center"/>
    </xf>
    <xf numFmtId="0" fontId="37" fillId="0" borderId="0" xfId="0" applyFont="1"/>
    <xf numFmtId="3" fontId="21" fillId="0" borderId="82" xfId="30" applyNumberFormat="1" applyFont="1" applyBorder="1" applyAlignment="1">
      <alignment horizontal="left"/>
    </xf>
    <xf numFmtId="3" fontId="20" fillId="0" borderId="0" xfId="0" applyNumberFormat="1" applyFont="1" applyAlignment="1">
      <alignment vertical="top"/>
    </xf>
    <xf numFmtId="3" fontId="35" fillId="0" borderId="0" xfId="0" applyNumberFormat="1" applyFont="1" applyAlignment="1">
      <alignment vertical="top"/>
    </xf>
    <xf numFmtId="3" fontId="21" fillId="0" borderId="0" xfId="0" applyNumberFormat="1" applyFont="1" applyAlignment="1">
      <alignment vertical="top"/>
    </xf>
    <xf numFmtId="3" fontId="18" fillId="0" borderId="12" xfId="0" applyNumberFormat="1" applyFont="1" applyBorder="1" applyAlignment="1">
      <alignment horizontal="center" vertical="center"/>
    </xf>
    <xf numFmtId="3" fontId="18" fillId="0" borderId="82" xfId="30" applyNumberFormat="1" applyFont="1" applyBorder="1"/>
    <xf numFmtId="0" fontId="0" fillId="0" borderId="13" xfId="0" applyBorder="1"/>
    <xf numFmtId="0" fontId="0" fillId="0" borderId="105" xfId="0" applyBorder="1"/>
    <xf numFmtId="0" fontId="0" fillId="0" borderId="82" xfId="0" applyBorder="1"/>
    <xf numFmtId="3" fontId="21" fillId="0" borderId="82" xfId="30" applyNumberFormat="1" applyFont="1" applyBorder="1"/>
    <xf numFmtId="3" fontId="35" fillId="0" borderId="0" xfId="0" applyNumberFormat="1" applyFont="1"/>
    <xf numFmtId="3" fontId="18" fillId="0" borderId="0" xfId="0" applyNumberFormat="1" applyFont="1" applyAlignment="1">
      <alignment vertical="top"/>
    </xf>
    <xf numFmtId="3" fontId="36" fillId="0" borderId="0" xfId="0" applyNumberFormat="1" applyFont="1" applyAlignment="1">
      <alignment vertical="top"/>
    </xf>
    <xf numFmtId="3" fontId="21" fillId="0" borderId="11" xfId="0" applyNumberFormat="1" applyFont="1" applyBorder="1"/>
    <xf numFmtId="3" fontId="21" fillId="0" borderId="118" xfId="0" applyNumberFormat="1" applyFont="1" applyBorder="1"/>
    <xf numFmtId="3" fontId="21" fillId="0" borderId="83" xfId="0" applyNumberFormat="1" applyFont="1" applyBorder="1"/>
    <xf numFmtId="3" fontId="35" fillId="0" borderId="12" xfId="0" applyNumberFormat="1" applyFont="1" applyBorder="1" applyAlignment="1">
      <alignment horizontal="center" vertical="top"/>
    </xf>
    <xf numFmtId="3" fontId="35" fillId="0" borderId="79" xfId="0" applyNumberFormat="1" applyFont="1" applyBorder="1" applyAlignment="1">
      <alignment horizontal="center"/>
    </xf>
    <xf numFmtId="3" fontId="35" fillId="0" borderId="110" xfId="0" applyNumberFormat="1" applyFont="1" applyBorder="1" applyAlignment="1">
      <alignment horizontal="center"/>
    </xf>
    <xf numFmtId="3" fontId="35" fillId="0" borderId="79" xfId="0" applyNumberFormat="1" applyFont="1" applyBorder="1"/>
    <xf numFmtId="3" fontId="35" fillId="0" borderId="183" xfId="0" applyNumberFormat="1" applyFont="1" applyBorder="1"/>
    <xf numFmtId="3" fontId="18" fillId="0" borderId="20" xfId="0" applyNumberFormat="1" applyFont="1" applyBorder="1" applyAlignment="1">
      <alignment horizontal="center" vertical="top"/>
    </xf>
    <xf numFmtId="3" fontId="35" fillId="0" borderId="36" xfId="0" applyNumberFormat="1" applyFont="1" applyBorder="1" applyAlignment="1">
      <alignment horizontal="center"/>
    </xf>
    <xf numFmtId="3" fontId="35" fillId="0" borderId="108" xfId="0" applyNumberFormat="1" applyFont="1" applyBorder="1" applyAlignment="1">
      <alignment horizontal="center"/>
    </xf>
    <xf numFmtId="3" fontId="35" fillId="0" borderId="36" xfId="0" applyNumberFormat="1" applyFont="1" applyBorder="1"/>
    <xf numFmtId="3" fontId="35" fillId="0" borderId="125" xfId="0" applyNumberFormat="1" applyFont="1" applyBorder="1"/>
    <xf numFmtId="3" fontId="35" fillId="0" borderId="92" xfId="0" applyNumberFormat="1" applyFont="1" applyBorder="1"/>
    <xf numFmtId="3" fontId="18" fillId="0" borderId="13" xfId="0" applyNumberFormat="1" applyFont="1" applyBorder="1" applyAlignment="1">
      <alignment horizontal="center" vertical="top"/>
    </xf>
    <xf numFmtId="3" fontId="21" fillId="0" borderId="0" xfId="0" applyNumberFormat="1" applyFont="1" applyAlignment="1">
      <alignment vertical="center"/>
    </xf>
    <xf numFmtId="3" fontId="21" fillId="0" borderId="55" xfId="30" applyNumberFormat="1" applyFont="1" applyBorder="1" applyAlignment="1">
      <alignment wrapText="1"/>
    </xf>
    <xf numFmtId="3" fontId="21" fillId="0" borderId="82" xfId="30" applyNumberFormat="1" applyFont="1" applyBorder="1" applyAlignment="1">
      <alignment wrapText="1"/>
    </xf>
    <xf numFmtId="3" fontId="18" fillId="0" borderId="12" xfId="0" applyNumberFormat="1" applyFont="1" applyBorder="1" applyAlignment="1">
      <alignment horizontal="center" vertical="top"/>
    </xf>
    <xf numFmtId="0" fontId="27" fillId="0" borderId="0" xfId="0" applyFont="1"/>
    <xf numFmtId="3" fontId="36" fillId="0" borderId="0" xfId="0" applyNumberFormat="1" applyFont="1" applyAlignment="1">
      <alignment vertical="center"/>
    </xf>
    <xf numFmtId="0" fontId="38" fillId="0" borderId="0" xfId="0" applyFont="1"/>
    <xf numFmtId="3" fontId="35" fillId="0" borderId="113" xfId="0" applyNumberFormat="1" applyFont="1" applyBorder="1" applyAlignment="1">
      <alignment horizontal="center"/>
    </xf>
    <xf numFmtId="3" fontId="21" fillId="0" borderId="34" xfId="0" applyNumberFormat="1" applyFont="1" applyBorder="1"/>
    <xf numFmtId="3" fontId="21" fillId="0" borderId="104" xfId="0" applyNumberFormat="1" applyFont="1" applyBorder="1"/>
    <xf numFmtId="3" fontId="18" fillId="0" borderId="34" xfId="0" applyNumberFormat="1" applyFont="1" applyBorder="1"/>
    <xf numFmtId="3" fontId="18" fillId="0" borderId="33" xfId="0" applyNumberFormat="1" applyFont="1" applyBorder="1" applyAlignment="1">
      <alignment horizontal="center" vertical="top"/>
    </xf>
    <xf numFmtId="3" fontId="18" fillId="0" borderId="34" xfId="0" applyNumberFormat="1" applyFont="1" applyBorder="1" applyAlignment="1">
      <alignment horizontal="center"/>
    </xf>
    <xf numFmtId="3" fontId="18" fillId="0" borderId="34" xfId="30" applyNumberFormat="1" applyFont="1" applyBorder="1" applyAlignment="1">
      <alignment wrapText="1"/>
    </xf>
    <xf numFmtId="3" fontId="18" fillId="0" borderId="104" xfId="30" applyNumberFormat="1" applyFont="1" applyBorder="1" applyAlignment="1">
      <alignment wrapText="1"/>
    </xf>
    <xf numFmtId="3" fontId="21" fillId="0" borderId="99" xfId="30" applyNumberFormat="1" applyFont="1" applyBorder="1" applyAlignment="1">
      <alignment wrapText="1"/>
    </xf>
    <xf numFmtId="3" fontId="21" fillId="0" borderId="91" xfId="30" applyNumberFormat="1" applyFont="1" applyBorder="1" applyAlignment="1">
      <alignment wrapText="1"/>
    </xf>
    <xf numFmtId="3" fontId="35" fillId="0" borderId="52" xfId="0" applyNumberFormat="1" applyFont="1" applyBorder="1" applyAlignment="1">
      <alignment horizontal="center" vertical="center"/>
    </xf>
    <xf numFmtId="3" fontId="35" fillId="0" borderId="36" xfId="30" applyNumberFormat="1" applyFont="1" applyBorder="1"/>
    <xf numFmtId="3" fontId="21" fillId="0" borderId="91" xfId="0" applyNumberFormat="1" applyFont="1" applyBorder="1"/>
    <xf numFmtId="0" fontId="22" fillId="0" borderId="0" xfId="0" applyFont="1" applyAlignment="1">
      <alignment horizontal="center" vertical="center"/>
    </xf>
    <xf numFmtId="3" fontId="11" fillId="0" borderId="0" xfId="0" applyNumberFormat="1" applyFont="1" applyAlignment="1">
      <alignment horizontal="right" vertical="center"/>
    </xf>
    <xf numFmtId="3" fontId="13" fillId="0" borderId="0" xfId="0" applyNumberFormat="1" applyFont="1" applyAlignment="1">
      <alignment horizontal="right" vertical="center"/>
    </xf>
    <xf numFmtId="3" fontId="18" fillId="0" borderId="0" xfId="0" applyNumberFormat="1" applyFont="1" applyAlignment="1">
      <alignment horizontal="center" vertical="top"/>
    </xf>
    <xf numFmtId="3" fontId="21" fillId="0" borderId="0" xfId="0" applyNumberFormat="1" applyFont="1" applyAlignment="1">
      <alignment horizontal="right"/>
    </xf>
    <xf numFmtId="3" fontId="18" fillId="0" borderId="4" xfId="26" applyNumberFormat="1" applyFont="1" applyBorder="1" applyAlignment="1">
      <alignment horizontal="center" vertical="center" wrapText="1"/>
    </xf>
    <xf numFmtId="3" fontId="18" fillId="0" borderId="55" xfId="0" applyNumberFormat="1" applyFont="1" applyBorder="1" applyAlignment="1">
      <alignment horizontal="center"/>
    </xf>
    <xf numFmtId="3" fontId="21" fillId="0" borderId="18" xfId="30" applyNumberFormat="1" applyFont="1" applyBorder="1"/>
    <xf numFmtId="3" fontId="18" fillId="0" borderId="18" xfId="30" applyNumberFormat="1" applyFont="1" applyBorder="1" applyAlignment="1">
      <alignment horizontal="center"/>
    </xf>
    <xf numFmtId="3" fontId="21" fillId="0" borderId="51" xfId="0" applyNumberFormat="1" applyFont="1" applyBorder="1"/>
    <xf numFmtId="3" fontId="18" fillId="0" borderId="22" xfId="0" applyNumberFormat="1" applyFont="1" applyBorder="1"/>
    <xf numFmtId="3" fontId="18" fillId="0" borderId="82" xfId="0" applyNumberFormat="1" applyFont="1" applyBorder="1" applyAlignment="1">
      <alignment horizontal="center"/>
    </xf>
    <xf numFmtId="3" fontId="18" fillId="0" borderId="13" xfId="30" applyNumberFormat="1" applyFont="1" applyBorder="1"/>
    <xf numFmtId="3" fontId="21" fillId="0" borderId="38" xfId="0" applyNumberFormat="1" applyFont="1" applyBorder="1"/>
    <xf numFmtId="3" fontId="18" fillId="0" borderId="14" xfId="0" applyNumberFormat="1" applyFont="1" applyBorder="1"/>
    <xf numFmtId="3" fontId="35" fillId="0" borderId="82" xfId="0" applyNumberFormat="1" applyFont="1" applyBorder="1" applyAlignment="1">
      <alignment horizontal="center" vertical="center"/>
    </xf>
    <xf numFmtId="3" fontId="35" fillId="0" borderId="13" xfId="30" applyNumberFormat="1" applyFont="1" applyBorder="1"/>
    <xf numFmtId="3" fontId="35" fillId="0" borderId="13" xfId="0" applyNumberFormat="1" applyFont="1" applyBorder="1" applyAlignment="1">
      <alignment vertical="center"/>
    </xf>
    <xf numFmtId="3" fontId="35" fillId="0" borderId="38" xfId="0" applyNumberFormat="1" applyFont="1" applyBorder="1"/>
    <xf numFmtId="3" fontId="35" fillId="0" borderId="13" xfId="0" applyNumberFormat="1" applyFont="1" applyBorder="1" applyAlignment="1">
      <alignment horizontal="right"/>
    </xf>
    <xf numFmtId="3" fontId="35" fillId="0" borderId="14" xfId="0" applyNumberFormat="1" applyFont="1" applyBorder="1" applyAlignment="1">
      <alignment horizontal="right"/>
    </xf>
    <xf numFmtId="3" fontId="35" fillId="0" borderId="0" xfId="0" applyNumberFormat="1" applyFont="1" applyAlignment="1">
      <alignment horizontal="right" vertical="center"/>
    </xf>
    <xf numFmtId="3" fontId="21" fillId="0" borderId="13" xfId="30" applyNumberFormat="1" applyFont="1" applyBorder="1"/>
    <xf numFmtId="3" fontId="18" fillId="0" borderId="13" xfId="30" applyNumberFormat="1" applyFont="1" applyBorder="1" applyAlignment="1">
      <alignment horizontal="center"/>
    </xf>
    <xf numFmtId="3" fontId="21" fillId="0" borderId="0" xfId="0" applyNumberFormat="1" applyFont="1" applyAlignment="1">
      <alignment horizontal="right" vertical="center"/>
    </xf>
    <xf numFmtId="3" fontId="35" fillId="0" borderId="0" xfId="0" applyNumberFormat="1" applyFont="1" applyAlignment="1">
      <alignment horizontal="right"/>
    </xf>
    <xf numFmtId="3" fontId="18" fillId="0" borderId="0" xfId="0" applyNumberFormat="1" applyFont="1" applyAlignment="1">
      <alignment horizontal="right" vertical="center"/>
    </xf>
    <xf numFmtId="3" fontId="18" fillId="0" borderId="13" xfId="0" applyNumberFormat="1" applyFont="1" applyBorder="1" applyAlignment="1">
      <alignment horizontal="right"/>
    </xf>
    <xf numFmtId="3" fontId="18" fillId="0" borderId="14" xfId="0" applyNumberFormat="1" applyFont="1" applyBorder="1" applyAlignment="1">
      <alignment horizontal="right"/>
    </xf>
    <xf numFmtId="3" fontId="24" fillId="0" borderId="12" xfId="0" applyNumberFormat="1" applyFont="1" applyBorder="1" applyAlignment="1">
      <alignment horizontal="center" vertical="center"/>
    </xf>
    <xf numFmtId="3" fontId="24" fillId="0" borderId="11" xfId="0" applyNumberFormat="1" applyFont="1" applyBorder="1" applyAlignment="1">
      <alignment vertical="center"/>
    </xf>
    <xf numFmtId="3" fontId="24" fillId="0" borderId="86" xfId="0" applyNumberFormat="1" applyFont="1" applyBorder="1" applyAlignment="1">
      <alignment vertical="center"/>
    </xf>
    <xf numFmtId="3" fontId="24" fillId="0" borderId="87" xfId="0" applyNumberFormat="1" applyFont="1" applyBorder="1" applyAlignment="1">
      <alignment vertical="center"/>
    </xf>
    <xf numFmtId="3" fontId="24" fillId="0" borderId="0" xfId="0" applyNumberFormat="1" applyFont="1" applyAlignment="1">
      <alignment horizontal="right" vertical="center"/>
    </xf>
    <xf numFmtId="3" fontId="24" fillId="0" borderId="0" xfId="0" applyNumberFormat="1" applyFont="1" applyAlignment="1">
      <alignment vertical="center"/>
    </xf>
    <xf numFmtId="3" fontId="35" fillId="0" borderId="79" xfId="0" applyNumberFormat="1" applyFont="1" applyBorder="1" applyAlignment="1">
      <alignment horizontal="center" vertical="center"/>
    </xf>
    <xf numFmtId="3" fontId="35" fillId="0" borderId="96" xfId="0" applyNumberFormat="1" applyFont="1" applyBorder="1" applyAlignment="1">
      <alignment horizontal="center" vertical="center"/>
    </xf>
    <xf numFmtId="3" fontId="35" fillId="0" borderId="79" xfId="0" applyNumberFormat="1" applyFont="1" applyBorder="1" applyAlignment="1">
      <alignment vertical="center"/>
    </xf>
    <xf numFmtId="3" fontId="21" fillId="0" borderId="18" xfId="30" applyNumberFormat="1" applyFont="1" applyBorder="1" applyAlignment="1">
      <alignment wrapText="1"/>
    </xf>
    <xf numFmtId="3" fontId="24" fillId="0" borderId="51" xfId="0" applyNumberFormat="1" applyFont="1" applyBorder="1"/>
    <xf numFmtId="3" fontId="24" fillId="0" borderId="38" xfId="0" applyNumberFormat="1" applyFont="1" applyBorder="1"/>
    <xf numFmtId="3" fontId="21" fillId="0" borderId="12" xfId="0" applyNumberFormat="1" applyFont="1" applyBorder="1" applyAlignment="1">
      <alignment horizontal="center" vertical="center"/>
    </xf>
    <xf numFmtId="3" fontId="21" fillId="0" borderId="82" xfId="0" applyNumberFormat="1" applyFont="1" applyBorder="1" applyAlignment="1">
      <alignment horizontal="center" vertical="center"/>
    </xf>
    <xf numFmtId="3" fontId="21" fillId="0" borderId="13" xfId="0" applyNumberFormat="1" applyFont="1" applyBorder="1" applyAlignment="1">
      <alignment vertical="center"/>
    </xf>
    <xf numFmtId="3" fontId="21" fillId="0" borderId="92" xfId="0" applyNumberFormat="1" applyFont="1" applyBorder="1" applyAlignment="1">
      <alignment horizontal="center" vertical="center"/>
    </xf>
    <xf numFmtId="3" fontId="21" fillId="0" borderId="36" xfId="0" applyNumberFormat="1" applyFont="1" applyBorder="1" applyAlignment="1">
      <alignment vertical="center"/>
    </xf>
    <xf numFmtId="3" fontId="35" fillId="0" borderId="117" xfId="0" applyNumberFormat="1" applyFont="1" applyBorder="1"/>
    <xf numFmtId="3" fontId="35" fillId="0" borderId="36" xfId="0" applyNumberFormat="1" applyFont="1" applyBorder="1" applyAlignment="1">
      <alignment horizontal="right"/>
    </xf>
    <xf numFmtId="3" fontId="35" fillId="0" borderId="37" xfId="0" applyNumberFormat="1" applyFont="1" applyBorder="1" applyAlignment="1">
      <alignment horizontal="right"/>
    </xf>
    <xf numFmtId="3" fontId="18" fillId="0" borderId="82" xfId="0" applyNumberFormat="1" applyFont="1" applyBorder="1" applyAlignment="1">
      <alignment horizontal="center" vertical="top"/>
    </xf>
    <xf numFmtId="3" fontId="18" fillId="0" borderId="13" xfId="30" applyNumberFormat="1" applyFont="1" applyBorder="1" applyAlignment="1">
      <alignment horizontal="left"/>
    </xf>
    <xf numFmtId="3" fontId="18" fillId="0" borderId="13" xfId="30" applyNumberFormat="1" applyFont="1" applyBorder="1" applyAlignment="1">
      <alignment horizontal="center" vertical="top" wrapText="1"/>
    </xf>
    <xf numFmtId="3" fontId="20" fillId="0" borderId="13" xfId="0" applyNumberFormat="1" applyFont="1" applyBorder="1" applyAlignment="1">
      <alignment horizontal="right"/>
    </xf>
    <xf numFmtId="3" fontId="20" fillId="0" borderId="14" xfId="0" applyNumberFormat="1" applyFont="1" applyBorder="1" applyAlignment="1">
      <alignment horizontal="right"/>
    </xf>
    <xf numFmtId="3" fontId="18" fillId="0" borderId="98" xfId="0" applyNumberFormat="1" applyFont="1" applyBorder="1" applyAlignment="1">
      <alignment horizontal="center" vertical="top"/>
    </xf>
    <xf numFmtId="3" fontId="18" fillId="0" borderId="18" xfId="30" applyNumberFormat="1" applyFont="1" applyBorder="1" applyAlignment="1">
      <alignment horizontal="center" vertical="top" wrapText="1"/>
    </xf>
    <xf numFmtId="3" fontId="24" fillId="0" borderId="11" xfId="0" applyNumberFormat="1" applyFont="1" applyBorder="1" applyAlignment="1">
      <alignment horizontal="center" vertical="center"/>
    </xf>
    <xf numFmtId="3" fontId="24" fillId="0" borderId="11" xfId="0" applyNumberFormat="1" applyFont="1" applyBorder="1" applyAlignment="1">
      <alignment horizontal="right" vertical="center"/>
    </xf>
    <xf numFmtId="3" fontId="24" fillId="0" borderId="87" xfId="0" applyNumberFormat="1" applyFont="1" applyBorder="1" applyAlignment="1">
      <alignment horizontal="right" vertical="center"/>
    </xf>
    <xf numFmtId="3" fontId="24" fillId="0" borderId="0" xfId="0" applyNumberFormat="1" applyFont="1" applyAlignment="1">
      <alignment horizontal="right" vertical="top"/>
    </xf>
    <xf numFmtId="3" fontId="24" fillId="0" borderId="0" xfId="0" applyNumberFormat="1" applyFont="1" applyAlignment="1">
      <alignment vertical="top"/>
    </xf>
    <xf numFmtId="3" fontId="21" fillId="0" borderId="79" xfId="0" applyNumberFormat="1" applyFont="1" applyBorder="1" applyAlignment="1">
      <alignment horizontal="center" vertical="center"/>
    </xf>
    <xf numFmtId="3" fontId="21" fillId="0" borderId="96" xfId="0" applyNumberFormat="1" applyFont="1" applyBorder="1" applyAlignment="1">
      <alignment horizontal="center" vertical="center"/>
    </xf>
    <xf numFmtId="3" fontId="21" fillId="0" borderId="79" xfId="0" applyNumberFormat="1" applyFont="1" applyBorder="1" applyAlignment="1">
      <alignment vertical="center"/>
    </xf>
    <xf numFmtId="3" fontId="35" fillId="0" borderId="13" xfId="30" applyNumberFormat="1" applyFont="1" applyBorder="1" applyAlignment="1">
      <alignment horizontal="left"/>
    </xf>
    <xf numFmtId="3" fontId="21" fillId="0" borderId="13" xfId="30" applyNumberFormat="1" applyFont="1" applyBorder="1" applyAlignment="1">
      <alignment horizontal="center" vertical="center"/>
    </xf>
    <xf numFmtId="3" fontId="36" fillId="0" borderId="0" xfId="0" applyNumberFormat="1" applyFont="1" applyAlignment="1">
      <alignment horizontal="right" vertical="center"/>
    </xf>
    <xf numFmtId="3" fontId="18" fillId="0" borderId="82" xfId="0" applyNumberFormat="1" applyFont="1" applyBorder="1" applyAlignment="1">
      <alignment horizontal="center" vertical="center"/>
    </xf>
    <xf numFmtId="3" fontId="18" fillId="0" borderId="13" xfId="0" applyNumberFormat="1" applyFont="1" applyBorder="1" applyAlignment="1">
      <alignment vertical="center"/>
    </xf>
    <xf numFmtId="3" fontId="21" fillId="0" borderId="13" xfId="30" applyNumberFormat="1" applyFont="1" applyBorder="1" applyAlignment="1">
      <alignment horizontal="left"/>
    </xf>
    <xf numFmtId="3" fontId="20" fillId="0" borderId="12" xfId="0" applyNumberFormat="1" applyFont="1" applyBorder="1" applyAlignment="1">
      <alignment horizontal="center" vertical="top"/>
    </xf>
    <xf numFmtId="3" fontId="20" fillId="0" borderId="13" xfId="30" applyNumberFormat="1" applyFont="1" applyBorder="1" applyAlignment="1">
      <alignment horizontal="left"/>
    </xf>
    <xf numFmtId="3" fontId="20" fillId="0" borderId="13" xfId="30" applyNumberFormat="1" applyFont="1" applyBorder="1" applyAlignment="1">
      <alignment horizontal="center" vertical="top" wrapText="1"/>
    </xf>
    <xf numFmtId="3" fontId="20" fillId="0" borderId="17" xfId="0" applyNumberFormat="1" applyFont="1" applyBorder="1"/>
    <xf numFmtId="3" fontId="24" fillId="0" borderId="82" xfId="0" applyNumberFormat="1" applyFont="1" applyBorder="1" applyAlignment="1">
      <alignment horizontal="center" vertical="center"/>
    </xf>
    <xf numFmtId="3" fontId="24" fillId="0" borderId="13" xfId="0" applyNumberFormat="1" applyFont="1" applyBorder="1" applyAlignment="1">
      <alignment vertical="center"/>
    </xf>
    <xf numFmtId="3" fontId="36" fillId="0" borderId="38" xfId="0" applyNumberFormat="1" applyFont="1" applyBorder="1"/>
    <xf numFmtId="3" fontId="36" fillId="0" borderId="13" xfId="0" applyNumberFormat="1" applyFont="1" applyBorder="1" applyAlignment="1">
      <alignment horizontal="right"/>
    </xf>
    <xf numFmtId="3" fontId="36" fillId="0" borderId="14" xfId="0" applyNumberFormat="1" applyFont="1" applyBorder="1" applyAlignment="1">
      <alignment horizontal="right"/>
    </xf>
    <xf numFmtId="3" fontId="18" fillId="0" borderId="0" xfId="0" applyNumberFormat="1" applyFont="1" applyAlignment="1">
      <alignment horizontal="right" vertical="top"/>
    </xf>
    <xf numFmtId="3" fontId="24" fillId="0" borderId="11" xfId="30" applyNumberFormat="1" applyFont="1" applyBorder="1" applyAlignment="1">
      <alignment horizontal="center" vertical="center"/>
    </xf>
    <xf numFmtId="3" fontId="24" fillId="0" borderId="83" xfId="0" applyNumberFormat="1" applyFont="1" applyBorder="1" applyAlignment="1">
      <alignment horizontal="right" vertical="center"/>
    </xf>
    <xf numFmtId="3" fontId="21" fillId="0" borderId="18" xfId="0" applyNumberFormat="1" applyFont="1" applyBorder="1" applyAlignment="1">
      <alignment horizontal="left"/>
    </xf>
    <xf numFmtId="3" fontId="21" fillId="0" borderId="112" xfId="0" applyNumberFormat="1" applyFont="1" applyBorder="1" applyAlignment="1">
      <alignment horizontal="center" vertical="center"/>
    </xf>
    <xf numFmtId="3" fontId="21" fillId="0" borderId="113" xfId="0" applyNumberFormat="1" applyFont="1" applyBorder="1" applyAlignment="1">
      <alignment vertical="center"/>
    </xf>
    <xf numFmtId="3" fontId="21" fillId="0" borderId="34" xfId="0" applyNumberFormat="1" applyFont="1" applyBorder="1" applyAlignment="1">
      <alignment horizontal="right" vertical="center"/>
    </xf>
    <xf numFmtId="3" fontId="21" fillId="0" borderId="35" xfId="0" applyNumberFormat="1" applyFont="1" applyBorder="1" applyAlignment="1">
      <alignment horizontal="right" vertical="center"/>
    </xf>
    <xf numFmtId="3" fontId="21" fillId="0" borderId="0" xfId="0" applyNumberFormat="1" applyFont="1" applyAlignment="1">
      <alignment horizontal="right" vertical="top"/>
    </xf>
    <xf numFmtId="3" fontId="18" fillId="0" borderId="33" xfId="0" applyNumberFormat="1" applyFont="1" applyBorder="1" applyAlignment="1">
      <alignment horizontal="center"/>
    </xf>
    <xf numFmtId="3" fontId="18" fillId="0" borderId="91" xfId="0" applyNumberFormat="1" applyFont="1" applyBorder="1" applyAlignment="1">
      <alignment horizontal="center"/>
    </xf>
    <xf numFmtId="3" fontId="21" fillId="0" borderId="56" xfId="0" applyNumberFormat="1" applyFont="1" applyBorder="1"/>
    <xf numFmtId="3" fontId="21" fillId="0" borderId="99" xfId="0" applyNumberFormat="1" applyFont="1" applyBorder="1"/>
    <xf numFmtId="3" fontId="21" fillId="0" borderId="34" xfId="0" applyNumberFormat="1" applyFont="1" applyBorder="1" applyAlignment="1">
      <alignment horizontal="right"/>
    </xf>
    <xf numFmtId="3" fontId="21" fillId="0" borderId="39" xfId="0" applyNumberFormat="1" applyFont="1" applyBorder="1" applyAlignment="1">
      <alignment horizontal="right"/>
    </xf>
    <xf numFmtId="3" fontId="21" fillId="0" borderId="35" xfId="0" applyNumberFormat="1" applyFont="1" applyBorder="1" applyAlignment="1">
      <alignment horizontal="right"/>
    </xf>
    <xf numFmtId="3" fontId="18" fillId="0" borderId="17" xfId="30" applyNumberFormat="1" applyFont="1" applyBorder="1"/>
    <xf numFmtId="3" fontId="21" fillId="0" borderId="0" xfId="0" applyNumberFormat="1" applyFont="1"/>
    <xf numFmtId="3" fontId="21" fillId="0" borderId="13" xfId="0" applyNumberFormat="1" applyFont="1" applyBorder="1" applyAlignment="1">
      <alignment horizontal="center"/>
    </xf>
    <xf numFmtId="3" fontId="35" fillId="0" borderId="17" xfId="30" applyNumberFormat="1" applyFont="1" applyBorder="1"/>
    <xf numFmtId="3" fontId="21" fillId="0" borderId="13" xfId="0" applyNumberFormat="1" applyFont="1" applyBorder="1"/>
    <xf numFmtId="3" fontId="20" fillId="0" borderId="12" xfId="0" applyNumberFormat="1" applyFont="1" applyBorder="1" applyAlignment="1">
      <alignment horizontal="center"/>
    </xf>
    <xf numFmtId="3" fontId="20" fillId="0" borderId="13" xfId="0" applyNumberFormat="1" applyFont="1" applyBorder="1" applyAlignment="1">
      <alignment horizontal="center"/>
    </xf>
    <xf numFmtId="3" fontId="20" fillId="0" borderId="13" xfId="30" applyNumberFormat="1" applyFont="1" applyBorder="1" applyAlignment="1">
      <alignment horizontal="center"/>
    </xf>
    <xf numFmtId="3" fontId="20" fillId="0" borderId="14" xfId="0" applyNumberFormat="1" applyFont="1" applyBorder="1"/>
    <xf numFmtId="3" fontId="24" fillId="0" borderId="0" xfId="0" applyNumberFormat="1" applyFont="1" applyAlignment="1">
      <alignment horizontal="right"/>
    </xf>
    <xf numFmtId="3" fontId="24" fillId="0" borderId="0" xfId="0" applyNumberFormat="1" applyFont="1"/>
    <xf numFmtId="3" fontId="24" fillId="0" borderId="13" xfId="0" applyNumberFormat="1" applyFont="1" applyBorder="1" applyAlignment="1">
      <alignment horizontal="center"/>
    </xf>
    <xf numFmtId="3" fontId="36" fillId="0" borderId="17" xfId="30" applyNumberFormat="1" applyFont="1" applyBorder="1"/>
    <xf numFmtId="3" fontId="24" fillId="0" borderId="13" xfId="0" applyNumberFormat="1" applyFont="1" applyBorder="1"/>
    <xf numFmtId="3" fontId="36" fillId="0" borderId="0" xfId="0" applyNumberFormat="1" applyFont="1" applyAlignment="1">
      <alignment horizontal="right"/>
    </xf>
    <xf numFmtId="3" fontId="36" fillId="0" borderId="0" xfId="0" applyNumberFormat="1" applyFont="1"/>
    <xf numFmtId="3" fontId="18" fillId="0" borderId="13" xfId="0" applyNumberFormat="1" applyFont="1" applyBorder="1" applyAlignment="1">
      <alignment horizontal="right" vertical="center"/>
    </xf>
    <xf numFmtId="3" fontId="21" fillId="0" borderId="13" xfId="0" applyNumberFormat="1" applyFont="1" applyBorder="1" applyAlignment="1">
      <alignment horizontal="right" vertical="center"/>
    </xf>
    <xf numFmtId="3" fontId="21" fillId="0" borderId="14" xfId="0" applyNumberFormat="1" applyFont="1" applyBorder="1" applyAlignment="1">
      <alignment horizontal="right" vertical="center"/>
    </xf>
    <xf numFmtId="3" fontId="35" fillId="0" borderId="13" xfId="0" applyNumberFormat="1" applyFont="1" applyBorder="1" applyAlignment="1">
      <alignment horizontal="right" vertical="center"/>
    </xf>
    <xf numFmtId="3" fontId="35" fillId="0" borderId="14" xfId="0" applyNumberFormat="1" applyFont="1" applyBorder="1" applyAlignment="1">
      <alignment horizontal="right" vertical="center"/>
    </xf>
    <xf numFmtId="3" fontId="18" fillId="0" borderId="13" xfId="30" applyNumberFormat="1" applyFont="1" applyBorder="1" applyAlignment="1">
      <alignment vertical="top" wrapText="1"/>
    </xf>
    <xf numFmtId="3" fontId="18" fillId="0" borderId="17" xfId="30" applyNumberFormat="1" applyFont="1" applyBorder="1" applyAlignment="1">
      <alignment vertical="top" wrapText="1"/>
    </xf>
    <xf numFmtId="3" fontId="43" fillId="0" borderId="17" xfId="30" applyNumberFormat="1" applyFont="1" applyBorder="1" applyAlignment="1">
      <alignment horizontal="left" wrapText="1"/>
    </xf>
    <xf numFmtId="3" fontId="43" fillId="0" borderId="0" xfId="0" applyNumberFormat="1" applyFont="1" applyAlignment="1">
      <alignment horizontal="right" vertical="center"/>
    </xf>
    <xf numFmtId="3" fontId="43" fillId="0" borderId="0" xfId="0" applyNumberFormat="1" applyFont="1" applyAlignment="1">
      <alignment vertical="center"/>
    </xf>
    <xf numFmtId="3" fontId="18" fillId="0" borderId="52" xfId="0" applyNumberFormat="1" applyFont="1" applyBorder="1"/>
    <xf numFmtId="3" fontId="21" fillId="0" borderId="11" xfId="30" applyNumberFormat="1" applyFont="1" applyBorder="1" applyAlignment="1">
      <alignment horizontal="center" vertical="center"/>
    </xf>
    <xf numFmtId="3" fontId="18" fillId="0" borderId="34" xfId="30" applyNumberFormat="1" applyFont="1" applyBorder="1" applyAlignment="1">
      <alignment horizontal="center" vertical="center"/>
    </xf>
    <xf numFmtId="3" fontId="24" fillId="0" borderId="34" xfId="0" applyNumberFormat="1" applyFont="1" applyBorder="1" applyAlignment="1">
      <alignment vertical="center"/>
    </xf>
    <xf numFmtId="3" fontId="24" fillId="0" borderId="39" xfId="0" applyNumberFormat="1" applyFont="1" applyBorder="1" applyAlignment="1">
      <alignment vertical="center"/>
    </xf>
    <xf numFmtId="3" fontId="24" fillId="0" borderId="35" xfId="0" applyNumberFormat="1" applyFont="1" applyBorder="1" applyAlignment="1">
      <alignment vertical="center"/>
    </xf>
    <xf numFmtId="3" fontId="21" fillId="0" borderId="34" xfId="0" applyNumberFormat="1" applyFont="1" applyBorder="1" applyAlignment="1">
      <alignment horizontal="center" vertical="center"/>
    </xf>
    <xf numFmtId="3" fontId="21" fillId="0" borderId="39" xfId="0" applyNumberFormat="1" applyFont="1" applyBorder="1" applyAlignment="1">
      <alignment horizontal="right" vertical="center"/>
    </xf>
    <xf numFmtId="3" fontId="21" fillId="0" borderId="38" xfId="0" applyNumberFormat="1" applyFont="1" applyBorder="1" applyAlignment="1">
      <alignment horizontal="right" vertical="center"/>
    </xf>
    <xf numFmtId="3" fontId="18" fillId="0" borderId="14" xfId="0" applyNumberFormat="1" applyFont="1" applyBorder="1" applyAlignment="1">
      <alignment vertical="center"/>
    </xf>
    <xf numFmtId="3" fontId="36" fillId="0" borderId="12" xfId="0" applyNumberFormat="1" applyFont="1" applyBorder="1" applyAlignment="1">
      <alignment horizontal="left" vertical="center" wrapText="1"/>
    </xf>
    <xf numFmtId="3" fontId="36" fillId="0" borderId="82" xfId="0" applyNumberFormat="1" applyFont="1" applyBorder="1" applyAlignment="1">
      <alignment horizontal="left" vertical="center" wrapText="1"/>
    </xf>
    <xf numFmtId="3" fontId="36" fillId="0" borderId="13" xfId="0" applyNumberFormat="1" applyFont="1" applyBorder="1" applyAlignment="1">
      <alignment horizontal="left" vertical="center" wrapText="1"/>
    </xf>
    <xf numFmtId="3" fontId="36" fillId="0" borderId="13" xfId="0" applyNumberFormat="1" applyFont="1" applyBorder="1" applyAlignment="1">
      <alignment horizontal="right" vertical="center"/>
    </xf>
    <xf numFmtId="3" fontId="18" fillId="0" borderId="13" xfId="0" applyNumberFormat="1" applyFont="1" applyBorder="1" applyAlignment="1">
      <alignment horizontal="center" vertical="center" wrapText="1"/>
    </xf>
    <xf numFmtId="3" fontId="18" fillId="0" borderId="14" xfId="0" applyNumberFormat="1" applyFont="1" applyBorder="1" applyAlignment="1">
      <alignment horizontal="right" vertical="center"/>
    </xf>
    <xf numFmtId="3" fontId="18" fillId="0" borderId="13" xfId="0" applyNumberFormat="1" applyFont="1" applyBorder="1" applyAlignment="1">
      <alignment horizontal="right" vertical="top"/>
    </xf>
    <xf numFmtId="3" fontId="15" fillId="0" borderId="78" xfId="0" applyNumberFormat="1" applyFont="1" applyBorder="1"/>
    <xf numFmtId="3" fontId="18" fillId="0" borderId="78" xfId="0" applyNumberFormat="1" applyFont="1" applyBorder="1"/>
    <xf numFmtId="3" fontId="18" fillId="0" borderId="78" xfId="0" applyNumberFormat="1" applyFont="1" applyBorder="1" applyAlignment="1">
      <alignment horizontal="center"/>
    </xf>
    <xf numFmtId="3" fontId="18" fillId="0" borderId="78" xfId="0" applyNumberFormat="1" applyFont="1" applyBorder="1" applyAlignment="1">
      <alignment horizontal="right"/>
    </xf>
    <xf numFmtId="3" fontId="21" fillId="0" borderId="78" xfId="0" applyNumberFormat="1" applyFont="1" applyBorder="1" applyAlignment="1">
      <alignment horizontal="right"/>
    </xf>
    <xf numFmtId="3" fontId="20" fillId="0" borderId="0" xfId="0" applyNumberFormat="1" applyFont="1"/>
    <xf numFmtId="14" fontId="11" fillId="0" borderId="123" xfId="29" applyNumberFormat="1" applyFont="1" applyBorder="1" applyAlignment="1">
      <alignment horizontal="center" vertical="center" wrapText="1"/>
    </xf>
    <xf numFmtId="3" fontId="11" fillId="0" borderId="82" xfId="29" applyNumberFormat="1" applyFont="1" applyBorder="1" applyAlignment="1">
      <alignment horizontal="center" vertical="center" wrapText="1"/>
    </xf>
    <xf numFmtId="3" fontId="11" fillId="0" borderId="184" xfId="29" applyNumberFormat="1" applyFont="1" applyBorder="1" applyAlignment="1">
      <alignment horizontal="right" vertical="center" wrapText="1"/>
    </xf>
    <xf numFmtId="3" fontId="11" fillId="0" borderId="17" xfId="29" applyNumberFormat="1" applyFont="1" applyBorder="1" applyAlignment="1">
      <alignment horizontal="right" vertical="center" wrapText="1"/>
    </xf>
    <xf numFmtId="3" fontId="11" fillId="0" borderId="116" xfId="29" applyNumberFormat="1" applyFont="1" applyBorder="1" applyAlignment="1">
      <alignment horizontal="right" vertical="center" wrapText="1"/>
    </xf>
    <xf numFmtId="3" fontId="11" fillId="0" borderId="158" xfId="29" applyNumberFormat="1" applyFont="1" applyBorder="1" applyAlignment="1">
      <alignment horizontal="center" vertical="center" wrapText="1"/>
    </xf>
    <xf numFmtId="3" fontId="11" fillId="0" borderId="185" xfId="29" applyNumberFormat="1" applyFont="1" applyBorder="1" applyAlignment="1">
      <alignment horizontal="center" vertical="center" wrapText="1"/>
    </xf>
    <xf numFmtId="0" fontId="11" fillId="0" borderId="40" xfId="29" applyFont="1" applyBorder="1" applyAlignment="1">
      <alignment horizontal="center" vertical="center" wrapText="1"/>
    </xf>
    <xf numFmtId="0" fontId="11" fillId="0" borderId="158" xfId="29" applyFont="1" applyBorder="1" applyAlignment="1">
      <alignment horizontal="center" vertical="center" wrapText="1"/>
    </xf>
    <xf numFmtId="3" fontId="11" fillId="0" borderId="93" xfId="29" applyNumberFormat="1" applyFont="1" applyBorder="1" applyAlignment="1">
      <alignment horizontal="center" vertical="center" wrapText="1"/>
    </xf>
    <xf numFmtId="0" fontId="11" fillId="0" borderId="85" xfId="29" applyFont="1" applyBorder="1" applyAlignment="1">
      <alignment horizontal="center" vertical="center" wrapText="1"/>
    </xf>
    <xf numFmtId="0" fontId="11" fillId="0" borderId="185" xfId="29" applyFont="1" applyBorder="1" applyAlignment="1">
      <alignment horizontal="center" vertical="center" wrapText="1"/>
    </xf>
    <xf numFmtId="3" fontId="20" fillId="0" borderId="22" xfId="0" applyNumberFormat="1" applyFont="1" applyBorder="1"/>
    <xf numFmtId="3" fontId="36" fillId="0" borderId="14" xfId="0" applyNumberFormat="1" applyFont="1" applyBorder="1"/>
    <xf numFmtId="0" fontId="27" fillId="0" borderId="14" xfId="0" applyFont="1" applyBorder="1"/>
    <xf numFmtId="3" fontId="24" fillId="0" borderId="87" xfId="0" applyNumberFormat="1" applyFont="1" applyBorder="1"/>
    <xf numFmtId="3" fontId="36" fillId="0" borderId="37" xfId="0" applyNumberFormat="1" applyFont="1" applyBorder="1"/>
    <xf numFmtId="3" fontId="21" fillId="0" borderId="87" xfId="0" applyNumberFormat="1" applyFont="1" applyBorder="1"/>
    <xf numFmtId="3" fontId="20" fillId="0" borderId="35" xfId="0" applyNumberFormat="1" applyFont="1" applyBorder="1"/>
    <xf numFmtId="3" fontId="24" fillId="0" borderId="35" xfId="0" applyNumberFormat="1" applyFont="1" applyBorder="1"/>
    <xf numFmtId="3" fontId="18" fillId="0" borderId="4" xfId="0" applyNumberFormat="1" applyFont="1" applyBorder="1" applyAlignment="1">
      <alignment horizontal="center" vertical="center" wrapText="1"/>
    </xf>
    <xf numFmtId="3" fontId="18" fillId="0" borderId="82" xfId="30" applyNumberFormat="1" applyFont="1" applyBorder="1" applyAlignment="1">
      <alignment horizontal="left"/>
    </xf>
    <xf numFmtId="0" fontId="11" fillId="0" borderId="4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43" xfId="0" applyFont="1" applyBorder="1" applyAlignment="1">
      <alignment horizontal="center"/>
    </xf>
    <xf numFmtId="0" fontId="11" fillId="0" borderId="5" xfId="0" applyFont="1" applyBorder="1" applyAlignment="1">
      <alignment horizontal="center"/>
    </xf>
    <xf numFmtId="0" fontId="11" fillId="0" borderId="44" xfId="0" applyFont="1" applyBorder="1" applyAlignment="1">
      <alignment horizontal="center"/>
    </xf>
    <xf numFmtId="0" fontId="11" fillId="0" borderId="25" xfId="0" applyFont="1" applyBorder="1" applyAlignment="1">
      <alignment horizontal="center"/>
    </xf>
    <xf numFmtId="0" fontId="11" fillId="0" borderId="65" xfId="0" applyFont="1" applyBorder="1" applyAlignment="1">
      <alignment horizontal="center"/>
    </xf>
    <xf numFmtId="0" fontId="11" fillId="0" borderId="147" xfId="0" applyFont="1" applyBorder="1" applyAlignment="1">
      <alignment horizontal="center"/>
    </xf>
    <xf numFmtId="0" fontId="11" fillId="0" borderId="67" xfId="0" applyFont="1" applyBorder="1" applyAlignment="1">
      <alignment horizontal="center"/>
    </xf>
    <xf numFmtId="0" fontId="11" fillId="0" borderId="68" xfId="0" applyFont="1" applyBorder="1" applyAlignment="1">
      <alignment horizontal="center"/>
    </xf>
    <xf numFmtId="0" fontId="11" fillId="0" borderId="70" xfId="0" applyFont="1" applyBorder="1" applyAlignment="1">
      <alignment horizontal="center"/>
    </xf>
    <xf numFmtId="0" fontId="11" fillId="0" borderId="2" xfId="0" applyFont="1" applyBorder="1" applyAlignment="1">
      <alignment horizontal="center"/>
    </xf>
    <xf numFmtId="0" fontId="11" fillId="0" borderId="3" xfId="0" applyFont="1" applyBorder="1" applyAlignment="1">
      <alignment horizontal="center"/>
    </xf>
    <xf numFmtId="3" fontId="11" fillId="0" borderId="5" xfId="0" applyNumberFormat="1" applyFont="1" applyBorder="1" applyAlignment="1">
      <alignment horizontal="center"/>
    </xf>
    <xf numFmtId="3" fontId="11" fillId="0" borderId="25" xfId="0" applyNumberFormat="1" applyFont="1" applyBorder="1" applyAlignment="1">
      <alignment horizontal="center"/>
    </xf>
    <xf numFmtId="3" fontId="11" fillId="0" borderId="6" xfId="0" applyNumberFormat="1" applyFont="1" applyBorder="1" applyAlignment="1">
      <alignment horizontal="center"/>
    </xf>
    <xf numFmtId="0" fontId="11" fillId="0" borderId="57" xfId="0" applyFont="1" applyBorder="1" applyAlignment="1">
      <alignment horizontal="center" vertical="center"/>
    </xf>
    <xf numFmtId="3" fontId="13" fillId="0" borderId="0" xfId="27" applyNumberFormat="1" applyFont="1" applyAlignment="1">
      <alignment horizontal="center" vertical="center"/>
    </xf>
    <xf numFmtId="3" fontId="11" fillId="0" borderId="31" xfId="31" applyNumberFormat="1" applyFont="1" applyBorder="1" applyAlignment="1">
      <alignment horizontal="right"/>
    </xf>
    <xf numFmtId="3" fontId="11" fillId="0" borderId="182" xfId="31" applyNumberFormat="1" applyFont="1" applyBorder="1" applyAlignment="1">
      <alignment horizontal="right"/>
    </xf>
    <xf numFmtId="3" fontId="11" fillId="0" borderId="105" xfId="31" applyNumberFormat="1" applyFont="1" applyBorder="1" applyAlignment="1">
      <alignment horizontal="right"/>
    </xf>
    <xf numFmtId="3" fontId="11" fillId="0" borderId="123" xfId="31" applyNumberFormat="1" applyFont="1" applyBorder="1" applyAlignment="1">
      <alignment horizontal="right"/>
    </xf>
    <xf numFmtId="0" fontId="11" fillId="0" borderId="13" xfId="28" applyFont="1" applyBorder="1" applyAlignment="1">
      <alignment horizontal="left" wrapText="1"/>
    </xf>
    <xf numFmtId="0" fontId="11" fillId="0" borderId="97" xfId="31" applyFont="1" applyBorder="1" applyAlignment="1">
      <alignment horizontal="center"/>
    </xf>
    <xf numFmtId="3" fontId="13" fillId="0" borderId="183" xfId="31" applyNumberFormat="1" applyFont="1" applyBorder="1" applyAlignment="1">
      <alignment horizontal="right"/>
    </xf>
    <xf numFmtId="0" fontId="13" fillId="0" borderId="96" xfId="31" applyFont="1" applyBorder="1" applyAlignment="1">
      <alignment horizontal="center" wrapText="1"/>
    </xf>
    <xf numFmtId="3" fontId="13" fillId="0" borderId="188" xfId="31" applyNumberFormat="1" applyFont="1" applyBorder="1" applyAlignment="1">
      <alignment horizontal="right"/>
    </xf>
    <xf numFmtId="3" fontId="40" fillId="0" borderId="79" xfId="28" applyNumberFormat="1" applyFont="1" applyBorder="1" applyAlignment="1">
      <alignment horizontal="right" wrapText="1"/>
    </xf>
    <xf numFmtId="3" fontId="11" fillId="0" borderId="13" xfId="31" applyNumberFormat="1" applyFont="1" applyBorder="1" applyAlignment="1">
      <alignment horizontal="right" vertical="top"/>
    </xf>
    <xf numFmtId="3" fontId="13" fillId="0" borderId="13" xfId="31" applyNumberFormat="1" applyFont="1" applyBorder="1" applyAlignment="1">
      <alignment horizontal="right" vertical="top"/>
    </xf>
    <xf numFmtId="3" fontId="11" fillId="0" borderId="105" xfId="31" applyNumberFormat="1" applyFont="1" applyBorder="1" applyAlignment="1">
      <alignment horizontal="right" vertical="top"/>
    </xf>
    <xf numFmtId="3" fontId="11" fillId="0" borderId="96" xfId="28" applyNumberFormat="1" applyFont="1" applyBorder="1" applyAlignment="1">
      <alignment horizontal="right" wrapText="1"/>
    </xf>
    <xf numFmtId="0" fontId="11" fillId="0" borderId="13" xfId="28" applyFont="1" applyBorder="1" applyAlignment="1">
      <alignment horizontal="left" shrinkToFit="1"/>
    </xf>
    <xf numFmtId="0" fontId="11" fillId="0" borderId="13" xfId="28" applyFont="1" applyBorder="1" applyAlignment="1">
      <alignment horizontal="left" wrapText="1" shrinkToFit="1"/>
    </xf>
    <xf numFmtId="3" fontId="47" fillId="0" borderId="82" xfId="28" applyNumberFormat="1" applyFont="1" applyBorder="1" applyAlignment="1">
      <alignment horizontal="right" wrapText="1"/>
    </xf>
    <xf numFmtId="3" fontId="48" fillId="0" borderId="82" xfId="28" applyNumberFormat="1" applyFont="1" applyBorder="1" applyAlignment="1">
      <alignment horizontal="right" wrapText="1"/>
    </xf>
    <xf numFmtId="3" fontId="48" fillId="0" borderId="96" xfId="28" applyNumberFormat="1" applyFont="1" applyBorder="1" applyAlignment="1">
      <alignment horizontal="right" wrapText="1"/>
    </xf>
    <xf numFmtId="0" fontId="11" fillId="0" borderId="20" xfId="31" applyFont="1" applyBorder="1" applyAlignment="1">
      <alignment horizontal="center"/>
    </xf>
    <xf numFmtId="3" fontId="47" fillId="0" borderId="96" xfId="28" applyNumberFormat="1" applyFont="1" applyBorder="1" applyAlignment="1">
      <alignment horizontal="right" wrapText="1"/>
    </xf>
    <xf numFmtId="3" fontId="11" fillId="0" borderId="55" xfId="28" applyNumberFormat="1" applyFont="1" applyBorder="1" applyAlignment="1">
      <alignment horizontal="right" wrapText="1"/>
    </xf>
    <xf numFmtId="3" fontId="13" fillId="0" borderId="79" xfId="28" applyNumberFormat="1" applyFont="1" applyBorder="1" applyAlignment="1">
      <alignment horizontal="right" wrapText="1"/>
    </xf>
    <xf numFmtId="3" fontId="11" fillId="0" borderId="183" xfId="31" applyNumberFormat="1" applyFont="1" applyBorder="1" applyAlignment="1">
      <alignment horizontal="right"/>
    </xf>
    <xf numFmtId="0" fontId="11" fillId="0" borderId="36" xfId="31" applyFont="1" applyBorder="1" applyAlignment="1">
      <alignment horizontal="center" vertical="top"/>
    </xf>
    <xf numFmtId="3" fontId="39" fillId="0" borderId="92" xfId="31" applyNumberFormat="1" applyFont="1" applyBorder="1" applyAlignment="1">
      <alignment horizontal="right"/>
    </xf>
    <xf numFmtId="3" fontId="39" fillId="0" borderId="36" xfId="31" applyNumberFormat="1" applyFont="1" applyBorder="1" applyAlignment="1">
      <alignment horizontal="right"/>
    </xf>
    <xf numFmtId="3" fontId="40" fillId="0" borderId="36" xfId="31" applyNumberFormat="1" applyFont="1" applyBorder="1" applyAlignment="1">
      <alignment horizontal="right"/>
    </xf>
    <xf numFmtId="0" fontId="11" fillId="0" borderId="119" xfId="31" applyFont="1" applyBorder="1" applyAlignment="1">
      <alignment horizontal="center" wrapText="1"/>
    </xf>
    <xf numFmtId="3" fontId="39" fillId="0" borderId="115" xfId="31" applyNumberFormat="1" applyFont="1" applyBorder="1" applyAlignment="1">
      <alignment horizontal="right"/>
    </xf>
    <xf numFmtId="3" fontId="40" fillId="0" borderId="115" xfId="31" applyNumberFormat="1" applyFont="1" applyBorder="1" applyAlignment="1">
      <alignment horizontal="right"/>
    </xf>
    <xf numFmtId="3" fontId="11" fillId="0" borderId="17" xfId="31" applyNumberFormat="1" applyFont="1" applyBorder="1" applyAlignment="1">
      <alignment horizontal="right" vertical="top"/>
    </xf>
    <xf numFmtId="3" fontId="18" fillId="0" borderId="13" xfId="27" applyNumberFormat="1" applyFont="1" applyBorder="1" applyAlignment="1">
      <alignment shrinkToFit="1"/>
    </xf>
    <xf numFmtId="3" fontId="43" fillId="0" borderId="19" xfId="0" applyNumberFormat="1" applyFont="1" applyBorder="1" applyAlignment="1">
      <alignment horizontal="center"/>
    </xf>
    <xf numFmtId="3" fontId="43" fillId="0" borderId="18" xfId="30" applyNumberFormat="1" applyFont="1" applyBorder="1" applyAlignment="1">
      <alignment horizontal="center"/>
    </xf>
    <xf numFmtId="3" fontId="43" fillId="0" borderId="18" xfId="0" applyNumberFormat="1" applyFont="1" applyBorder="1" applyAlignment="1">
      <alignment vertical="center"/>
    </xf>
    <xf numFmtId="3" fontId="35" fillId="0" borderId="51" xfId="0" applyNumberFormat="1" applyFont="1" applyBorder="1"/>
    <xf numFmtId="3" fontId="35" fillId="0" borderId="18" xfId="0" applyNumberFormat="1" applyFont="1" applyBorder="1" applyAlignment="1">
      <alignment horizontal="right" vertical="center"/>
    </xf>
    <xf numFmtId="3" fontId="35" fillId="0" borderId="22" xfId="0" applyNumberFormat="1" applyFont="1" applyBorder="1" applyAlignment="1">
      <alignment horizontal="right" vertical="center"/>
    </xf>
    <xf numFmtId="3" fontId="18" fillId="0" borderId="36" xfId="30" applyNumberFormat="1" applyFont="1" applyBorder="1" applyAlignment="1">
      <alignment horizontal="left"/>
    </xf>
    <xf numFmtId="3" fontId="18" fillId="0" borderId="90" xfId="0" applyNumberFormat="1" applyFont="1" applyBorder="1" applyAlignment="1">
      <alignment vertical="center"/>
    </xf>
    <xf numFmtId="3" fontId="18" fillId="0" borderId="13" xfId="30" applyNumberFormat="1" applyFont="1" applyBorder="1" applyAlignment="1">
      <alignment horizontal="left" wrapText="1"/>
    </xf>
    <xf numFmtId="3" fontId="39" fillId="0" borderId="14" xfId="27" applyNumberFormat="1" applyFont="1" applyBorder="1"/>
    <xf numFmtId="3" fontId="13" fillId="0" borderId="82" xfId="31" applyNumberFormat="1" applyFont="1" applyBorder="1" applyAlignment="1">
      <alignment horizontal="right"/>
    </xf>
    <xf numFmtId="14" fontId="11" fillId="0" borderId="106" xfId="29" applyNumberFormat="1" applyFont="1" applyBorder="1" applyAlignment="1">
      <alignment horizontal="center" vertical="center" wrapText="1"/>
    </xf>
    <xf numFmtId="3" fontId="11" fillId="0" borderId="88" xfId="29" applyNumberFormat="1" applyFont="1" applyBorder="1" applyAlignment="1">
      <alignment horizontal="center" wrapText="1"/>
    </xf>
    <xf numFmtId="3" fontId="11" fillId="0" borderId="90" xfId="29" applyNumberFormat="1" applyFont="1" applyBorder="1" applyAlignment="1">
      <alignment horizontal="center" vertical="center" wrapText="1"/>
    </xf>
    <xf numFmtId="0" fontId="11" fillId="0" borderId="13" xfId="29" applyFont="1" applyBorder="1" applyAlignment="1">
      <alignment horizontal="center" vertical="center" wrapText="1"/>
    </xf>
    <xf numFmtId="3" fontId="13" fillId="0" borderId="122" xfId="29" applyNumberFormat="1" applyFont="1" applyBorder="1" applyAlignment="1">
      <alignment horizontal="right" vertical="center"/>
    </xf>
    <xf numFmtId="3" fontId="11" fillId="0" borderId="0" xfId="29" applyNumberFormat="1" applyFont="1" applyAlignment="1">
      <alignment horizontal="right" vertical="center" wrapText="1"/>
    </xf>
    <xf numFmtId="3" fontId="11" fillId="0" borderId="13" xfId="28" applyNumberFormat="1" applyFont="1" applyBorder="1" applyAlignment="1">
      <alignment horizontal="right" vertical="top"/>
    </xf>
    <xf numFmtId="3" fontId="18" fillId="0" borderId="20" xfId="0" applyNumberFormat="1" applyFont="1" applyBorder="1" applyAlignment="1">
      <alignment horizontal="center" wrapText="1"/>
    </xf>
    <xf numFmtId="3" fontId="18" fillId="0" borderId="18" xfId="0" applyNumberFormat="1" applyFont="1" applyBorder="1" applyAlignment="1">
      <alignment horizontal="center" wrapText="1"/>
    </xf>
    <xf numFmtId="3" fontId="21" fillId="0" borderId="10" xfId="27" applyNumberFormat="1" applyFont="1" applyBorder="1" applyAlignment="1">
      <alignment horizontal="center" vertical="center"/>
    </xf>
    <xf numFmtId="3" fontId="35" fillId="0" borderId="83" xfId="0" applyNumberFormat="1" applyFont="1" applyBorder="1" applyAlignment="1">
      <alignment vertical="center"/>
    </xf>
    <xf numFmtId="3" fontId="35" fillId="0" borderId="187" xfId="0" applyNumberFormat="1" applyFont="1" applyBorder="1" applyAlignment="1">
      <alignment vertical="center"/>
    </xf>
    <xf numFmtId="3" fontId="18" fillId="0" borderId="112" xfId="0" applyNumberFormat="1" applyFont="1" applyBorder="1" applyAlignment="1">
      <alignment horizontal="center" wrapText="1"/>
    </xf>
    <xf numFmtId="3" fontId="18" fillId="0" borderId="113" xfId="0" applyNumberFormat="1" applyFont="1" applyBorder="1" applyAlignment="1">
      <alignment horizontal="center" wrapText="1"/>
    </xf>
    <xf numFmtId="0" fontId="11" fillId="0" borderId="132" xfId="31" applyFont="1" applyBorder="1" applyAlignment="1">
      <alignment horizontal="center" wrapText="1"/>
    </xf>
    <xf numFmtId="0" fontId="11" fillId="0" borderId="52" xfId="31" applyFont="1" applyBorder="1" applyAlignment="1">
      <alignment horizontal="center"/>
    </xf>
    <xf numFmtId="3" fontId="11" fillId="0" borderId="36" xfId="28" applyNumberFormat="1" applyFont="1" applyBorder="1" applyAlignment="1">
      <alignment horizontal="right"/>
    </xf>
    <xf numFmtId="0" fontId="11" fillId="0" borderId="39" xfId="31" applyFont="1" applyBorder="1" applyAlignment="1">
      <alignment horizontal="center" wrapText="1"/>
    </xf>
    <xf numFmtId="3" fontId="40" fillId="0" borderId="91" xfId="28" applyNumberFormat="1" applyFont="1" applyBorder="1" applyAlignment="1">
      <alignment horizontal="right" wrapText="1"/>
    </xf>
    <xf numFmtId="3" fontId="11" fillId="0" borderId="192" xfId="31" applyNumberFormat="1" applyFont="1" applyBorder="1" applyAlignment="1">
      <alignment horizontal="right"/>
    </xf>
    <xf numFmtId="3" fontId="39" fillId="0" borderId="131" xfId="28" applyNumberFormat="1" applyFont="1" applyBorder="1" applyAlignment="1">
      <alignment horizontal="right" wrapText="1"/>
    </xf>
    <xf numFmtId="3" fontId="40" fillId="0" borderId="92" xfId="28" applyNumberFormat="1" applyFont="1" applyBorder="1" applyAlignment="1">
      <alignment horizontal="right" wrapText="1"/>
    </xf>
    <xf numFmtId="3" fontId="39" fillId="0" borderId="36" xfId="28" applyNumberFormat="1" applyFont="1" applyBorder="1" applyAlignment="1">
      <alignment horizontal="right" wrapText="1"/>
    </xf>
    <xf numFmtId="3" fontId="48" fillId="0" borderId="112" xfId="28" applyNumberFormat="1" applyFont="1" applyBorder="1" applyAlignment="1">
      <alignment vertical="center" wrapText="1"/>
    </xf>
    <xf numFmtId="3" fontId="48" fillId="0" borderId="113" xfId="28" applyNumberFormat="1" applyFont="1" applyBorder="1" applyAlignment="1">
      <alignment vertical="center" wrapText="1"/>
    </xf>
    <xf numFmtId="3" fontId="39" fillId="0" borderId="54" xfId="31" applyNumberFormat="1" applyFont="1" applyBorder="1" applyAlignment="1">
      <alignment horizontal="right"/>
    </xf>
    <xf numFmtId="3" fontId="40" fillId="0" borderId="54" xfId="31" applyNumberFormat="1" applyFont="1" applyBorder="1" applyAlignment="1">
      <alignment horizontal="right"/>
    </xf>
    <xf numFmtId="0" fontId="13" fillId="0" borderId="18" xfId="28" applyFont="1" applyBorder="1" applyAlignment="1">
      <alignment horizontal="center"/>
    </xf>
    <xf numFmtId="0" fontId="11" fillId="0" borderId="0" xfId="32" applyFont="1"/>
    <xf numFmtId="0" fontId="11" fillId="0" borderId="0" xfId="32" applyFont="1" applyAlignment="1">
      <alignment horizontal="center"/>
    </xf>
    <xf numFmtId="3" fontId="11" fillId="0" borderId="13" xfId="29" applyNumberFormat="1" applyFont="1" applyBorder="1" applyAlignment="1">
      <alignment horizontal="left" vertical="center" wrapText="1"/>
    </xf>
    <xf numFmtId="0" fontId="13" fillId="0" borderId="180" xfId="31" applyFont="1" applyBorder="1" applyAlignment="1">
      <alignment horizontal="center"/>
    </xf>
    <xf numFmtId="3" fontId="11" fillId="0" borderId="108" xfId="31" applyNumberFormat="1" applyFont="1" applyBorder="1" applyAlignment="1">
      <alignment horizontal="right"/>
    </xf>
    <xf numFmtId="3" fontId="40" fillId="0" borderId="92" xfId="31" applyNumberFormat="1" applyFont="1" applyBorder="1" applyAlignment="1">
      <alignment horizontal="right"/>
    </xf>
    <xf numFmtId="0" fontId="11" fillId="0" borderId="117" xfId="31" applyFont="1" applyBorder="1" applyAlignment="1">
      <alignment horizontal="center" vertical="top" wrapText="1"/>
    </xf>
    <xf numFmtId="3" fontId="11" fillId="0" borderId="108" xfId="31" applyNumberFormat="1" applyFont="1" applyBorder="1" applyAlignment="1">
      <alignment horizontal="right" vertical="top"/>
    </xf>
    <xf numFmtId="3" fontId="39" fillId="0" borderId="14" xfId="31" applyNumberFormat="1" applyFont="1" applyBorder="1" applyAlignment="1">
      <alignment horizontal="right"/>
    </xf>
    <xf numFmtId="3" fontId="39" fillId="0" borderId="189" xfId="31" applyNumberFormat="1" applyFont="1" applyBorder="1" applyAlignment="1">
      <alignment horizontal="right"/>
    </xf>
    <xf numFmtId="3" fontId="20" fillId="0" borderId="88" xfId="27" applyNumberFormat="1" applyFont="1" applyBorder="1" applyAlignment="1">
      <alignment horizontal="center" vertical="center"/>
    </xf>
    <xf numFmtId="3" fontId="18" fillId="0" borderId="90" xfId="27" applyNumberFormat="1" applyFont="1" applyBorder="1" applyAlignment="1">
      <alignment horizontal="center" vertical="top"/>
    </xf>
    <xf numFmtId="3" fontId="18" fillId="0" borderId="90" xfId="27" applyNumberFormat="1" applyFont="1" applyBorder="1" applyAlignment="1">
      <alignment horizontal="center"/>
    </xf>
    <xf numFmtId="3" fontId="36" fillId="0" borderId="181" xfId="0" applyNumberFormat="1" applyFont="1" applyBorder="1" applyAlignment="1">
      <alignment horizontal="right" wrapText="1"/>
    </xf>
    <xf numFmtId="3" fontId="18" fillId="0" borderId="36" xfId="27" applyNumberFormat="1" applyFont="1" applyBorder="1" applyAlignment="1">
      <alignment wrapText="1"/>
    </xf>
    <xf numFmtId="3" fontId="35" fillId="0" borderId="181" xfId="0" applyNumberFormat="1" applyFont="1" applyBorder="1" applyAlignment="1">
      <alignment horizontal="right" wrapText="1"/>
    </xf>
    <xf numFmtId="3" fontId="44" fillId="0" borderId="82" xfId="0" applyNumberFormat="1" applyFont="1" applyBorder="1" applyAlignment="1">
      <alignment horizontal="right" wrapText="1"/>
    </xf>
    <xf numFmtId="3" fontId="13" fillId="0" borderId="13" xfId="27" applyNumberFormat="1" applyFont="1" applyBorder="1" applyAlignment="1">
      <alignment shrinkToFit="1"/>
    </xf>
    <xf numFmtId="3" fontId="11" fillId="2" borderId="0" xfId="27" applyNumberFormat="1" applyFont="1" applyFill="1"/>
    <xf numFmtId="3" fontId="11" fillId="2" borderId="0" xfId="27" applyNumberFormat="1" applyFont="1" applyFill="1" applyAlignment="1">
      <alignment horizontal="center"/>
    </xf>
    <xf numFmtId="3" fontId="13" fillId="0" borderId="157" xfId="31" applyNumberFormat="1" applyFont="1" applyBorder="1" applyAlignment="1">
      <alignment horizontal="right"/>
    </xf>
    <xf numFmtId="3" fontId="11" fillId="0" borderId="157" xfId="31" applyNumberFormat="1" applyFont="1" applyBorder="1" applyAlignment="1">
      <alignment horizontal="right"/>
    </xf>
    <xf numFmtId="3" fontId="48" fillId="0" borderId="53" xfId="28" applyNumberFormat="1" applyFont="1" applyBorder="1" applyAlignment="1">
      <alignment horizontal="right" wrapText="1"/>
    </xf>
    <xf numFmtId="3" fontId="48" fillId="0" borderId="131" xfId="28" applyNumberFormat="1" applyFont="1" applyBorder="1" applyAlignment="1">
      <alignment horizontal="right" wrapText="1"/>
    </xf>
    <xf numFmtId="0" fontId="11" fillId="0" borderId="54" xfId="31" applyFont="1" applyBorder="1" applyAlignment="1">
      <alignment horizontal="center" wrapText="1"/>
    </xf>
    <xf numFmtId="3" fontId="11" fillId="0" borderId="123" xfId="31" applyNumberFormat="1" applyFont="1" applyBorder="1" applyAlignment="1">
      <alignment horizontal="right" vertical="top"/>
    </xf>
    <xf numFmtId="0" fontId="11" fillId="0" borderId="17" xfId="28" applyFont="1" applyBorder="1" applyAlignment="1">
      <alignment horizontal="left" wrapText="1" shrinkToFit="1"/>
    </xf>
    <xf numFmtId="3" fontId="11" fillId="0" borderId="54" xfId="28" applyNumberFormat="1" applyFont="1" applyBorder="1" applyAlignment="1">
      <alignment horizontal="right" wrapText="1"/>
    </xf>
    <xf numFmtId="3" fontId="47" fillId="0" borderId="54" xfId="28" applyNumberFormat="1" applyFont="1" applyBorder="1" applyAlignment="1">
      <alignment horizontal="right" wrapText="1"/>
    </xf>
    <xf numFmtId="0" fontId="11" fillId="0" borderId="186" xfId="31" applyFont="1" applyBorder="1" applyAlignment="1">
      <alignment horizontal="center"/>
    </xf>
    <xf numFmtId="0" fontId="31" fillId="0" borderId="11" xfId="28" applyFont="1" applyBorder="1" applyAlignment="1">
      <alignment horizontal="left"/>
    </xf>
    <xf numFmtId="3" fontId="11" fillId="0" borderId="186" xfId="31" applyNumberFormat="1" applyFont="1" applyBorder="1" applyAlignment="1">
      <alignment horizontal="right"/>
    </xf>
    <xf numFmtId="3" fontId="11" fillId="0" borderId="195" xfId="31" applyNumberFormat="1" applyFont="1" applyBorder="1" applyAlignment="1">
      <alignment horizontal="right"/>
    </xf>
    <xf numFmtId="3" fontId="13" fillId="0" borderId="195" xfId="31" applyNumberFormat="1" applyFont="1" applyBorder="1" applyAlignment="1">
      <alignment horizontal="right"/>
    </xf>
    <xf numFmtId="3" fontId="48" fillId="0" borderId="105" xfId="28" applyNumberFormat="1" applyFont="1" applyBorder="1" applyAlignment="1">
      <alignment horizontal="right" wrapText="1"/>
    </xf>
    <xf numFmtId="0" fontId="39" fillId="0" borderId="36" xfId="28" applyFont="1" applyBorder="1"/>
    <xf numFmtId="0" fontId="11" fillId="0" borderId="1" xfId="31" applyFont="1" applyBorder="1" applyAlignment="1">
      <alignment horizontal="center"/>
    </xf>
    <xf numFmtId="3" fontId="40" fillId="0" borderId="54" xfId="28" applyNumberFormat="1" applyFont="1" applyBorder="1" applyAlignment="1">
      <alignment horizontal="right" wrapText="1"/>
    </xf>
    <xf numFmtId="3" fontId="11" fillId="0" borderId="196" xfId="31" applyNumberFormat="1" applyFont="1" applyBorder="1" applyAlignment="1">
      <alignment horizontal="right"/>
    </xf>
    <xf numFmtId="0" fontId="11" fillId="0" borderId="116" xfId="31" applyFont="1" applyBorder="1" applyAlignment="1">
      <alignment horizontal="center"/>
    </xf>
    <xf numFmtId="0" fontId="11" fillId="0" borderId="116" xfId="28" applyFont="1" applyBorder="1" applyAlignment="1">
      <alignment horizontal="left" wrapText="1" shrinkToFit="1"/>
    </xf>
    <xf numFmtId="3" fontId="11" fillId="0" borderId="36" xfId="31" applyNumberFormat="1" applyFont="1" applyBorder="1" applyAlignment="1">
      <alignment horizontal="right" vertical="top"/>
    </xf>
    <xf numFmtId="3" fontId="11" fillId="0" borderId="110" xfId="31" applyNumberFormat="1" applyFont="1" applyBorder="1" applyAlignment="1">
      <alignment horizontal="right"/>
    </xf>
    <xf numFmtId="3" fontId="40" fillId="0" borderId="96" xfId="28" applyNumberFormat="1" applyFont="1" applyBorder="1" applyAlignment="1">
      <alignment horizontal="right" wrapText="1"/>
    </xf>
    <xf numFmtId="3" fontId="48" fillId="0" borderId="90" xfId="28" applyNumberFormat="1" applyFont="1" applyBorder="1" applyAlignment="1">
      <alignment horizontal="right" wrapText="1"/>
    </xf>
    <xf numFmtId="3" fontId="18" fillId="0" borderId="127" xfId="0" applyNumberFormat="1" applyFont="1" applyBorder="1" applyAlignment="1">
      <alignment horizontal="center" vertical="center" wrapText="1"/>
    </xf>
    <xf numFmtId="3" fontId="11" fillId="0" borderId="0" xfId="27" applyNumberFormat="1" applyFont="1" applyAlignment="1">
      <alignment horizontal="right"/>
    </xf>
    <xf numFmtId="3" fontId="18" fillId="0" borderId="0" xfId="27" applyNumberFormat="1" applyFont="1" applyAlignment="1">
      <alignment horizontal="center"/>
    </xf>
    <xf numFmtId="0" fontId="21" fillId="0" borderId="0" xfId="27" applyFont="1" applyAlignment="1">
      <alignment vertical="top" wrapText="1"/>
    </xf>
    <xf numFmtId="0" fontId="18" fillId="0" borderId="0" xfId="27" applyFont="1" applyAlignment="1">
      <alignment horizontal="center"/>
    </xf>
    <xf numFmtId="3" fontId="21" fillId="0" borderId="0" xfId="27" applyNumberFormat="1" applyFont="1"/>
    <xf numFmtId="3" fontId="18" fillId="0" borderId="0" xfId="27" applyNumberFormat="1" applyFont="1" applyAlignment="1">
      <alignment horizontal="right"/>
    </xf>
    <xf numFmtId="3" fontId="15" fillId="0" borderId="0" xfId="27" applyNumberFormat="1" applyFont="1" applyAlignment="1">
      <alignment horizontal="center" vertical="center" wrapText="1"/>
    </xf>
    <xf numFmtId="3" fontId="15" fillId="0" borderId="0" xfId="27" applyNumberFormat="1" applyFont="1" applyAlignment="1">
      <alignment horizontal="center"/>
    </xf>
    <xf numFmtId="3" fontId="18" fillId="0" borderId="23" xfId="0" applyNumberFormat="1" applyFont="1" applyBorder="1" applyAlignment="1">
      <alignment horizontal="center" vertical="center" wrapText="1"/>
    </xf>
    <xf numFmtId="3" fontId="18" fillId="0" borderId="33" xfId="27" applyNumberFormat="1" applyFont="1" applyBorder="1" applyAlignment="1">
      <alignment horizontal="center"/>
    </xf>
    <xf numFmtId="0" fontId="21" fillId="0" borderId="34" xfId="27" applyFont="1" applyBorder="1" applyAlignment="1">
      <alignment horizontal="center" vertical="center" wrapText="1"/>
    </xf>
    <xf numFmtId="3" fontId="18" fillId="0" borderId="34" xfId="27" applyNumberFormat="1" applyFont="1" applyBorder="1" applyAlignment="1">
      <alignment horizontal="center" vertical="center" wrapText="1"/>
    </xf>
    <xf numFmtId="3" fontId="18" fillId="0" borderId="104" xfId="27" applyNumberFormat="1" applyFont="1" applyBorder="1" applyAlignment="1">
      <alignment horizontal="center" vertical="center" wrapText="1"/>
    </xf>
    <xf numFmtId="0" fontId="18" fillId="0" borderId="91" xfId="0" applyFont="1" applyBorder="1" applyAlignment="1">
      <alignment horizontal="center" vertical="center" textRotation="90" wrapText="1"/>
    </xf>
    <xf numFmtId="3" fontId="21" fillId="0" borderId="34" xfId="27" applyNumberFormat="1" applyFont="1" applyBorder="1" applyAlignment="1">
      <alignment horizontal="center" vertical="center" wrapText="1"/>
    </xf>
    <xf numFmtId="3" fontId="18" fillId="0" borderId="34" xfId="0" applyNumberFormat="1" applyFont="1" applyBorder="1" applyAlignment="1">
      <alignment horizontal="center" vertical="center" wrapText="1"/>
    </xf>
    <xf numFmtId="3" fontId="18" fillId="0" borderId="35" xfId="0" applyNumberFormat="1" applyFont="1" applyBorder="1" applyAlignment="1">
      <alignment horizontal="center" vertical="center" wrapText="1"/>
    </xf>
    <xf numFmtId="3" fontId="18" fillId="0" borderId="18" xfId="27" applyNumberFormat="1" applyFont="1" applyBorder="1" applyAlignment="1">
      <alignment horizontal="center"/>
    </xf>
    <xf numFmtId="3" fontId="18" fillId="0" borderId="18" xfId="27" applyNumberFormat="1" applyFont="1" applyBorder="1" applyAlignment="1">
      <alignment horizontal="right"/>
    </xf>
    <xf numFmtId="3" fontId="18" fillId="0" borderId="19" xfId="27" applyNumberFormat="1" applyFont="1" applyBorder="1" applyAlignment="1">
      <alignment horizontal="right"/>
    </xf>
    <xf numFmtId="3" fontId="18" fillId="0" borderId="18" xfId="0" applyNumberFormat="1" applyFont="1" applyBorder="1" applyAlignment="1">
      <alignment horizontal="right" wrapText="1"/>
    </xf>
    <xf numFmtId="3" fontId="18" fillId="0" borderId="22" xfId="0" applyNumberFormat="1" applyFont="1" applyBorder="1" applyAlignment="1">
      <alignment horizontal="right" wrapText="1"/>
    </xf>
    <xf numFmtId="3" fontId="18" fillId="0" borderId="13" xfId="27" applyNumberFormat="1" applyFont="1" applyBorder="1" applyAlignment="1">
      <alignment horizontal="right"/>
    </xf>
    <xf numFmtId="3" fontId="18" fillId="0" borderId="17" xfId="27" applyNumberFormat="1" applyFont="1" applyBorder="1" applyAlignment="1">
      <alignment horizontal="right"/>
    </xf>
    <xf numFmtId="3" fontId="11" fillId="0" borderId="13" xfId="27" applyNumberFormat="1" applyFont="1" applyBorder="1" applyAlignment="1">
      <alignment horizontal="center" vertical="center"/>
    </xf>
    <xf numFmtId="3" fontId="35" fillId="0" borderId="17" xfId="27" applyNumberFormat="1" applyFont="1" applyBorder="1" applyAlignment="1">
      <alignment horizontal="right"/>
    </xf>
    <xf numFmtId="3" fontId="20" fillId="0" borderId="13" xfId="27" applyNumberFormat="1" applyFont="1" applyBorder="1" applyAlignment="1">
      <alignment horizontal="right"/>
    </xf>
    <xf numFmtId="3" fontId="20" fillId="0" borderId="17" xfId="27" applyNumberFormat="1" applyFont="1" applyBorder="1" applyAlignment="1">
      <alignment horizontal="right"/>
    </xf>
    <xf numFmtId="3" fontId="36" fillId="0" borderId="13" xfId="27" applyNumberFormat="1" applyFont="1" applyBorder="1" applyAlignment="1">
      <alignment horizontal="right"/>
    </xf>
    <xf numFmtId="3" fontId="36" fillId="0" borderId="17" xfId="27" applyNumberFormat="1" applyFont="1" applyBorder="1" applyAlignment="1">
      <alignment horizontal="right"/>
    </xf>
    <xf numFmtId="3" fontId="42" fillId="0" borderId="13" xfId="27" applyNumberFormat="1" applyFont="1" applyBorder="1" applyAlignment="1">
      <alignment horizontal="center" vertical="center"/>
    </xf>
    <xf numFmtId="3" fontId="20" fillId="0" borderId="18" xfId="27" applyNumberFormat="1" applyFont="1" applyBorder="1" applyAlignment="1">
      <alignment horizontal="right"/>
    </xf>
    <xf numFmtId="3" fontId="20" fillId="0" borderId="19" xfId="27" applyNumberFormat="1" applyFont="1" applyBorder="1" applyAlignment="1">
      <alignment horizontal="right"/>
    </xf>
    <xf numFmtId="3" fontId="35" fillId="0" borderId="18" xfId="27" applyNumberFormat="1" applyFont="1" applyBorder="1" applyAlignment="1">
      <alignment horizontal="right"/>
    </xf>
    <xf numFmtId="3" fontId="35" fillId="0" borderId="19" xfId="27" applyNumberFormat="1" applyFont="1" applyBorder="1" applyAlignment="1">
      <alignment horizontal="right"/>
    </xf>
    <xf numFmtId="3" fontId="18" fillId="0" borderId="13" xfId="27" applyNumberFormat="1" applyFont="1" applyBorder="1"/>
    <xf numFmtId="3" fontId="18" fillId="0" borderId="17" xfId="27" applyNumberFormat="1" applyFont="1" applyBorder="1"/>
    <xf numFmtId="3" fontId="18" fillId="0" borderId="90" xfId="27" applyNumberFormat="1" applyFont="1" applyBorder="1" applyAlignment="1">
      <alignment horizontal="right"/>
    </xf>
    <xf numFmtId="0" fontId="15" fillId="0" borderId="0" xfId="15" applyFont="1" applyAlignment="1">
      <alignment horizontal="center" vertical="center"/>
    </xf>
    <xf numFmtId="3" fontId="11" fillId="0" borderId="0" xfId="15" applyNumberFormat="1" applyFont="1" applyAlignment="1">
      <alignment horizontal="center" vertical="center"/>
    </xf>
    <xf numFmtId="0" fontId="15" fillId="0" borderId="0" xfId="31" applyFont="1" applyAlignment="1">
      <alignment horizontal="center" vertical="center"/>
    </xf>
    <xf numFmtId="0" fontId="18" fillId="0" borderId="0" xfId="31" applyFont="1" applyAlignment="1">
      <alignment horizontal="center" vertical="center"/>
    </xf>
    <xf numFmtId="0" fontId="18" fillId="0" borderId="0" xfId="31" applyFont="1" applyAlignment="1">
      <alignment wrapText="1"/>
    </xf>
    <xf numFmtId="3" fontId="18" fillId="0" borderId="0" xfId="31" applyNumberFormat="1" applyFont="1" applyAlignment="1">
      <alignment horizontal="center" vertical="center" wrapText="1"/>
    </xf>
    <xf numFmtId="0" fontId="15" fillId="0" borderId="0" xfId="32" applyFont="1" applyAlignment="1">
      <alignment horizontal="center" vertical="center" wrapText="1"/>
    </xf>
    <xf numFmtId="3" fontId="15" fillId="0" borderId="0" xfId="32" applyNumberFormat="1" applyFont="1" applyAlignment="1">
      <alignment horizontal="center" vertical="center"/>
    </xf>
    <xf numFmtId="3" fontId="18" fillId="0" borderId="3" xfId="31" applyNumberFormat="1" applyFont="1" applyBorder="1" applyAlignment="1">
      <alignment horizontal="center" vertical="center" wrapText="1"/>
    </xf>
    <xf numFmtId="3" fontId="18" fillId="0" borderId="4" xfId="31" applyNumberFormat="1" applyFont="1" applyBorder="1" applyAlignment="1">
      <alignment horizontal="center" vertical="center" wrapText="1"/>
    </xf>
    <xf numFmtId="3" fontId="15" fillId="0" borderId="0" xfId="31" applyNumberFormat="1" applyFont="1" applyAlignment="1">
      <alignment horizontal="center" vertical="center"/>
    </xf>
    <xf numFmtId="0" fontId="18" fillId="0" borderId="20" xfId="31" applyFont="1" applyBorder="1" applyAlignment="1">
      <alignment horizontal="center"/>
    </xf>
    <xf numFmtId="3" fontId="18" fillId="0" borderId="91" xfId="28" applyNumberFormat="1" applyFont="1" applyBorder="1" applyAlignment="1">
      <alignment horizontal="right" vertical="center" wrapText="1"/>
    </xf>
    <xf numFmtId="3" fontId="18" fillId="0" borderId="34" xfId="28" applyNumberFormat="1" applyFont="1" applyBorder="1" applyAlignment="1">
      <alignment horizontal="right" vertical="center" wrapText="1"/>
    </xf>
    <xf numFmtId="3" fontId="18" fillId="0" borderId="104" xfId="28" applyNumberFormat="1" applyFont="1" applyBorder="1" applyAlignment="1">
      <alignment horizontal="right" vertical="center" wrapText="1"/>
    </xf>
    <xf numFmtId="3" fontId="18" fillId="0" borderId="102" xfId="31" applyNumberFormat="1" applyFont="1" applyBorder="1" applyAlignment="1">
      <alignment horizontal="right" vertical="center"/>
    </xf>
    <xf numFmtId="0" fontId="18" fillId="0" borderId="12" xfId="31" applyFont="1" applyBorder="1" applyAlignment="1">
      <alignment horizontal="center" vertical="center"/>
    </xf>
    <xf numFmtId="3" fontId="18" fillId="0" borderId="13" xfId="31" applyNumberFormat="1" applyFont="1" applyBorder="1" applyAlignment="1">
      <alignment horizontal="right" vertical="center"/>
    </xf>
    <xf numFmtId="3" fontId="18" fillId="0" borderId="13" xfId="28" applyNumberFormat="1" applyFont="1" applyBorder="1" applyAlignment="1">
      <alignment horizontal="right" vertical="center"/>
    </xf>
    <xf numFmtId="0" fontId="11" fillId="0" borderId="13" xfId="31" applyFont="1" applyBorder="1" applyAlignment="1">
      <alignment wrapText="1"/>
    </xf>
    <xf numFmtId="0" fontId="18" fillId="0" borderId="0" xfId="31" applyFont="1" applyAlignment="1">
      <alignment vertical="center"/>
    </xf>
    <xf numFmtId="3" fontId="18" fillId="0" borderId="181" xfId="31" applyNumberFormat="1" applyFont="1" applyBorder="1" applyAlignment="1">
      <alignment horizontal="right" vertical="center"/>
    </xf>
    <xf numFmtId="0" fontId="30" fillId="0" borderId="13" xfId="28" applyFont="1" applyBorder="1" applyAlignment="1">
      <alignment wrapText="1"/>
    </xf>
    <xf numFmtId="3" fontId="18" fillId="0" borderId="105" xfId="31" applyNumberFormat="1" applyFont="1" applyBorder="1" applyAlignment="1">
      <alignment horizontal="right" vertical="center"/>
    </xf>
    <xf numFmtId="0" fontId="18" fillId="0" borderId="82" xfId="31" applyFont="1" applyBorder="1" applyAlignment="1">
      <alignment horizontal="center" vertical="center" wrapText="1"/>
    </xf>
    <xf numFmtId="3" fontId="18" fillId="0" borderId="125" xfId="28" applyNumberFormat="1" applyFont="1" applyBorder="1" applyAlignment="1">
      <alignment horizontal="right" vertical="center" wrapText="1"/>
    </xf>
    <xf numFmtId="3" fontId="20" fillId="0" borderId="13" xfId="31" applyNumberFormat="1" applyFont="1" applyBorder="1" applyAlignment="1">
      <alignment horizontal="right" vertical="center"/>
    </xf>
    <xf numFmtId="3" fontId="52" fillId="0" borderId="13" xfId="31" applyNumberFormat="1" applyFont="1" applyBorder="1" applyAlignment="1">
      <alignment horizontal="right" vertical="center"/>
    </xf>
    <xf numFmtId="3" fontId="20" fillId="0" borderId="125" xfId="28" applyNumberFormat="1" applyFont="1" applyBorder="1" applyAlignment="1">
      <alignment horizontal="right" vertical="center" wrapText="1"/>
    </xf>
    <xf numFmtId="0" fontId="18" fillId="0" borderId="1" xfId="31" applyFont="1" applyBorder="1" applyAlignment="1">
      <alignment horizontal="center" vertical="center"/>
    </xf>
    <xf numFmtId="3" fontId="18" fillId="0" borderId="0" xfId="31" applyNumberFormat="1" applyFont="1" applyAlignment="1">
      <alignment horizontal="right" vertical="center"/>
    </xf>
    <xf numFmtId="0" fontId="18" fillId="0" borderId="88" xfId="31" applyFont="1" applyBorder="1" applyAlignment="1">
      <alignment horizontal="center" vertical="center"/>
    </xf>
    <xf numFmtId="3" fontId="49" fillId="0" borderId="13" xfId="27" applyNumberFormat="1" applyFont="1" applyBorder="1" applyAlignment="1">
      <alignment wrapText="1"/>
    </xf>
    <xf numFmtId="0" fontId="11" fillId="0" borderId="13" xfId="28" applyFont="1" applyBorder="1" applyAlignment="1">
      <alignment wrapText="1" shrinkToFit="1"/>
    </xf>
    <xf numFmtId="0" fontId="11" fillId="0" borderId="13" xfId="0" applyFont="1" applyBorder="1" applyAlignment="1">
      <alignment wrapText="1" shrinkToFit="1"/>
    </xf>
    <xf numFmtId="0" fontId="11" fillId="0" borderId="13" xfId="0" applyFont="1" applyBorder="1" applyAlignment="1">
      <alignment shrinkToFit="1"/>
    </xf>
    <xf numFmtId="0" fontId="11" fillId="0" borderId="13" xfId="28" applyFont="1" applyBorder="1" applyAlignment="1">
      <alignment shrinkToFit="1"/>
    </xf>
    <xf numFmtId="3" fontId="18" fillId="0" borderId="0" xfId="15" applyNumberFormat="1" applyFont="1" applyAlignment="1">
      <alignment horizontal="left" vertical="top"/>
    </xf>
    <xf numFmtId="3" fontId="18" fillId="0" borderId="0" xfId="32" applyNumberFormat="1" applyFont="1" applyAlignment="1">
      <alignment horizontal="right"/>
    </xf>
    <xf numFmtId="3" fontId="18" fillId="0" borderId="0" xfId="32" applyNumberFormat="1" applyFont="1" applyAlignment="1">
      <alignment horizontal="right" wrapText="1"/>
    </xf>
    <xf numFmtId="3" fontId="18" fillId="0" borderId="0" xfId="15" applyNumberFormat="1" applyFont="1" applyAlignment="1">
      <alignment horizontal="center" vertical="center"/>
    </xf>
    <xf numFmtId="3" fontId="18" fillId="0" borderId="0" xfId="15" applyNumberFormat="1" applyFont="1" applyAlignment="1">
      <alignment horizontal="right"/>
    </xf>
    <xf numFmtId="3" fontId="30" fillId="0" borderId="18" xfId="30" applyNumberFormat="1" applyFont="1" applyBorder="1" applyAlignment="1" applyProtection="1">
      <alignment horizontal="left"/>
      <protection locked="0"/>
    </xf>
    <xf numFmtId="3" fontId="21" fillId="0" borderId="112" xfId="28" applyNumberFormat="1" applyFont="1" applyBorder="1" applyAlignment="1">
      <alignment vertical="center" wrapText="1"/>
    </xf>
    <xf numFmtId="0" fontId="18" fillId="0" borderId="197" xfId="31" applyFont="1" applyBorder="1" applyAlignment="1">
      <alignment horizontal="center" vertical="center"/>
    </xf>
    <xf numFmtId="0" fontId="53" fillId="0" borderId="13" xfId="28" applyFont="1" applyBorder="1" applyAlignment="1">
      <alignment horizontal="left" wrapText="1" shrinkToFit="1"/>
    </xf>
    <xf numFmtId="3" fontId="47" fillId="0" borderId="92" xfId="28" applyNumberFormat="1" applyFont="1" applyBorder="1" applyAlignment="1">
      <alignment horizontal="right" wrapText="1"/>
    </xf>
    <xf numFmtId="3" fontId="11" fillId="0" borderId="36" xfId="28" applyNumberFormat="1" applyFont="1" applyBorder="1" applyAlignment="1">
      <alignment horizontal="right" wrapText="1"/>
    </xf>
    <xf numFmtId="3" fontId="48" fillId="0" borderId="125" xfId="28" applyNumberFormat="1" applyFont="1" applyBorder="1" applyAlignment="1">
      <alignment horizontal="right" wrapText="1"/>
    </xf>
    <xf numFmtId="3" fontId="35" fillId="0" borderId="13" xfId="27" applyNumberFormat="1" applyFont="1" applyBorder="1"/>
    <xf numFmtId="3" fontId="20" fillId="0" borderId="1" xfId="27" applyNumberFormat="1" applyFont="1" applyBorder="1" applyAlignment="1">
      <alignment horizontal="center" vertical="center"/>
    </xf>
    <xf numFmtId="3" fontId="44" fillId="0" borderId="54" xfId="0" applyNumberFormat="1" applyFont="1" applyBorder="1" applyAlignment="1">
      <alignment horizontal="right" wrapText="1"/>
    </xf>
    <xf numFmtId="3" fontId="35" fillId="0" borderId="54" xfId="0" applyNumberFormat="1" applyFont="1" applyBorder="1" applyAlignment="1">
      <alignment horizontal="right" wrapText="1"/>
    </xf>
    <xf numFmtId="3" fontId="35" fillId="0" borderId="15" xfId="0" applyNumberFormat="1" applyFont="1" applyBorder="1" applyAlignment="1">
      <alignment horizontal="right" wrapText="1"/>
    </xf>
    <xf numFmtId="3" fontId="20" fillId="0" borderId="199" xfId="27" applyNumberFormat="1" applyFont="1" applyBorder="1" applyAlignment="1">
      <alignment horizontal="center" vertical="center"/>
    </xf>
    <xf numFmtId="3" fontId="44" fillId="0" borderId="96" xfId="0" applyNumberFormat="1" applyFont="1" applyBorder="1" applyAlignment="1">
      <alignment horizontal="right" wrapText="1"/>
    </xf>
    <xf numFmtId="3" fontId="11" fillId="0" borderId="58" xfId="0" applyNumberFormat="1" applyFont="1" applyBorder="1" applyAlignment="1">
      <alignment horizontal="center" vertical="center" wrapText="1"/>
    </xf>
    <xf numFmtId="3" fontId="11" fillId="0" borderId="59" xfId="0" applyNumberFormat="1" applyFont="1" applyBorder="1" applyAlignment="1">
      <alignment horizontal="right" vertical="center" textRotation="180"/>
    </xf>
    <xf numFmtId="3" fontId="11" fillId="0" borderId="176" xfId="0" applyNumberFormat="1" applyFont="1" applyBorder="1" applyAlignment="1">
      <alignment horizontal="right" vertical="center" textRotation="180"/>
    </xf>
    <xf numFmtId="3" fontId="11" fillId="0" borderId="167" xfId="0" applyNumberFormat="1" applyFont="1" applyBorder="1" applyAlignment="1">
      <alignment horizontal="right"/>
    </xf>
    <xf numFmtId="3" fontId="13" fillId="0" borderId="61" xfId="0" applyNumberFormat="1" applyFont="1" applyBorder="1" applyAlignment="1">
      <alignment horizontal="right" vertical="center"/>
    </xf>
    <xf numFmtId="3" fontId="13" fillId="0" borderId="160" xfId="0" applyNumberFormat="1" applyFont="1" applyBorder="1" applyAlignment="1">
      <alignment horizontal="right" vertical="center"/>
    </xf>
    <xf numFmtId="3" fontId="11" fillId="0" borderId="167" xfId="0" applyNumberFormat="1" applyFont="1" applyBorder="1" applyAlignment="1">
      <alignment horizontal="right" vertical="center" textRotation="180"/>
    </xf>
    <xf numFmtId="3" fontId="13" fillId="0" borderId="201" xfId="0" applyNumberFormat="1" applyFont="1" applyBorder="1" applyAlignment="1">
      <alignment horizontal="right" vertical="center"/>
    </xf>
    <xf numFmtId="3" fontId="13" fillId="0" borderId="202" xfId="0" applyNumberFormat="1" applyFont="1" applyBorder="1" applyAlignment="1">
      <alignment horizontal="right" vertical="center"/>
    </xf>
    <xf numFmtId="3" fontId="13" fillId="0" borderId="203" xfId="0" applyNumberFormat="1" applyFont="1" applyBorder="1" applyAlignment="1">
      <alignment horizontal="right" vertical="center"/>
    </xf>
    <xf numFmtId="3" fontId="11" fillId="0" borderId="167" xfId="0" applyNumberFormat="1" applyFont="1" applyBorder="1" applyAlignment="1">
      <alignment horizontal="right" vertical="center"/>
    </xf>
    <xf numFmtId="3" fontId="11" fillId="0" borderId="201" xfId="0" applyNumberFormat="1" applyFont="1" applyBorder="1" applyAlignment="1">
      <alignment horizontal="right" vertical="center"/>
    </xf>
    <xf numFmtId="3" fontId="11" fillId="0" borderId="75" xfId="0" applyNumberFormat="1" applyFont="1" applyBorder="1" applyAlignment="1">
      <alignment horizontal="right" vertical="center"/>
    </xf>
    <xf numFmtId="3" fontId="11" fillId="0" borderId="204" xfId="0" applyNumberFormat="1" applyFont="1" applyBorder="1" applyAlignment="1">
      <alignment horizontal="right" vertical="center"/>
    </xf>
    <xf numFmtId="165" fontId="11" fillId="0" borderId="167" xfId="33" applyNumberFormat="1" applyFont="1" applyFill="1" applyBorder="1" applyAlignment="1">
      <alignment horizontal="right"/>
    </xf>
    <xf numFmtId="165" fontId="11" fillId="0" borderId="127" xfId="33" applyNumberFormat="1" applyFont="1" applyFill="1" applyBorder="1" applyAlignment="1">
      <alignment horizontal="right"/>
    </xf>
    <xf numFmtId="3" fontId="21" fillId="0" borderId="205" xfId="28" applyNumberFormat="1" applyFont="1" applyBorder="1" applyAlignment="1">
      <alignment vertical="center" wrapText="1"/>
    </xf>
    <xf numFmtId="3" fontId="21" fillId="0" borderId="10" xfId="28" applyNumberFormat="1" applyFont="1" applyBorder="1" applyAlignment="1">
      <alignment vertical="center" wrapText="1"/>
    </xf>
    <xf numFmtId="3" fontId="21" fillId="0" borderId="12" xfId="28" applyNumberFormat="1" applyFont="1" applyBorder="1" applyAlignment="1">
      <alignment vertical="center" wrapText="1"/>
    </xf>
    <xf numFmtId="0" fontId="18" fillId="0" borderId="52" xfId="31" applyFont="1" applyBorder="1" applyAlignment="1">
      <alignment horizontal="center" vertical="center"/>
    </xf>
    <xf numFmtId="3" fontId="11" fillId="0" borderId="82" xfId="29" applyNumberFormat="1" applyFont="1" applyBorder="1" applyAlignment="1">
      <alignment horizontal="center" vertical="top" wrapText="1"/>
    </xf>
    <xf numFmtId="0" fontId="11" fillId="0" borderId="182" xfId="31" applyFont="1" applyBorder="1" applyAlignment="1">
      <alignment horizontal="center" vertical="top"/>
    </xf>
    <xf numFmtId="0" fontId="31" fillId="0" borderId="53" xfId="28" applyFont="1" applyBorder="1" applyAlignment="1">
      <alignment horizontal="left" wrapText="1"/>
    </xf>
    <xf numFmtId="0" fontId="11" fillId="0" borderId="88" xfId="31" applyFont="1" applyBorder="1" applyAlignment="1">
      <alignment horizontal="center"/>
    </xf>
    <xf numFmtId="3" fontId="48" fillId="0" borderId="13" xfId="28" applyNumberFormat="1" applyFont="1" applyBorder="1" applyAlignment="1">
      <alignment horizontal="right" wrapText="1"/>
    </xf>
    <xf numFmtId="3" fontId="20" fillId="0" borderId="36" xfId="27" applyNumberFormat="1" applyFont="1" applyBorder="1" applyAlignment="1">
      <alignment horizontal="right"/>
    </xf>
    <xf numFmtId="3" fontId="20" fillId="0" borderId="79" xfId="27" applyNumberFormat="1" applyFont="1" applyBorder="1" applyAlignment="1">
      <alignment horizontal="right"/>
    </xf>
    <xf numFmtId="3" fontId="13" fillId="0" borderId="210" xfId="26" applyNumberFormat="1" applyFont="1" applyBorder="1" applyAlignment="1">
      <alignment horizontal="center" vertical="center" wrapText="1"/>
    </xf>
    <xf numFmtId="3" fontId="13" fillId="0" borderId="211" xfId="26" applyNumberFormat="1" applyFont="1" applyBorder="1" applyAlignment="1">
      <alignment horizontal="right" wrapText="1"/>
    </xf>
    <xf numFmtId="3" fontId="13" fillId="0" borderId="60" xfId="26" applyNumberFormat="1" applyFont="1" applyBorder="1" applyAlignment="1">
      <alignment horizontal="right" wrapText="1"/>
    </xf>
    <xf numFmtId="3" fontId="13" fillId="0" borderId="60" xfId="0" applyNumberFormat="1" applyFont="1" applyBorder="1" applyAlignment="1">
      <alignment horizontal="right"/>
    </xf>
    <xf numFmtId="3" fontId="11" fillId="0" borderId="60" xfId="0" applyNumberFormat="1" applyFont="1" applyBorder="1" applyAlignment="1">
      <alignment horizontal="right"/>
    </xf>
    <xf numFmtId="3" fontId="11" fillId="0" borderId="60" xfId="0" applyNumberFormat="1" applyFont="1" applyBorder="1" applyAlignment="1">
      <alignment horizontal="right" vertical="center"/>
    </xf>
    <xf numFmtId="3" fontId="25" fillId="0" borderId="60" xfId="0" applyNumberFormat="1" applyFont="1" applyBorder="1" applyAlignment="1">
      <alignment horizontal="right"/>
    </xf>
    <xf numFmtId="3" fontId="13" fillId="0" borderId="71" xfId="0" applyNumberFormat="1" applyFont="1" applyBorder="1" applyAlignment="1">
      <alignment horizontal="right"/>
    </xf>
    <xf numFmtId="3" fontId="13" fillId="0" borderId="62" xfId="0" applyNumberFormat="1" applyFont="1" applyBorder="1" applyAlignment="1">
      <alignment horizontal="right" vertical="center"/>
    </xf>
    <xf numFmtId="3" fontId="11" fillId="0" borderId="71" xfId="0" applyNumberFormat="1" applyFont="1" applyBorder="1" applyAlignment="1">
      <alignment horizontal="right"/>
    </xf>
    <xf numFmtId="3" fontId="13" fillId="0" borderId="64" xfId="0" applyNumberFormat="1" applyFont="1" applyBorder="1" applyAlignment="1">
      <alignment horizontal="right" vertical="center"/>
    </xf>
    <xf numFmtId="3" fontId="13" fillId="0" borderId="212" xfId="0" applyNumberFormat="1" applyFont="1" applyBorder="1" applyAlignment="1">
      <alignment horizontal="right" vertical="center"/>
    </xf>
    <xf numFmtId="3" fontId="13" fillId="0" borderId="60" xfId="0" applyNumberFormat="1" applyFont="1" applyBorder="1" applyAlignment="1">
      <alignment horizontal="right" vertical="center"/>
    </xf>
    <xf numFmtId="3" fontId="13" fillId="0" borderId="213" xfId="0" applyNumberFormat="1" applyFont="1" applyBorder="1" applyAlignment="1">
      <alignment horizontal="right" vertical="center"/>
    </xf>
    <xf numFmtId="3" fontId="25" fillId="0" borderId="15" xfId="0" applyNumberFormat="1" applyFont="1" applyBorder="1" applyAlignment="1">
      <alignment horizontal="right"/>
    </xf>
    <xf numFmtId="3" fontId="13" fillId="0" borderId="215" xfId="0" applyNumberFormat="1" applyFont="1" applyBorder="1" applyAlignment="1">
      <alignment horizontal="right" vertical="center"/>
    </xf>
    <xf numFmtId="3" fontId="13" fillId="0" borderId="211" xfId="26" applyNumberFormat="1" applyFont="1" applyBorder="1"/>
    <xf numFmtId="3" fontId="11" fillId="0" borderId="60" xfId="26" applyNumberFormat="1" applyFont="1" applyBorder="1"/>
    <xf numFmtId="3" fontId="13" fillId="0" borderId="62" xfId="26" applyNumberFormat="1" applyFont="1" applyBorder="1"/>
    <xf numFmtId="3" fontId="13" fillId="0" borderId="60" xfId="26" applyNumberFormat="1" applyFont="1" applyBorder="1"/>
    <xf numFmtId="3" fontId="14" fillId="0" borderId="60" xfId="26" applyNumberFormat="1" applyFont="1" applyBorder="1"/>
    <xf numFmtId="3" fontId="11" fillId="0" borderId="60" xfId="26" applyNumberFormat="1" applyFont="1" applyBorder="1" applyAlignment="1">
      <alignment vertical="center"/>
    </xf>
    <xf numFmtId="3" fontId="13" fillId="0" borderId="60" xfId="26" applyNumberFormat="1" applyFont="1" applyBorder="1" applyAlignment="1">
      <alignment vertical="center"/>
    </xf>
    <xf numFmtId="3" fontId="13" fillId="0" borderId="210" xfId="26" applyNumberFormat="1" applyFont="1" applyBorder="1" applyAlignment="1">
      <alignment vertical="center"/>
    </xf>
    <xf numFmtId="3" fontId="11" fillId="0" borderId="60" xfId="26" applyNumberFormat="1" applyFont="1" applyBorder="1" applyAlignment="1">
      <alignment vertical="top"/>
    </xf>
    <xf numFmtId="3" fontId="14" fillId="0" borderId="15" xfId="26" applyNumberFormat="1" applyFont="1" applyBorder="1"/>
    <xf numFmtId="0" fontId="14" fillId="0" borderId="90" xfId="28" applyFont="1" applyBorder="1" applyAlignment="1">
      <alignment horizontal="left"/>
    </xf>
    <xf numFmtId="3" fontId="11" fillId="0" borderId="13" xfId="28" applyNumberFormat="1" applyFont="1" applyBorder="1" applyAlignment="1">
      <alignment horizontal="right" wrapText="1"/>
    </xf>
    <xf numFmtId="3" fontId="14" fillId="0" borderId="105" xfId="28" applyNumberFormat="1" applyFont="1" applyBorder="1" applyAlignment="1">
      <alignment horizontal="right" wrapText="1"/>
    </xf>
    <xf numFmtId="0" fontId="13" fillId="0" borderId="90" xfId="28" applyFont="1" applyBorder="1" applyAlignment="1">
      <alignment horizontal="left"/>
    </xf>
    <xf numFmtId="0" fontId="13" fillId="0" borderId="112" xfId="31" applyFont="1" applyBorder="1" applyAlignment="1">
      <alignment horizontal="center"/>
    </xf>
    <xf numFmtId="3" fontId="48" fillId="0" borderId="52" xfId="28" applyNumberFormat="1" applyFont="1" applyBorder="1" applyAlignment="1">
      <alignment vertical="center" wrapText="1"/>
    </xf>
    <xf numFmtId="3" fontId="48" fillId="0" borderId="36" xfId="28" applyNumberFormat="1" applyFont="1" applyBorder="1" applyAlignment="1">
      <alignment vertical="center" wrapText="1"/>
    </xf>
    <xf numFmtId="3" fontId="48" fillId="0" borderId="216" xfId="28" applyNumberFormat="1" applyFont="1" applyBorder="1" applyAlignment="1">
      <alignment vertical="center" wrapText="1"/>
    </xf>
    <xf numFmtId="0" fontId="14" fillId="0" borderId="13" xfId="28" applyFont="1" applyBorder="1" applyAlignment="1">
      <alignment horizontal="left"/>
    </xf>
    <xf numFmtId="3" fontId="48" fillId="0" borderId="13" xfId="28" applyNumberFormat="1" applyFont="1" applyBorder="1" applyAlignment="1">
      <alignment vertical="center" wrapText="1"/>
    </xf>
    <xf numFmtId="3" fontId="48" fillId="0" borderId="92" xfId="28" applyNumberFormat="1" applyFont="1" applyBorder="1" applyAlignment="1">
      <alignment horizontal="right" vertical="center" wrapText="1"/>
    </xf>
    <xf numFmtId="3" fontId="48" fillId="0" borderId="133" xfId="28" applyNumberFormat="1" applyFont="1" applyBorder="1" applyAlignment="1">
      <alignment vertical="center" wrapText="1"/>
    </xf>
    <xf numFmtId="3" fontId="48" fillId="0" borderId="206" xfId="28" applyNumberFormat="1" applyFont="1" applyBorder="1" applyAlignment="1">
      <alignment horizontal="right" vertical="center" wrapText="1"/>
    </xf>
    <xf numFmtId="3" fontId="11" fillId="0" borderId="90" xfId="31" applyNumberFormat="1" applyFont="1" applyBorder="1" applyAlignment="1">
      <alignment horizontal="right"/>
    </xf>
    <xf numFmtId="3" fontId="39" fillId="0" borderId="217" xfId="31" applyNumberFormat="1" applyFont="1" applyBorder="1" applyAlignment="1">
      <alignment horizontal="right"/>
    </xf>
    <xf numFmtId="3" fontId="39" fillId="0" borderId="124" xfId="31" applyNumberFormat="1" applyFont="1" applyBorder="1" applyAlignment="1">
      <alignment horizontal="right"/>
    </xf>
    <xf numFmtId="3" fontId="11" fillId="0" borderId="114" xfId="31" applyNumberFormat="1" applyFont="1" applyBorder="1" applyAlignment="1">
      <alignment horizontal="right"/>
    </xf>
    <xf numFmtId="0" fontId="11" fillId="0" borderId="113" xfId="31" applyFont="1" applyBorder="1" applyAlignment="1">
      <alignment horizontal="center" vertical="top"/>
    </xf>
    <xf numFmtId="3" fontId="11" fillId="0" borderId="113" xfId="31" applyNumberFormat="1" applyFont="1" applyBorder="1" applyAlignment="1">
      <alignment horizontal="right"/>
    </xf>
    <xf numFmtId="3" fontId="48" fillId="0" borderId="108" xfId="28" applyNumberFormat="1" applyFont="1" applyBorder="1" applyAlignment="1">
      <alignment vertical="center" wrapText="1"/>
    </xf>
    <xf numFmtId="3" fontId="11" fillId="0" borderId="117" xfId="28" applyNumberFormat="1" applyFont="1" applyBorder="1" applyAlignment="1">
      <alignment horizontal="right" vertical="center" wrapText="1"/>
    </xf>
    <xf numFmtId="3" fontId="48" fillId="0" borderId="125" xfId="28" applyNumberFormat="1" applyFont="1" applyBorder="1" applyAlignment="1">
      <alignment horizontal="right" vertical="center" wrapText="1"/>
    </xf>
    <xf numFmtId="3" fontId="48" fillId="0" borderId="124" xfId="28" applyNumberFormat="1" applyFont="1" applyBorder="1" applyAlignment="1">
      <alignment horizontal="right" vertical="center" wrapText="1"/>
    </xf>
    <xf numFmtId="0" fontId="13" fillId="0" borderId="13" xfId="28" applyFont="1" applyBorder="1" applyAlignment="1">
      <alignment horizontal="left"/>
    </xf>
    <xf numFmtId="3" fontId="11" fillId="0" borderId="82" xfId="28" applyNumberFormat="1" applyFont="1" applyBorder="1" applyAlignment="1">
      <alignment horizontal="right" vertical="center" wrapText="1"/>
    </xf>
    <xf numFmtId="3" fontId="48" fillId="0" borderId="105" xfId="28" applyNumberFormat="1" applyFont="1" applyBorder="1" applyAlignment="1">
      <alignment vertical="center" wrapText="1"/>
    </xf>
    <xf numFmtId="3" fontId="48" fillId="0" borderId="12" xfId="28" applyNumberFormat="1" applyFont="1" applyBorder="1" applyAlignment="1">
      <alignment vertical="center" wrapText="1"/>
    </xf>
    <xf numFmtId="3" fontId="48" fillId="0" borderId="181" xfId="28" applyNumberFormat="1" applyFont="1" applyBorder="1" applyAlignment="1">
      <alignment horizontal="right" vertical="center" wrapText="1"/>
    </xf>
    <xf numFmtId="3" fontId="11" fillId="0" borderId="115" xfId="28" applyNumberFormat="1" applyFont="1" applyBorder="1" applyAlignment="1">
      <alignment horizontal="right" vertical="center" wrapText="1"/>
    </xf>
    <xf numFmtId="3" fontId="14" fillId="0" borderId="13" xfId="28" applyNumberFormat="1" applyFont="1" applyBorder="1" applyAlignment="1">
      <alignment horizontal="right" vertical="center" wrapText="1"/>
    </xf>
    <xf numFmtId="3" fontId="13" fillId="0" borderId="92" xfId="31" applyNumberFormat="1" applyFont="1" applyBorder="1" applyAlignment="1">
      <alignment horizontal="right"/>
    </xf>
    <xf numFmtId="3" fontId="13" fillId="0" borderId="36" xfId="31" applyNumberFormat="1" applyFont="1" applyBorder="1" applyAlignment="1">
      <alignment horizontal="right"/>
    </xf>
    <xf numFmtId="3" fontId="13" fillId="0" borderId="125" xfId="31" applyNumberFormat="1" applyFont="1" applyBorder="1" applyAlignment="1">
      <alignment horizontal="right"/>
    </xf>
    <xf numFmtId="0" fontId="13" fillId="0" borderId="92" xfId="31" applyFont="1" applyBorder="1" applyAlignment="1">
      <alignment horizontal="center" wrapText="1"/>
    </xf>
    <xf numFmtId="3" fontId="13" fillId="0" borderId="36" xfId="28" applyNumberFormat="1" applyFont="1" applyBorder="1" applyAlignment="1">
      <alignment horizontal="right" wrapText="1"/>
    </xf>
    <xf numFmtId="3" fontId="13" fillId="0" borderId="217" xfId="31" applyNumberFormat="1" applyFont="1" applyBorder="1" applyAlignment="1">
      <alignment horizontal="right"/>
    </xf>
    <xf numFmtId="0" fontId="11" fillId="0" borderId="18" xfId="28" applyFont="1" applyBorder="1" applyAlignment="1">
      <alignment horizontal="left"/>
    </xf>
    <xf numFmtId="3" fontId="48" fillId="0" borderId="36" xfId="28" applyNumberFormat="1" applyFont="1" applyBorder="1" applyAlignment="1">
      <alignment horizontal="right" wrapText="1"/>
    </xf>
    <xf numFmtId="3" fontId="13" fillId="0" borderId="109" xfId="31" applyNumberFormat="1" applyFont="1" applyBorder="1" applyAlignment="1">
      <alignment horizontal="right"/>
    </xf>
    <xf numFmtId="0" fontId="11" fillId="0" borderId="18" xfId="28" applyFont="1" applyBorder="1" applyAlignment="1">
      <alignment horizontal="left" wrapText="1" shrinkToFit="1"/>
    </xf>
    <xf numFmtId="3" fontId="11" fillId="0" borderId="125" xfId="31" applyNumberFormat="1" applyFont="1" applyBorder="1" applyAlignment="1">
      <alignment horizontal="right"/>
    </xf>
    <xf numFmtId="3" fontId="13" fillId="0" borderId="92" xfId="28" applyNumberFormat="1" applyFont="1" applyBorder="1" applyAlignment="1">
      <alignment horizontal="right" wrapText="1"/>
    </xf>
    <xf numFmtId="0" fontId="39" fillId="0" borderId="36" xfId="28" applyFont="1" applyBorder="1" applyAlignment="1">
      <alignment horizontal="left"/>
    </xf>
    <xf numFmtId="3" fontId="48" fillId="0" borderId="92" xfId="28" applyNumberFormat="1" applyFont="1" applyBorder="1" applyAlignment="1">
      <alignment horizontal="right" wrapText="1"/>
    </xf>
    <xf numFmtId="3" fontId="13" fillId="0" borderId="110" xfId="31" applyNumberFormat="1" applyFont="1" applyBorder="1" applyAlignment="1">
      <alignment horizontal="right"/>
    </xf>
    <xf numFmtId="3" fontId="11" fillId="0" borderId="92" xfId="28" applyNumberFormat="1" applyFont="1" applyBorder="1" applyAlignment="1">
      <alignment horizontal="right" wrapText="1"/>
    </xf>
    <xf numFmtId="0" fontId="11" fillId="0" borderId="96" xfId="31" applyFont="1" applyBorder="1" applyAlignment="1">
      <alignment horizontal="center" wrapText="1"/>
    </xf>
    <xf numFmtId="3" fontId="11" fillId="0" borderId="188" xfId="31" applyNumberFormat="1" applyFont="1" applyBorder="1" applyAlignment="1">
      <alignment horizontal="right"/>
    </xf>
    <xf numFmtId="3" fontId="11" fillId="0" borderId="200" xfId="31" applyNumberFormat="1" applyFont="1" applyBorder="1" applyAlignment="1">
      <alignment horizontal="right"/>
    </xf>
    <xf numFmtId="3" fontId="11" fillId="0" borderId="157" xfId="31" applyNumberFormat="1" applyFont="1" applyBorder="1" applyAlignment="1">
      <alignment horizontal="right" vertical="top"/>
    </xf>
    <xf numFmtId="3" fontId="47" fillId="0" borderId="13" xfId="28" applyNumberFormat="1" applyFont="1" applyBorder="1" applyAlignment="1">
      <alignment horizontal="right" wrapText="1"/>
    </xf>
    <xf numFmtId="3" fontId="48" fillId="0" borderId="98" xfId="28" applyNumberFormat="1" applyFont="1" applyBorder="1" applyAlignment="1">
      <alignment horizontal="right" wrapText="1"/>
    </xf>
    <xf numFmtId="3" fontId="13" fillId="0" borderId="124" xfId="28" applyNumberFormat="1" applyFont="1" applyBorder="1" applyAlignment="1">
      <alignment horizontal="right" vertical="center" wrapText="1"/>
    </xf>
    <xf numFmtId="3" fontId="13" fillId="0" borderId="181" xfId="28" applyNumberFormat="1" applyFont="1" applyBorder="1" applyAlignment="1">
      <alignment horizontal="right" vertical="center" wrapText="1"/>
    </xf>
    <xf numFmtId="0" fontId="11" fillId="0" borderId="197" xfId="31" applyFont="1" applyBorder="1" applyAlignment="1">
      <alignment horizontal="center"/>
    </xf>
    <xf numFmtId="3" fontId="11" fillId="0" borderId="79" xfId="28" applyNumberFormat="1" applyFont="1" applyBorder="1" applyAlignment="1">
      <alignment horizontal="right"/>
    </xf>
    <xf numFmtId="3" fontId="35" fillId="0" borderId="19" xfId="27" applyNumberFormat="1" applyFont="1" applyBorder="1" applyAlignment="1">
      <alignment wrapText="1"/>
    </xf>
    <xf numFmtId="0" fontId="0" fillId="0" borderId="190" xfId="0" applyBorder="1" applyAlignment="1">
      <alignment wrapText="1"/>
    </xf>
    <xf numFmtId="3" fontId="20" fillId="0" borderId="11" xfId="0" applyNumberFormat="1" applyFont="1" applyBorder="1" applyAlignment="1">
      <alignment wrapText="1"/>
    </xf>
    <xf numFmtId="0" fontId="0" fillId="0" borderId="18" xfId="0" applyBorder="1" applyAlignment="1">
      <alignment wrapText="1"/>
    </xf>
    <xf numFmtId="3" fontId="20" fillId="0" borderId="17" xfId="0" applyNumberFormat="1" applyFont="1" applyBorder="1" applyAlignment="1">
      <alignment wrapText="1"/>
    </xf>
    <xf numFmtId="0" fontId="0" fillId="0" borderId="157" xfId="0" applyBorder="1" applyAlignment="1">
      <alignment wrapText="1"/>
    </xf>
    <xf numFmtId="0" fontId="0" fillId="0" borderId="13" xfId="0" applyBorder="1" applyAlignment="1">
      <alignment wrapText="1"/>
    </xf>
    <xf numFmtId="3" fontId="39" fillId="0" borderId="18" xfId="27" applyNumberFormat="1" applyFont="1" applyBorder="1" applyAlignment="1">
      <alignment wrapText="1"/>
    </xf>
    <xf numFmtId="3" fontId="11" fillId="0" borderId="13" xfId="28" applyNumberFormat="1" applyFont="1" applyBorder="1" applyAlignment="1">
      <alignment horizontal="right" vertical="center" wrapText="1"/>
    </xf>
    <xf numFmtId="3" fontId="11" fillId="0" borderId="105" xfId="28" applyNumberFormat="1" applyFont="1" applyBorder="1" applyAlignment="1">
      <alignment horizontal="right" vertical="center" wrapText="1"/>
    </xf>
    <xf numFmtId="3" fontId="13" fillId="0" borderId="13" xfId="28" applyNumberFormat="1" applyFont="1" applyBorder="1" applyAlignment="1">
      <alignment horizontal="right" vertical="center" wrapText="1"/>
    </xf>
    <xf numFmtId="3" fontId="11" fillId="0" borderId="125" xfId="28" applyNumberFormat="1" applyFont="1" applyBorder="1" applyAlignment="1">
      <alignment horizontal="right" vertical="center" wrapText="1"/>
    </xf>
    <xf numFmtId="3" fontId="11" fillId="0" borderId="118" xfId="28" applyNumberFormat="1" applyFont="1" applyBorder="1" applyAlignment="1">
      <alignment horizontal="right" vertical="center" wrapText="1"/>
    </xf>
    <xf numFmtId="0" fontId="18" fillId="0" borderId="55" xfId="31" applyFont="1" applyBorder="1" applyAlignment="1">
      <alignment horizontal="center" vertical="center" wrapText="1"/>
    </xf>
    <xf numFmtId="3" fontId="18" fillId="0" borderId="56" xfId="29" applyNumberFormat="1" applyFont="1" applyBorder="1" applyAlignment="1">
      <alignment horizontal="left" vertical="center" wrapText="1"/>
    </xf>
    <xf numFmtId="3" fontId="18" fillId="0" borderId="34" xfId="31" applyNumberFormat="1" applyFont="1" applyBorder="1" applyAlignment="1">
      <alignment horizontal="right" vertical="center"/>
    </xf>
    <xf numFmtId="3" fontId="18" fillId="0" borderId="34" xfId="28" applyNumberFormat="1" applyFont="1" applyBorder="1" applyAlignment="1">
      <alignment horizontal="right" vertical="center"/>
    </xf>
    <xf numFmtId="3" fontId="18" fillId="0" borderId="104" xfId="31" applyNumberFormat="1" applyFont="1" applyBorder="1" applyAlignment="1">
      <alignment horizontal="right" vertical="center"/>
    </xf>
    <xf numFmtId="0" fontId="14" fillId="0" borderId="17" xfId="28" applyFont="1" applyBorder="1" applyAlignment="1">
      <alignment horizontal="left"/>
    </xf>
    <xf numFmtId="0" fontId="13" fillId="0" borderId="17" xfId="28" applyFont="1" applyBorder="1" applyAlignment="1">
      <alignment horizontal="left"/>
    </xf>
    <xf numFmtId="0" fontId="13" fillId="0" borderId="19" xfId="28" applyFont="1" applyBorder="1" applyAlignment="1">
      <alignment horizontal="left"/>
    </xf>
    <xf numFmtId="3" fontId="39" fillId="0" borderId="18" xfId="27" applyNumberFormat="1" applyFont="1" applyBorder="1" applyAlignment="1">
      <alignment horizontal="left" wrapText="1"/>
    </xf>
    <xf numFmtId="3" fontId="20" fillId="0" borderId="156" xfId="0" applyNumberFormat="1" applyFont="1" applyBorder="1" applyAlignment="1">
      <alignment wrapText="1"/>
    </xf>
    <xf numFmtId="3" fontId="20" fillId="0" borderId="13" xfId="0" applyNumberFormat="1" applyFont="1" applyBorder="1" applyAlignment="1">
      <alignment wrapText="1"/>
    </xf>
    <xf numFmtId="3" fontId="21" fillId="0" borderId="88" xfId="28" applyNumberFormat="1" applyFont="1" applyBorder="1" applyAlignment="1">
      <alignment vertical="center" wrapText="1"/>
    </xf>
    <xf numFmtId="3" fontId="49" fillId="0" borderId="157" xfId="27" applyNumberFormat="1" applyFont="1" applyBorder="1" applyAlignment="1">
      <alignment wrapText="1"/>
    </xf>
    <xf numFmtId="0" fontId="20" fillId="0" borderId="17" xfId="28" applyFont="1" applyBorder="1" applyAlignment="1">
      <alignment horizontal="left"/>
    </xf>
    <xf numFmtId="0" fontId="21" fillId="0" borderId="19" xfId="28" applyFont="1" applyBorder="1" applyAlignment="1">
      <alignment horizontal="left"/>
    </xf>
    <xf numFmtId="0" fontId="20" fillId="0" borderId="13" xfId="28" applyFont="1" applyBorder="1" applyAlignment="1">
      <alignment horizontal="left"/>
    </xf>
    <xf numFmtId="3" fontId="20" fillId="0" borderId="13" xfId="28" applyNumberFormat="1" applyFont="1" applyBorder="1" applyAlignment="1">
      <alignment horizontal="right" vertical="center" wrapText="1"/>
    </xf>
    <xf numFmtId="3" fontId="24" fillId="0" borderId="105" xfId="28" applyNumberFormat="1" applyFont="1" applyBorder="1" applyAlignment="1">
      <alignment horizontal="right" vertical="center" wrapText="1"/>
    </xf>
    <xf numFmtId="3" fontId="20" fillId="0" borderId="105" xfId="28" applyNumberFormat="1" applyFont="1" applyBorder="1" applyAlignment="1">
      <alignment horizontal="right" wrapText="1"/>
    </xf>
    <xf numFmtId="3" fontId="24" fillId="0" borderId="105" xfId="28" applyNumberFormat="1" applyFont="1" applyBorder="1" applyAlignment="1">
      <alignment horizontal="right" wrapText="1"/>
    </xf>
    <xf numFmtId="3" fontId="13" fillId="0" borderId="82" xfId="28" applyNumberFormat="1" applyFont="1" applyBorder="1" applyAlignment="1">
      <alignment horizontal="right" vertical="center" wrapText="1"/>
    </xf>
    <xf numFmtId="3" fontId="36" fillId="0" borderId="18" xfId="27" applyNumberFormat="1" applyFont="1" applyBorder="1" applyAlignment="1">
      <alignment wrapText="1"/>
    </xf>
    <xf numFmtId="0" fontId="27" fillId="0" borderId="13" xfId="0" applyFont="1" applyBorder="1" applyAlignment="1">
      <alignment wrapText="1"/>
    </xf>
    <xf numFmtId="0" fontId="27" fillId="0" borderId="157" xfId="0" applyFont="1" applyBorder="1" applyAlignment="1">
      <alignment wrapText="1"/>
    </xf>
    <xf numFmtId="3" fontId="20" fillId="0" borderId="13" xfId="31" applyNumberFormat="1" applyFont="1" applyBorder="1" applyAlignment="1">
      <alignment horizontal="right"/>
    </xf>
    <xf numFmtId="0" fontId="27" fillId="0" borderId="13" xfId="0" applyFont="1" applyBorder="1" applyAlignment="1">
      <alignment horizontal="left" wrapText="1"/>
    </xf>
    <xf numFmtId="0" fontId="27" fillId="0" borderId="157" xfId="0" applyFont="1" applyBorder="1" applyAlignment="1">
      <alignment horizontal="left" wrapText="1"/>
    </xf>
    <xf numFmtId="0" fontId="24" fillId="0" borderId="19" xfId="28" applyFont="1" applyBorder="1" applyAlignment="1">
      <alignment horizontal="left"/>
    </xf>
    <xf numFmtId="3" fontId="24" fillId="0" borderId="13" xfId="28" applyNumberFormat="1" applyFont="1" applyBorder="1" applyAlignment="1">
      <alignment horizontal="right" vertical="center" wrapText="1"/>
    </xf>
    <xf numFmtId="3" fontId="11" fillId="0" borderId="82" xfId="31" applyNumberFormat="1" applyFont="1" applyBorder="1" applyAlignment="1">
      <alignment horizontal="right" vertical="center"/>
    </xf>
    <xf numFmtId="3" fontId="11" fillId="0" borderId="13" xfId="31" applyNumberFormat="1" applyFont="1" applyBorder="1" applyAlignment="1">
      <alignment horizontal="right" vertical="center"/>
    </xf>
    <xf numFmtId="3" fontId="13" fillId="0" borderId="13" xfId="31" applyNumberFormat="1" applyFont="1" applyBorder="1" applyAlignment="1">
      <alignment horizontal="right" vertical="center"/>
    </xf>
    <xf numFmtId="3" fontId="13" fillId="0" borderId="125" xfId="28" applyNumberFormat="1" applyFont="1" applyBorder="1" applyAlignment="1">
      <alignment horizontal="right" vertical="center" wrapText="1"/>
    </xf>
    <xf numFmtId="3" fontId="20" fillId="0" borderId="18" xfId="27" applyNumberFormat="1" applyFont="1" applyBorder="1" applyAlignment="1">
      <alignment horizontal="left" vertical="top" wrapText="1" indent="4"/>
    </xf>
    <xf numFmtId="3" fontId="11" fillId="0" borderId="181" xfId="31" applyNumberFormat="1" applyFont="1" applyBorder="1" applyAlignment="1">
      <alignment horizontal="right" vertical="center"/>
    </xf>
    <xf numFmtId="3" fontId="11" fillId="0" borderId="15" xfId="31" applyNumberFormat="1" applyFont="1" applyBorder="1" applyAlignment="1">
      <alignment horizontal="right" vertical="center"/>
    </xf>
    <xf numFmtId="3" fontId="11" fillId="0" borderId="18" xfId="31" applyNumberFormat="1" applyFont="1" applyBorder="1" applyAlignment="1">
      <alignment horizontal="right" vertical="center"/>
    </xf>
    <xf numFmtId="3" fontId="11" fillId="0" borderId="123" xfId="28" applyNumberFormat="1" applyFont="1" applyBorder="1" applyAlignment="1">
      <alignment horizontal="right" vertical="center" wrapText="1"/>
    </xf>
    <xf numFmtId="3" fontId="11" fillId="0" borderId="128" xfId="31" applyNumberFormat="1" applyFont="1" applyBorder="1" applyAlignment="1">
      <alignment horizontal="right" vertical="center"/>
    </xf>
    <xf numFmtId="3" fontId="11" fillId="0" borderId="11" xfId="31" applyNumberFormat="1" applyFont="1" applyBorder="1" applyAlignment="1">
      <alignment horizontal="right" vertical="center"/>
    </xf>
    <xf numFmtId="3" fontId="11" fillId="0" borderId="187" xfId="31" applyNumberFormat="1" applyFont="1" applyBorder="1" applyAlignment="1">
      <alignment horizontal="right" vertical="center"/>
    </xf>
    <xf numFmtId="3" fontId="13" fillId="0" borderId="103" xfId="28" applyNumberFormat="1" applyFont="1" applyBorder="1" applyAlignment="1">
      <alignment horizontal="right" vertical="center" wrapText="1"/>
    </xf>
    <xf numFmtId="3" fontId="13" fillId="0" borderId="188" xfId="28" applyNumberFormat="1" applyFont="1" applyBorder="1" applyAlignment="1">
      <alignment horizontal="right" vertical="center" wrapText="1"/>
    </xf>
    <xf numFmtId="3" fontId="14" fillId="0" borderId="13" xfId="31" applyNumberFormat="1" applyFont="1" applyBorder="1" applyAlignment="1">
      <alignment horizontal="right" vertical="center"/>
    </xf>
    <xf numFmtId="0" fontId="27" fillId="0" borderId="113" xfId="0" applyFont="1" applyBorder="1" applyAlignment="1">
      <alignment horizontal="left" wrapText="1"/>
    </xf>
    <xf numFmtId="3" fontId="24" fillId="0" borderId="82" xfId="28" applyNumberFormat="1" applyFont="1" applyBorder="1" applyAlignment="1">
      <alignment horizontal="right" vertical="center" wrapText="1"/>
    </xf>
    <xf numFmtId="3" fontId="24" fillId="0" borderId="115" xfId="28" applyNumberFormat="1" applyFont="1" applyBorder="1" applyAlignment="1">
      <alignment horizontal="right" vertical="center" wrapText="1"/>
    </xf>
    <xf numFmtId="0" fontId="27" fillId="0" borderId="133" xfId="0" applyFont="1" applyBorder="1" applyAlignment="1">
      <alignment horizontal="left" wrapText="1"/>
    </xf>
    <xf numFmtId="3" fontId="14" fillId="0" borderId="0" xfId="0" applyNumberFormat="1" applyFont="1"/>
    <xf numFmtId="3" fontId="35" fillId="0" borderId="19" xfId="0" applyNumberFormat="1" applyFont="1" applyBorder="1" applyAlignment="1">
      <alignment horizontal="center"/>
    </xf>
    <xf numFmtId="3" fontId="35" fillId="0" borderId="18" xfId="0" applyNumberFormat="1" applyFont="1" applyBorder="1"/>
    <xf numFmtId="3" fontId="35" fillId="0" borderId="123" xfId="0" applyNumberFormat="1" applyFont="1" applyBorder="1"/>
    <xf numFmtId="3" fontId="35" fillId="0" borderId="55" xfId="0" applyNumberFormat="1" applyFont="1" applyBorder="1"/>
    <xf numFmtId="3" fontId="35" fillId="0" borderId="20" xfId="0" applyNumberFormat="1" applyFont="1" applyBorder="1" applyAlignment="1">
      <alignment horizontal="center" vertical="top"/>
    </xf>
    <xf numFmtId="3" fontId="35" fillId="0" borderId="20" xfId="0" applyNumberFormat="1" applyFont="1" applyBorder="1" applyAlignment="1">
      <alignment horizontal="center" vertical="center"/>
    </xf>
    <xf numFmtId="3" fontId="35" fillId="0" borderId="97" xfId="0" applyNumberFormat="1" applyFont="1" applyBorder="1" applyAlignment="1">
      <alignment horizontal="center"/>
    </xf>
    <xf numFmtId="3" fontId="20" fillId="0" borderId="82" xfId="0" applyNumberFormat="1" applyFont="1" applyBorder="1"/>
    <xf numFmtId="3" fontId="21" fillId="0" borderId="82" xfId="0" applyNumberFormat="1" applyFont="1" applyBorder="1"/>
    <xf numFmtId="3" fontId="21" fillId="0" borderId="18" xfId="0" applyNumberFormat="1" applyFont="1" applyBorder="1"/>
    <xf numFmtId="3" fontId="21" fillId="0" borderId="36" xfId="0" applyNumberFormat="1" applyFont="1" applyBorder="1"/>
    <xf numFmtId="3" fontId="35" fillId="0" borderId="88" xfId="0" applyNumberFormat="1" applyFont="1" applyBorder="1" applyAlignment="1">
      <alignment horizontal="center" vertical="center"/>
    </xf>
    <xf numFmtId="3" fontId="35" fillId="0" borderId="36" xfId="30" applyNumberFormat="1" applyFont="1" applyBorder="1" applyAlignment="1">
      <alignment horizontal="left"/>
    </xf>
    <xf numFmtId="3" fontId="20" fillId="0" borderId="181" xfId="0" applyNumberFormat="1" applyFont="1" applyBorder="1"/>
    <xf numFmtId="0" fontId="0" fillId="0" borderId="112" xfId="0" applyBorder="1"/>
    <xf numFmtId="0" fontId="0" fillId="0" borderId="113" xfId="0" applyBorder="1"/>
    <xf numFmtId="3" fontId="35" fillId="0" borderId="18" xfId="0" applyNumberFormat="1" applyFont="1" applyBorder="1" applyAlignment="1">
      <alignment horizontal="right"/>
    </xf>
    <xf numFmtId="3" fontId="35" fillId="0" borderId="22" xfId="0" applyNumberFormat="1" applyFont="1" applyBorder="1" applyAlignment="1">
      <alignment horizontal="right"/>
    </xf>
    <xf numFmtId="3" fontId="35" fillId="0" borderId="53" xfId="0" applyNumberFormat="1" applyFont="1" applyBorder="1" applyAlignment="1">
      <alignment horizontal="right"/>
    </xf>
    <xf numFmtId="3" fontId="35" fillId="0" borderId="17" xfId="0" applyNumberFormat="1" applyFont="1" applyBorder="1" applyAlignment="1">
      <alignment horizontal="center" vertical="center"/>
    </xf>
    <xf numFmtId="3" fontId="35" fillId="0" borderId="13" xfId="0" applyNumberFormat="1" applyFont="1" applyBorder="1" applyAlignment="1">
      <alignment horizontal="center" vertical="center"/>
    </xf>
    <xf numFmtId="3" fontId="35" fillId="0" borderId="36" xfId="0" applyNumberFormat="1" applyFont="1" applyBorder="1" applyAlignment="1">
      <alignment horizontal="center" vertical="center"/>
    </xf>
    <xf numFmtId="3" fontId="35" fillId="0" borderId="92" xfId="0" applyNumberFormat="1" applyFont="1" applyBorder="1" applyAlignment="1">
      <alignment horizontal="center" vertical="center"/>
    </xf>
    <xf numFmtId="3" fontId="35" fillId="0" borderId="36" xfId="0" applyNumberFormat="1" applyFont="1" applyBorder="1" applyAlignment="1">
      <alignment vertical="center"/>
    </xf>
    <xf numFmtId="3" fontId="21" fillId="0" borderId="13" xfId="0" applyNumberFormat="1" applyFont="1" applyBorder="1" applyAlignment="1">
      <alignment horizontal="right"/>
    </xf>
    <xf numFmtId="3" fontId="21" fillId="0" borderId="18" xfId="0" applyNumberFormat="1" applyFont="1" applyBorder="1" applyAlignment="1">
      <alignment horizontal="right"/>
    </xf>
    <xf numFmtId="3" fontId="18" fillId="0" borderId="116" xfId="30" applyNumberFormat="1" applyFont="1" applyBorder="1" applyAlignment="1">
      <alignment horizontal="left"/>
    </xf>
    <xf numFmtId="3" fontId="21" fillId="0" borderId="20" xfId="0" applyNumberFormat="1" applyFont="1" applyBorder="1" applyAlignment="1">
      <alignment horizontal="center" vertical="center"/>
    </xf>
    <xf numFmtId="3" fontId="21" fillId="0" borderId="36" xfId="0" applyNumberFormat="1" applyFont="1" applyBorder="1" applyAlignment="1">
      <alignment horizontal="center" vertical="center"/>
    </xf>
    <xf numFmtId="3" fontId="21" fillId="0" borderId="13" xfId="0" applyNumberFormat="1" applyFont="1" applyBorder="1" applyAlignment="1">
      <alignment horizontal="center" vertical="center"/>
    </xf>
    <xf numFmtId="3" fontId="21" fillId="0" borderId="36" xfId="0" applyNumberFormat="1" applyFont="1" applyBorder="1" applyAlignment="1">
      <alignment horizontal="right"/>
    </xf>
    <xf numFmtId="3" fontId="24" fillId="0" borderId="55" xfId="0" applyNumberFormat="1" applyFont="1" applyBorder="1"/>
    <xf numFmtId="3" fontId="24" fillId="0" borderId="82" xfId="0" applyNumberFormat="1" applyFont="1" applyBorder="1"/>
    <xf numFmtId="3" fontId="21" fillId="0" borderId="90" xfId="0" applyNumberFormat="1" applyFont="1" applyBorder="1" applyAlignment="1">
      <alignment horizontal="center" vertical="center"/>
    </xf>
    <xf numFmtId="3" fontId="21" fillId="0" borderId="52" xfId="0" applyNumberFormat="1" applyFont="1" applyBorder="1" applyAlignment="1">
      <alignment horizontal="center" vertical="center"/>
    </xf>
    <xf numFmtId="3" fontId="20" fillId="0" borderId="38" xfId="0" applyNumberFormat="1" applyFont="1" applyBorder="1"/>
    <xf numFmtId="3" fontId="21" fillId="0" borderId="113" xfId="0" applyNumberFormat="1" applyFont="1" applyBorder="1" applyAlignment="1">
      <alignment horizontal="center" vertical="center"/>
    </xf>
    <xf numFmtId="3" fontId="21" fillId="0" borderId="51" xfId="0" applyNumberFormat="1" applyFont="1" applyBorder="1" applyAlignment="1">
      <alignment vertical="center"/>
    </xf>
    <xf numFmtId="3" fontId="21" fillId="0" borderId="18" xfId="0" applyNumberFormat="1" applyFont="1" applyBorder="1" applyAlignment="1">
      <alignment vertical="center"/>
    </xf>
    <xf numFmtId="3" fontId="21" fillId="0" borderId="18" xfId="0" applyNumberFormat="1" applyFont="1" applyBorder="1" applyAlignment="1">
      <alignment horizontal="right" vertical="center"/>
    </xf>
    <xf numFmtId="3" fontId="35" fillId="0" borderId="197" xfId="0" applyNumberFormat="1" applyFont="1" applyBorder="1" applyAlignment="1">
      <alignment horizontal="center" vertical="center"/>
    </xf>
    <xf numFmtId="3" fontId="35" fillId="0" borderId="116" xfId="30" applyNumberFormat="1" applyFont="1" applyBorder="1"/>
    <xf numFmtId="3" fontId="35" fillId="0" borderId="36" xfId="30" applyNumberFormat="1" applyFont="1" applyBorder="1" applyAlignment="1">
      <alignment horizontal="center"/>
    </xf>
    <xf numFmtId="3" fontId="35" fillId="0" borderId="36" xfId="0" applyNumberFormat="1" applyFont="1" applyBorder="1" applyAlignment="1">
      <alignment horizontal="right" vertical="center"/>
    </xf>
    <xf numFmtId="3" fontId="35" fillId="0" borderId="37" xfId="0" applyNumberFormat="1" applyFont="1" applyBorder="1" applyAlignment="1">
      <alignment horizontal="right" vertical="center"/>
    </xf>
    <xf numFmtId="3" fontId="35" fillId="0" borderId="13" xfId="30" applyNumberFormat="1" applyFont="1" applyBorder="1" applyAlignment="1">
      <alignment horizontal="center"/>
    </xf>
    <xf numFmtId="3" fontId="20" fillId="0" borderId="13" xfId="0" applyNumberFormat="1" applyFont="1" applyBorder="1" applyAlignment="1">
      <alignment horizontal="right" vertical="center"/>
    </xf>
    <xf numFmtId="3" fontId="35" fillId="0" borderId="82" xfId="0" applyNumberFormat="1" applyFont="1" applyBorder="1" applyAlignment="1">
      <alignment horizontal="center"/>
    </xf>
    <xf numFmtId="3" fontId="35" fillId="0" borderId="82" xfId="0" applyNumberFormat="1" applyFont="1" applyBorder="1" applyAlignment="1">
      <alignment horizontal="right" vertical="center"/>
    </xf>
    <xf numFmtId="3" fontId="24" fillId="0" borderId="82" xfId="0" applyNumberFormat="1" applyFont="1" applyBorder="1" applyAlignment="1">
      <alignment horizontal="right" vertical="center"/>
    </xf>
    <xf numFmtId="3" fontId="24" fillId="0" borderId="55" xfId="0" applyNumberFormat="1" applyFont="1" applyBorder="1" applyAlignment="1">
      <alignment horizontal="right" vertical="center"/>
    </xf>
    <xf numFmtId="3" fontId="21" fillId="0" borderId="14" xfId="0" applyNumberFormat="1" applyFont="1" applyBorder="1" applyAlignment="1">
      <alignment horizontal="right"/>
    </xf>
    <xf numFmtId="3" fontId="20" fillId="0" borderId="14" xfId="0" applyNumberFormat="1" applyFont="1" applyBorder="1" applyAlignment="1">
      <alignment horizontal="right" vertical="center"/>
    </xf>
    <xf numFmtId="3" fontId="21" fillId="0" borderId="18" xfId="0" applyNumberFormat="1" applyFont="1" applyBorder="1" applyAlignment="1">
      <alignment horizontal="right" wrapText="1"/>
    </xf>
    <xf numFmtId="3" fontId="18" fillId="0" borderId="13" xfId="0" applyNumberFormat="1" applyFont="1" applyBorder="1" applyAlignment="1">
      <alignment horizontal="right" wrapText="1"/>
    </xf>
    <xf numFmtId="3" fontId="21" fillId="0" borderId="13" xfId="0" applyNumberFormat="1" applyFont="1" applyBorder="1" applyAlignment="1">
      <alignment horizontal="right" wrapText="1"/>
    </xf>
    <xf numFmtId="3" fontId="20" fillId="0" borderId="13" xfId="0" applyNumberFormat="1" applyFont="1" applyBorder="1" applyAlignment="1">
      <alignment horizontal="right" wrapText="1"/>
    </xf>
    <xf numFmtId="3" fontId="24" fillId="0" borderId="13" xfId="0" applyNumberFormat="1" applyFont="1" applyBorder="1" applyAlignment="1">
      <alignment horizontal="right" wrapText="1"/>
    </xf>
    <xf numFmtId="3" fontId="24" fillId="0" borderId="14" xfId="0" applyNumberFormat="1" applyFont="1" applyBorder="1" applyAlignment="1">
      <alignment horizontal="right" wrapText="1"/>
    </xf>
    <xf numFmtId="3" fontId="20" fillId="0" borderId="18" xfId="0" applyNumberFormat="1" applyFont="1" applyBorder="1" applyAlignment="1">
      <alignment horizontal="right" wrapText="1"/>
    </xf>
    <xf numFmtId="3" fontId="24" fillId="0" borderId="18" xfId="0" applyNumberFormat="1" applyFont="1" applyBorder="1" applyAlignment="1">
      <alignment horizontal="right" wrapText="1"/>
    </xf>
    <xf numFmtId="3" fontId="20" fillId="0" borderId="22" xfId="0" applyNumberFormat="1" applyFont="1" applyBorder="1" applyAlignment="1">
      <alignment horizontal="right" wrapText="1"/>
    </xf>
    <xf numFmtId="3" fontId="11" fillId="0" borderId="36" xfId="27" applyNumberFormat="1" applyFont="1" applyBorder="1" applyAlignment="1">
      <alignment horizontal="center" vertical="center"/>
    </xf>
    <xf numFmtId="3" fontId="11" fillId="0" borderId="157" xfId="27" applyNumberFormat="1" applyFont="1" applyBorder="1" applyAlignment="1">
      <alignment horizontal="center" vertical="center"/>
    </xf>
    <xf numFmtId="3" fontId="20" fillId="0" borderId="14" xfId="0" applyNumberFormat="1" applyFont="1" applyBorder="1" applyAlignment="1">
      <alignment horizontal="right" wrapText="1"/>
    </xf>
    <xf numFmtId="3" fontId="20" fillId="0" borderId="14" xfId="0" applyNumberFormat="1" applyFont="1" applyBorder="1" applyAlignment="1">
      <alignment horizontal="right" vertical="center" wrapText="1"/>
    </xf>
    <xf numFmtId="3" fontId="21" fillId="0" borderId="14" xfId="0" applyNumberFormat="1" applyFont="1" applyBorder="1" applyAlignment="1">
      <alignment horizontal="right" wrapText="1"/>
    </xf>
    <xf numFmtId="3" fontId="20" fillId="0" borderId="82" xfId="27" applyNumberFormat="1" applyFont="1" applyBorder="1" applyAlignment="1">
      <alignment horizontal="right"/>
    </xf>
    <xf numFmtId="3" fontId="21" fillId="0" borderId="13" xfId="0" applyNumberFormat="1" applyFont="1" applyBorder="1" applyAlignment="1">
      <alignment horizontal="right" vertical="center" wrapText="1"/>
    </xf>
    <xf numFmtId="3" fontId="20" fillId="0" borderId="13" xfId="0" applyNumberFormat="1" applyFont="1" applyBorder="1" applyAlignment="1">
      <alignment horizontal="right" vertical="center" wrapText="1"/>
    </xf>
    <xf numFmtId="3" fontId="42" fillId="0" borderId="36" xfId="27" applyNumberFormat="1" applyFont="1" applyBorder="1" applyAlignment="1">
      <alignment horizontal="center" vertical="center"/>
    </xf>
    <xf numFmtId="3" fontId="42" fillId="0" borderId="157" xfId="27" applyNumberFormat="1" applyFont="1" applyBorder="1" applyAlignment="1">
      <alignment horizontal="center" vertical="center"/>
    </xf>
    <xf numFmtId="3" fontId="21" fillId="0" borderId="22" xfId="0" applyNumberFormat="1" applyFont="1" applyBorder="1" applyAlignment="1">
      <alignment horizontal="right" wrapText="1"/>
    </xf>
    <xf numFmtId="3" fontId="21" fillId="0" borderId="14" xfId="0" applyNumberFormat="1" applyFont="1" applyBorder="1" applyAlignment="1">
      <alignment horizontal="right" vertical="center" wrapText="1"/>
    </xf>
    <xf numFmtId="3" fontId="36" fillId="0" borderId="20" xfId="27" applyNumberFormat="1" applyFont="1" applyBorder="1" applyAlignment="1">
      <alignment horizontal="center" vertical="center"/>
    </xf>
    <xf numFmtId="3" fontId="36" fillId="0" borderId="18" xfId="27" applyNumberFormat="1" applyFont="1" applyBorder="1" applyAlignment="1">
      <alignment horizontal="right"/>
    </xf>
    <xf numFmtId="3" fontId="36" fillId="0" borderId="19" xfId="27" applyNumberFormat="1" applyFont="1" applyBorder="1" applyAlignment="1">
      <alignment horizontal="right"/>
    </xf>
    <xf numFmtId="3" fontId="36" fillId="0" borderId="18" xfId="0" applyNumberFormat="1" applyFont="1" applyBorder="1" applyAlignment="1">
      <alignment horizontal="right" wrapText="1"/>
    </xf>
    <xf numFmtId="3" fontId="20" fillId="0" borderId="197" xfId="27" applyNumberFormat="1" applyFont="1" applyBorder="1" applyAlignment="1">
      <alignment horizontal="center" vertical="center"/>
    </xf>
    <xf numFmtId="3" fontId="18" fillId="0" borderId="98" xfId="27" applyNumberFormat="1" applyFont="1" applyBorder="1" applyAlignment="1">
      <alignment horizontal="right"/>
    </xf>
    <xf numFmtId="3" fontId="18" fillId="0" borderId="98" xfId="27" applyNumberFormat="1" applyFont="1" applyBorder="1" applyAlignment="1">
      <alignment horizontal="center"/>
    </xf>
    <xf numFmtId="3" fontId="36" fillId="0" borderId="128" xfId="0" applyNumberFormat="1" applyFont="1" applyBorder="1" applyAlignment="1">
      <alignment horizontal="right" wrapText="1"/>
    </xf>
    <xf numFmtId="3" fontId="20" fillId="0" borderId="180" xfId="27" applyNumberFormat="1" applyFont="1" applyBorder="1" applyAlignment="1">
      <alignment horizontal="center" vertical="center"/>
    </xf>
    <xf numFmtId="3" fontId="35" fillId="0" borderId="36" xfId="27" applyNumberFormat="1" applyFont="1" applyBorder="1" applyAlignment="1">
      <alignment horizontal="right"/>
    </xf>
    <xf numFmtId="3" fontId="44" fillId="0" borderId="92" xfId="0" applyNumberFormat="1" applyFont="1" applyBorder="1" applyAlignment="1">
      <alignment horizontal="right" wrapText="1"/>
    </xf>
    <xf numFmtId="3" fontId="35" fillId="0" borderId="92" xfId="0" applyNumberFormat="1" applyFont="1" applyBorder="1" applyAlignment="1">
      <alignment horizontal="right" wrapText="1"/>
    </xf>
    <xf numFmtId="3" fontId="35" fillId="0" borderId="217" xfId="0" applyNumberFormat="1" applyFont="1" applyBorder="1" applyAlignment="1">
      <alignment horizontal="right" wrapText="1"/>
    </xf>
    <xf numFmtId="3" fontId="18" fillId="0" borderId="79" xfId="27" applyNumberFormat="1" applyFont="1" applyBorder="1" applyAlignment="1">
      <alignment horizontal="right"/>
    </xf>
    <xf numFmtId="3" fontId="21" fillId="0" borderId="17" xfId="27" applyNumberFormat="1" applyFont="1" applyBorder="1" applyAlignment="1">
      <alignment wrapText="1"/>
    </xf>
    <xf numFmtId="3" fontId="21" fillId="0" borderId="116" xfId="27" applyNumberFormat="1" applyFont="1" applyBorder="1" applyAlignment="1">
      <alignment wrapText="1"/>
    </xf>
    <xf numFmtId="3" fontId="35" fillId="0" borderId="17" xfId="27" applyNumberFormat="1" applyFont="1" applyBorder="1" applyAlignment="1">
      <alignment wrapText="1"/>
    </xf>
    <xf numFmtId="3" fontId="35" fillId="0" borderId="116" xfId="27" applyNumberFormat="1" applyFont="1" applyBorder="1" applyAlignment="1">
      <alignment wrapText="1"/>
    </xf>
    <xf numFmtId="3" fontId="18" fillId="0" borderId="36" xfId="27" applyNumberFormat="1" applyFont="1" applyBorder="1" applyAlignment="1">
      <alignment horizontal="right"/>
    </xf>
    <xf numFmtId="3" fontId="21" fillId="0" borderId="92" xfId="0" applyNumberFormat="1" applyFont="1" applyBorder="1"/>
    <xf numFmtId="3" fontId="44" fillId="0" borderId="36" xfId="0" applyNumberFormat="1" applyFont="1" applyBorder="1" applyAlignment="1">
      <alignment horizontal="right" wrapText="1"/>
    </xf>
    <xf numFmtId="3" fontId="21" fillId="0" borderId="13" xfId="27" applyNumberFormat="1" applyFont="1" applyBorder="1"/>
    <xf numFmtId="3" fontId="21" fillId="0" borderId="128" xfId="0" applyNumberFormat="1" applyFont="1" applyBorder="1" applyAlignment="1">
      <alignment horizontal="right" wrapText="1"/>
    </xf>
    <xf numFmtId="3" fontId="21" fillId="0" borderId="181" xfId="0" applyNumberFormat="1" applyFont="1" applyBorder="1" applyAlignment="1">
      <alignment horizontal="right" wrapText="1"/>
    </xf>
    <xf numFmtId="3" fontId="20" fillId="0" borderId="101" xfId="0" applyNumberFormat="1" applyFont="1" applyBorder="1" applyAlignment="1">
      <alignment wrapText="1"/>
    </xf>
    <xf numFmtId="0" fontId="0" fillId="0" borderId="113" xfId="0" applyBorder="1" applyAlignment="1">
      <alignment wrapText="1"/>
    </xf>
    <xf numFmtId="3" fontId="21" fillId="0" borderId="52" xfId="27" applyNumberFormat="1" applyFont="1" applyBorder="1" applyAlignment="1">
      <alignment horizontal="center" vertical="center"/>
    </xf>
    <xf numFmtId="3" fontId="49" fillId="0" borderId="108" xfId="27" applyNumberFormat="1" applyFont="1" applyBorder="1" applyAlignment="1">
      <alignment wrapText="1"/>
    </xf>
    <xf numFmtId="3" fontId="49" fillId="0" borderId="36" xfId="27" applyNumberFormat="1" applyFont="1" applyBorder="1" applyAlignment="1">
      <alignment wrapText="1"/>
    </xf>
    <xf numFmtId="3" fontId="49" fillId="0" borderId="216" xfId="27" applyNumberFormat="1" applyFont="1" applyBorder="1" applyAlignment="1">
      <alignment wrapText="1"/>
    </xf>
    <xf numFmtId="3" fontId="18" fillId="0" borderId="52" xfId="0" applyNumberFormat="1" applyFont="1" applyBorder="1" applyAlignment="1">
      <alignment horizontal="center" wrapText="1"/>
    </xf>
    <xf numFmtId="3" fontId="18" fillId="0" borderId="36" xfId="0" applyNumberFormat="1" applyFont="1" applyBorder="1" applyAlignment="1">
      <alignment horizontal="center" wrapText="1"/>
    </xf>
    <xf numFmtId="0" fontId="0" fillId="0" borderId="36" xfId="0" applyBorder="1" applyAlignment="1">
      <alignment wrapText="1"/>
    </xf>
    <xf numFmtId="0" fontId="0" fillId="0" borderId="216" xfId="0" applyBorder="1" applyAlignment="1">
      <alignment wrapText="1"/>
    </xf>
    <xf numFmtId="3" fontId="43" fillId="0" borderId="36" xfId="0" applyNumberFormat="1" applyFont="1" applyBorder="1" applyAlignment="1">
      <alignment horizontal="right" wrapText="1"/>
    </xf>
    <xf numFmtId="3" fontId="43" fillId="0" borderId="37" xfId="0" applyNumberFormat="1" applyFont="1" applyBorder="1" applyAlignment="1">
      <alignment horizontal="right" wrapText="1"/>
    </xf>
    <xf numFmtId="3" fontId="20" fillId="0" borderId="105" xfId="27" applyNumberFormat="1" applyFont="1" applyBorder="1" applyAlignment="1">
      <alignment horizontal="right"/>
    </xf>
    <xf numFmtId="3" fontId="20" fillId="0" borderId="123" xfId="27" applyNumberFormat="1" applyFont="1" applyBorder="1" applyAlignment="1">
      <alignment horizontal="right"/>
    </xf>
    <xf numFmtId="3" fontId="18" fillId="0" borderId="123" xfId="27" applyNumberFormat="1" applyFont="1" applyBorder="1" applyAlignment="1">
      <alignment horizontal="right"/>
    </xf>
    <xf numFmtId="3" fontId="35" fillId="0" borderId="123" xfId="27" applyNumberFormat="1" applyFont="1" applyBorder="1" applyAlignment="1">
      <alignment horizontal="right"/>
    </xf>
    <xf numFmtId="3" fontId="18" fillId="0" borderId="105" xfId="27" applyNumberFormat="1" applyFont="1" applyBorder="1" applyAlignment="1">
      <alignment horizontal="right"/>
    </xf>
    <xf numFmtId="3" fontId="20" fillId="0" borderId="125" xfId="27" applyNumberFormat="1" applyFont="1" applyBorder="1" applyAlignment="1">
      <alignment horizontal="right"/>
    </xf>
    <xf numFmtId="3" fontId="35" fillId="0" borderId="217" xfId="0" applyNumberFormat="1" applyFont="1" applyBorder="1"/>
    <xf numFmtId="0" fontId="0" fillId="0" borderId="133" xfId="0" applyBorder="1" applyAlignment="1">
      <alignment wrapText="1"/>
    </xf>
    <xf numFmtId="3" fontId="13" fillId="0" borderId="220" xfId="0" applyNumberFormat="1" applyFont="1" applyBorder="1" applyAlignment="1">
      <alignment horizontal="right" vertical="center"/>
    </xf>
    <xf numFmtId="3" fontId="13" fillId="0" borderId="221" xfId="0" applyNumberFormat="1" applyFont="1" applyBorder="1" applyAlignment="1">
      <alignment horizontal="right"/>
    </xf>
    <xf numFmtId="3" fontId="11" fillId="0" borderId="221" xfId="0" applyNumberFormat="1" applyFont="1" applyBorder="1"/>
    <xf numFmtId="3" fontId="13" fillId="0" borderId="222" xfId="0" applyNumberFormat="1" applyFont="1" applyBorder="1" applyAlignment="1">
      <alignment vertical="center"/>
    </xf>
    <xf numFmtId="3" fontId="11" fillId="0" borderId="221" xfId="0" applyNumberFormat="1" applyFont="1" applyBorder="1" applyAlignment="1">
      <alignment horizontal="right"/>
    </xf>
    <xf numFmtId="3" fontId="13" fillId="0" borderId="223" xfId="0" applyNumberFormat="1" applyFont="1" applyBorder="1" applyAlignment="1">
      <alignment horizontal="right" vertical="center"/>
    </xf>
    <xf numFmtId="3" fontId="11" fillId="0" borderId="221" xfId="0" applyNumberFormat="1" applyFont="1" applyBorder="1" applyAlignment="1">
      <alignment horizontal="right" vertical="center"/>
    </xf>
    <xf numFmtId="3" fontId="11" fillId="0" borderId="223" xfId="0" applyNumberFormat="1" applyFont="1" applyBorder="1" applyAlignment="1">
      <alignment horizontal="right" vertical="center"/>
    </xf>
    <xf numFmtId="3" fontId="13" fillId="0" borderId="221" xfId="0" applyNumberFormat="1" applyFont="1" applyBorder="1" applyAlignment="1">
      <alignment horizontal="right" vertical="center"/>
    </xf>
    <xf numFmtId="3" fontId="13" fillId="0" borderId="224" xfId="0" applyNumberFormat="1" applyFont="1" applyBorder="1" applyAlignment="1">
      <alignment horizontal="right" vertical="center"/>
    </xf>
    <xf numFmtId="165" fontId="11" fillId="0" borderId="221" xfId="33" applyNumberFormat="1" applyFont="1" applyFill="1" applyBorder="1" applyAlignment="1">
      <alignment horizontal="right"/>
    </xf>
    <xf numFmtId="165" fontId="11" fillId="0" borderId="144" xfId="33" applyNumberFormat="1" applyFont="1" applyFill="1" applyBorder="1" applyAlignment="1">
      <alignment horizontal="right"/>
    </xf>
    <xf numFmtId="0" fontId="11" fillId="0" borderId="63" xfId="0" applyFont="1" applyBorder="1"/>
    <xf numFmtId="0" fontId="11" fillId="0" borderId="63" xfId="0" applyFont="1" applyBorder="1" applyAlignment="1">
      <alignment vertical="center"/>
    </xf>
    <xf numFmtId="3" fontId="11" fillId="0" borderId="63" xfId="0" applyNumberFormat="1" applyFont="1" applyBorder="1"/>
    <xf numFmtId="0" fontId="11" fillId="0" borderId="225" xfId="0" applyFont="1" applyBorder="1"/>
    <xf numFmtId="0" fontId="11" fillId="0" borderId="77" xfId="0" applyFont="1" applyBorder="1" applyAlignment="1">
      <alignment vertical="center"/>
    </xf>
    <xf numFmtId="3" fontId="25" fillId="0" borderId="15" xfId="0" applyNumberFormat="1" applyFont="1" applyBorder="1"/>
    <xf numFmtId="3" fontId="13" fillId="0" borderId="226" xfId="0" applyNumberFormat="1" applyFont="1" applyBorder="1" applyAlignment="1">
      <alignment horizontal="right" vertical="center"/>
    </xf>
    <xf numFmtId="3" fontId="20" fillId="0" borderId="36" xfId="0" applyNumberFormat="1" applyFont="1" applyBorder="1"/>
    <xf numFmtId="3" fontId="20" fillId="0" borderId="37" xfId="0" applyNumberFormat="1" applyFont="1" applyBorder="1"/>
    <xf numFmtId="3" fontId="20" fillId="0" borderId="36" xfId="0" applyNumberFormat="1" applyFont="1" applyBorder="1" applyAlignment="1">
      <alignment horizontal="right"/>
    </xf>
    <xf numFmtId="3" fontId="20" fillId="0" borderId="18" xfId="0" applyNumberFormat="1" applyFont="1" applyBorder="1"/>
    <xf numFmtId="3" fontId="20" fillId="0" borderId="18" xfId="0" applyNumberFormat="1" applyFont="1" applyBorder="1" applyAlignment="1">
      <alignment horizontal="right" vertical="center"/>
    </xf>
    <xf numFmtId="3" fontId="20" fillId="0" borderId="18" xfId="0" applyNumberFormat="1" applyFont="1" applyBorder="1" applyAlignment="1">
      <alignment horizontal="right"/>
    </xf>
    <xf numFmtId="0" fontId="13" fillId="0" borderId="182" xfId="28" applyFont="1" applyBorder="1" applyAlignment="1">
      <alignment horizontal="left"/>
    </xf>
    <xf numFmtId="3" fontId="13" fillId="0" borderId="125" xfId="28" applyNumberFormat="1" applyFont="1" applyBorder="1" applyAlignment="1">
      <alignment horizontal="right" wrapText="1"/>
    </xf>
    <xf numFmtId="3" fontId="11" fillId="0" borderId="217" xfId="31" applyNumberFormat="1" applyFont="1" applyBorder="1" applyAlignment="1">
      <alignment horizontal="right" vertical="center"/>
    </xf>
    <xf numFmtId="3" fontId="20" fillId="0" borderId="82" xfId="0" applyNumberFormat="1" applyFont="1" applyBorder="1" applyAlignment="1">
      <alignment horizontal="right"/>
    </xf>
    <xf numFmtId="3" fontId="36" fillId="0" borderId="52" xfId="0" applyNumberFormat="1" applyFont="1" applyBorder="1" applyAlignment="1">
      <alignment horizontal="left" vertical="center" wrapText="1"/>
    </xf>
    <xf numFmtId="3" fontId="36" fillId="0" borderId="92" xfId="0" applyNumberFormat="1" applyFont="1" applyBorder="1" applyAlignment="1">
      <alignment horizontal="left" vertical="center" wrapText="1"/>
    </xf>
    <xf numFmtId="3" fontId="36" fillId="0" borderId="36" xfId="0" applyNumberFormat="1" applyFont="1" applyBorder="1" applyAlignment="1">
      <alignment horizontal="left" vertical="center" wrapText="1"/>
    </xf>
    <xf numFmtId="3" fontId="36" fillId="0" borderId="36" xfId="0" applyNumberFormat="1" applyFont="1" applyBorder="1" applyAlignment="1">
      <alignment horizontal="right" vertical="center"/>
    </xf>
    <xf numFmtId="3" fontId="35" fillId="0" borderId="92" xfId="0" applyNumberFormat="1" applyFont="1" applyBorder="1" applyAlignment="1">
      <alignment horizontal="right" vertical="center"/>
    </xf>
    <xf numFmtId="3" fontId="25" fillId="0" borderId="82" xfId="28" applyNumberFormat="1" applyFont="1" applyBorder="1" applyAlignment="1">
      <alignment horizontal="right" wrapText="1"/>
    </xf>
    <xf numFmtId="3" fontId="11" fillId="0" borderId="113" xfId="28" applyNumberFormat="1" applyFont="1" applyBorder="1" applyAlignment="1">
      <alignment horizontal="right"/>
    </xf>
    <xf numFmtId="3" fontId="14" fillId="0" borderId="82" xfId="28" applyNumberFormat="1" applyFont="1" applyBorder="1" applyAlignment="1">
      <alignment horizontal="right" vertical="center" wrapText="1"/>
    </xf>
    <xf numFmtId="3" fontId="44" fillId="0" borderId="18" xfId="0" applyNumberFormat="1" applyFont="1" applyBorder="1" applyAlignment="1">
      <alignment horizontal="right" vertical="center"/>
    </xf>
    <xf numFmtId="3" fontId="21" fillId="0" borderId="92" xfId="0" applyNumberFormat="1" applyFont="1" applyBorder="1" applyAlignment="1">
      <alignment horizontal="right" wrapText="1"/>
    </xf>
    <xf numFmtId="3" fontId="20" fillId="0" borderId="92" xfId="0" applyNumberFormat="1" applyFont="1" applyBorder="1" applyAlignment="1">
      <alignment horizontal="right" wrapText="1"/>
    </xf>
    <xf numFmtId="3" fontId="21" fillId="0" borderId="217" xfId="0" applyNumberFormat="1" applyFont="1" applyBorder="1" applyAlignment="1">
      <alignment horizontal="right" wrapText="1"/>
    </xf>
    <xf numFmtId="3" fontId="20" fillId="0" borderId="217" xfId="0" applyNumberFormat="1" applyFont="1" applyBorder="1" applyAlignment="1">
      <alignment horizontal="right" wrapText="1"/>
    </xf>
    <xf numFmtId="3" fontId="21" fillId="0" borderId="125" xfId="28" applyNumberFormat="1" applyFont="1" applyBorder="1" applyAlignment="1">
      <alignment horizontal="right" wrapText="1"/>
    </xf>
    <xf numFmtId="3" fontId="11" fillId="0" borderId="9" xfId="26" applyNumberFormat="1" applyFont="1" applyBorder="1" applyAlignment="1">
      <alignment horizontal="center" vertical="center" wrapText="1"/>
    </xf>
    <xf numFmtId="3" fontId="11" fillId="0" borderId="159" xfId="0" applyNumberFormat="1" applyFont="1" applyBorder="1" applyAlignment="1">
      <alignment horizontal="center" vertical="center" wrapText="1"/>
    </xf>
    <xf numFmtId="3" fontId="18" fillId="0" borderId="19" xfId="0" applyNumberFormat="1" applyFont="1" applyBorder="1"/>
    <xf numFmtId="3" fontId="18" fillId="0" borderId="17" xfId="0" applyNumberFormat="1" applyFont="1" applyBorder="1"/>
    <xf numFmtId="3" fontId="35" fillId="0" borderId="17" xfId="0" applyNumberFormat="1" applyFont="1" applyBorder="1" applyAlignment="1">
      <alignment vertical="center"/>
    </xf>
    <xf numFmtId="3" fontId="35" fillId="0" borderId="105" xfId="0" applyNumberFormat="1" applyFont="1" applyBorder="1" applyAlignment="1">
      <alignment vertical="center"/>
    </xf>
    <xf numFmtId="3" fontId="35" fillId="0" borderId="125" xfId="0" applyNumberFormat="1" applyFont="1" applyBorder="1" applyAlignment="1">
      <alignment vertical="center"/>
    </xf>
    <xf numFmtId="3" fontId="35" fillId="0" borderId="183" xfId="0" applyNumberFormat="1" applyFont="1" applyBorder="1" applyAlignment="1">
      <alignment vertical="center"/>
    </xf>
    <xf numFmtId="3" fontId="24" fillId="0" borderId="101" xfId="0" applyNumberFormat="1" applyFont="1" applyBorder="1" applyAlignment="1">
      <alignment vertical="center"/>
    </xf>
    <xf numFmtId="3" fontId="35" fillId="0" borderId="116" xfId="0" applyNumberFormat="1" applyFont="1" applyBorder="1" applyAlignment="1">
      <alignment vertical="center"/>
    </xf>
    <xf numFmtId="3" fontId="18" fillId="0" borderId="17" xfId="0" applyNumberFormat="1" applyFont="1" applyBorder="1" applyAlignment="1">
      <alignment vertical="center"/>
    </xf>
    <xf numFmtId="3" fontId="24" fillId="0" borderId="118" xfId="0" applyNumberFormat="1" applyFont="1" applyBorder="1" applyAlignment="1">
      <alignment vertical="center"/>
    </xf>
    <xf numFmtId="3" fontId="35" fillId="0" borderId="97" xfId="0" applyNumberFormat="1" applyFont="1" applyBorder="1" applyAlignment="1">
      <alignment vertical="center"/>
    </xf>
    <xf numFmtId="3" fontId="35" fillId="0" borderId="133" xfId="0" applyNumberFormat="1" applyFont="1" applyBorder="1" applyAlignment="1">
      <alignment vertical="center"/>
    </xf>
    <xf numFmtId="3" fontId="21" fillId="0" borderId="56" xfId="0" applyNumberFormat="1" applyFont="1" applyBorder="1" applyAlignment="1">
      <alignment horizontal="right"/>
    </xf>
    <xf numFmtId="3" fontId="21" fillId="0" borderId="17" xfId="0" applyNumberFormat="1" applyFont="1" applyBorder="1" applyAlignment="1">
      <alignment vertical="center"/>
    </xf>
    <xf numFmtId="3" fontId="21" fillId="0" borderId="105" xfId="0" applyNumberFormat="1" applyFont="1" applyBorder="1" applyAlignment="1">
      <alignment vertical="center"/>
    </xf>
    <xf numFmtId="3" fontId="24" fillId="0" borderId="17" xfId="0" applyNumberFormat="1" applyFont="1" applyBorder="1" applyAlignment="1">
      <alignment vertical="center"/>
    </xf>
    <xf numFmtId="3" fontId="18" fillId="0" borderId="19" xfId="0" applyNumberFormat="1" applyFont="1" applyBorder="1" applyAlignment="1">
      <alignment vertical="center"/>
    </xf>
    <xf numFmtId="3" fontId="18" fillId="0" borderId="105" xfId="0" applyNumberFormat="1" applyFont="1" applyBorder="1" applyAlignment="1">
      <alignment vertical="center"/>
    </xf>
    <xf numFmtId="3" fontId="18" fillId="0" borderId="123" xfId="0" applyNumberFormat="1" applyFont="1" applyBorder="1" applyAlignment="1">
      <alignment vertical="center"/>
    </xf>
    <xf numFmtId="3" fontId="21" fillId="0" borderId="56" xfId="0" applyNumberFormat="1" applyFont="1" applyBorder="1" applyAlignment="1">
      <alignment horizontal="right" vertical="center"/>
    </xf>
    <xf numFmtId="3" fontId="18" fillId="0" borderId="17" xfId="0" applyNumberFormat="1" applyFont="1" applyBorder="1" applyAlignment="1">
      <alignment horizontal="right" vertical="center"/>
    </xf>
    <xf numFmtId="3" fontId="36" fillId="0" borderId="105" xfId="0" applyNumberFormat="1" applyFont="1" applyBorder="1" applyAlignment="1">
      <alignment horizontal="right" vertical="center"/>
    </xf>
    <xf numFmtId="3" fontId="18" fillId="0" borderId="105" xfId="0" applyNumberFormat="1" applyFont="1" applyBorder="1" applyAlignment="1">
      <alignment horizontal="right" vertical="center"/>
    </xf>
    <xf numFmtId="3" fontId="18" fillId="0" borderId="105" xfId="0" applyNumberFormat="1" applyFont="1" applyBorder="1" applyAlignment="1">
      <alignment horizontal="right" vertical="top"/>
    </xf>
    <xf numFmtId="3" fontId="36" fillId="0" borderId="125" xfId="0" applyNumberFormat="1" applyFont="1" applyBorder="1" applyAlignment="1">
      <alignment horizontal="right" vertical="center"/>
    </xf>
    <xf numFmtId="3" fontId="21" fillId="0" borderId="14" xfId="0" applyNumberFormat="1" applyFont="1" applyBorder="1"/>
    <xf numFmtId="3" fontId="21" fillId="0" borderId="37" xfId="0" applyNumberFormat="1" applyFont="1" applyBorder="1"/>
    <xf numFmtId="3" fontId="55" fillId="0" borderId="0" xfId="0" applyNumberFormat="1" applyFont="1" applyAlignment="1">
      <alignment horizontal="center" vertical="center"/>
    </xf>
    <xf numFmtId="3" fontId="25" fillId="0" borderId="7" xfId="26" applyNumberFormat="1" applyFont="1" applyBorder="1" applyAlignment="1">
      <alignment horizontal="right" wrapText="1"/>
    </xf>
    <xf numFmtId="3" fontId="25" fillId="0" borderId="5" xfId="26" applyNumberFormat="1" applyFont="1" applyBorder="1" applyAlignment="1">
      <alignment horizontal="right" wrapText="1"/>
    </xf>
    <xf numFmtId="3" fontId="25" fillId="0" borderId="5" xfId="0" applyNumberFormat="1" applyFont="1" applyBorder="1" applyAlignment="1">
      <alignment horizontal="right" vertical="center"/>
    </xf>
    <xf numFmtId="3" fontId="25" fillId="0" borderId="25" xfId="0" applyNumberFormat="1" applyFont="1" applyBorder="1" applyAlignment="1">
      <alignment horizontal="right" vertical="center"/>
    </xf>
    <xf numFmtId="3" fontId="25" fillId="0" borderId="7" xfId="26" applyNumberFormat="1" applyFont="1" applyBorder="1"/>
    <xf numFmtId="3" fontId="25" fillId="0" borderId="5" xfId="26" applyNumberFormat="1" applyFont="1" applyBorder="1"/>
    <xf numFmtId="3" fontId="25" fillId="0" borderId="0" xfId="26" applyNumberFormat="1" applyFont="1"/>
    <xf numFmtId="3" fontId="25" fillId="0" borderId="9" xfId="26" applyNumberFormat="1" applyFont="1" applyBorder="1" applyAlignment="1">
      <alignment vertical="center"/>
    </xf>
    <xf numFmtId="3" fontId="21" fillId="0" borderId="96" xfId="0" applyNumberFormat="1" applyFont="1" applyBorder="1" applyAlignment="1">
      <alignment horizontal="right" wrapText="1"/>
    </xf>
    <xf numFmtId="0" fontId="11" fillId="0" borderId="0" xfId="0" applyFont="1" applyAlignment="1">
      <alignment horizontal="left"/>
    </xf>
    <xf numFmtId="3" fontId="13" fillId="0" borderId="227" xfId="0" applyNumberFormat="1" applyFont="1" applyBorder="1" applyAlignment="1">
      <alignment horizontal="right" vertical="center"/>
    </xf>
    <xf numFmtId="3" fontId="13" fillId="0" borderId="228" xfId="0" applyNumberFormat="1" applyFont="1" applyBorder="1" applyAlignment="1">
      <alignment horizontal="right" vertical="center"/>
    </xf>
    <xf numFmtId="3" fontId="13" fillId="0" borderId="229" xfId="0" applyNumberFormat="1" applyFont="1" applyBorder="1" applyAlignment="1">
      <alignment horizontal="right" vertical="center"/>
    </xf>
    <xf numFmtId="3" fontId="11" fillId="0" borderId="228" xfId="0" applyNumberFormat="1" applyFont="1" applyBorder="1" applyAlignment="1">
      <alignment horizontal="right" vertical="center"/>
    </xf>
    <xf numFmtId="165" fontId="11" fillId="0" borderId="63" xfId="33" applyNumberFormat="1" applyFont="1" applyFill="1" applyBorder="1" applyAlignment="1">
      <alignment horizontal="right"/>
    </xf>
    <xf numFmtId="165" fontId="11" fillId="0" borderId="23" xfId="33" applyNumberFormat="1" applyFont="1" applyFill="1" applyBorder="1" applyAlignment="1">
      <alignment horizontal="right"/>
    </xf>
    <xf numFmtId="0" fontId="15" fillId="0" borderId="0" xfId="31" applyFont="1" applyAlignment="1" applyProtection="1">
      <alignment horizontal="center" vertical="center"/>
      <protection locked="0"/>
    </xf>
    <xf numFmtId="0" fontId="18" fillId="0" borderId="0" xfId="31" applyFont="1" applyProtection="1">
      <protection locked="0"/>
    </xf>
    <xf numFmtId="0" fontId="11" fillId="0" borderId="0" xfId="47" applyFont="1" applyAlignment="1" applyProtection="1">
      <alignment horizontal="center" vertical="center"/>
      <protection locked="0"/>
    </xf>
    <xf numFmtId="3" fontId="11" fillId="0" borderId="0" xfId="47" applyNumberFormat="1" applyFont="1" applyAlignment="1" applyProtection="1">
      <alignment horizontal="center" vertical="center"/>
      <protection locked="0"/>
    </xf>
    <xf numFmtId="3" fontId="11" fillId="0" borderId="0" xfId="47" applyNumberFormat="1" applyFont="1" applyProtection="1">
      <protection locked="0"/>
    </xf>
    <xf numFmtId="3" fontId="11" fillId="0" borderId="0" xfId="47" applyNumberFormat="1" applyFont="1" applyAlignment="1" applyProtection="1">
      <alignment horizontal="right"/>
      <protection locked="0"/>
    </xf>
    <xf numFmtId="3" fontId="11" fillId="0" borderId="0" xfId="31" applyNumberFormat="1" applyFont="1" applyAlignment="1" applyProtection="1">
      <alignment horizontal="right"/>
      <protection locked="0"/>
    </xf>
    <xf numFmtId="3" fontId="14" fillId="0" borderId="0" xfId="47" applyNumberFormat="1" applyFont="1" applyProtection="1">
      <protection locked="0"/>
    </xf>
    <xf numFmtId="0" fontId="11" fillId="0" borderId="0" xfId="47" applyFont="1" applyProtection="1">
      <protection locked="0"/>
    </xf>
    <xf numFmtId="0" fontId="11" fillId="0" borderId="0" xfId="31" applyFont="1" applyProtection="1">
      <protection locked="0"/>
    </xf>
    <xf numFmtId="0" fontId="11" fillId="0" borderId="0" xfId="31" applyFont="1" applyAlignment="1" applyProtection="1">
      <alignment horizontal="center" vertical="center"/>
      <protection locked="0"/>
    </xf>
    <xf numFmtId="0" fontId="18" fillId="0" borderId="0" xfId="31" applyFont="1" applyAlignment="1" applyProtection="1">
      <alignment horizontal="center" vertical="center"/>
      <protection locked="0"/>
    </xf>
    <xf numFmtId="0" fontId="18" fillId="0" borderId="0" xfId="31" applyFont="1" applyAlignment="1" applyProtection="1">
      <alignment horizontal="center" vertical="top"/>
      <protection locked="0"/>
    </xf>
    <xf numFmtId="0" fontId="18" fillId="0" borderId="0" xfId="31" applyFont="1" applyAlignment="1" applyProtection="1">
      <alignment wrapText="1"/>
      <protection locked="0"/>
    </xf>
    <xf numFmtId="3" fontId="18" fillId="0" borderId="0" xfId="31" applyNumberFormat="1" applyFont="1" applyAlignment="1" applyProtection="1">
      <alignment horizontal="center" vertical="center" wrapText="1"/>
      <protection locked="0"/>
    </xf>
    <xf numFmtId="3" fontId="18" fillId="0" borderId="0" xfId="31" applyNumberFormat="1" applyFont="1" applyProtection="1">
      <protection locked="0"/>
    </xf>
    <xf numFmtId="3" fontId="18" fillId="0" borderId="0" xfId="31" applyNumberFormat="1" applyFont="1" applyAlignment="1" applyProtection="1">
      <alignment horizontal="right"/>
      <protection locked="0"/>
    </xf>
    <xf numFmtId="3" fontId="20" fillId="0" borderId="0" xfId="31" applyNumberFormat="1" applyFont="1" applyAlignment="1" applyProtection="1">
      <alignment horizontal="right"/>
      <protection locked="0"/>
    </xf>
    <xf numFmtId="3" fontId="20" fillId="0" borderId="0" xfId="31" applyNumberFormat="1" applyFont="1" applyProtection="1">
      <protection locked="0"/>
    </xf>
    <xf numFmtId="0" fontId="15" fillId="0" borderId="0" xfId="31" applyFont="1" applyAlignment="1" applyProtection="1">
      <alignment horizontal="center"/>
      <protection locked="0"/>
    </xf>
    <xf numFmtId="0" fontId="15" fillId="0" borderId="0" xfId="32" applyFont="1" applyAlignment="1" applyProtection="1">
      <alignment horizontal="center" wrapText="1"/>
      <protection locked="0"/>
    </xf>
    <xf numFmtId="3" fontId="15" fillId="0" borderId="0" xfId="32" applyNumberFormat="1" applyFont="1" applyAlignment="1" applyProtection="1">
      <alignment horizontal="center"/>
      <protection locked="0"/>
    </xf>
    <xf numFmtId="3" fontId="55" fillId="0" borderId="0" xfId="31" applyNumberFormat="1" applyFont="1" applyAlignment="1" applyProtection="1">
      <alignment horizontal="center"/>
      <protection locked="0"/>
    </xf>
    <xf numFmtId="0" fontId="15" fillId="0" borderId="0" xfId="0" applyFont="1" applyProtection="1">
      <protection locked="0"/>
    </xf>
    <xf numFmtId="3" fontId="18" fillId="0" borderId="0" xfId="31" applyNumberFormat="1" applyFont="1" applyAlignment="1" applyProtection="1">
      <alignment horizontal="center" vertical="center"/>
      <protection locked="0"/>
    </xf>
    <xf numFmtId="0" fontId="18" fillId="0" borderId="20" xfId="32" applyFont="1" applyBorder="1" applyAlignment="1" applyProtection="1">
      <alignment horizontal="center"/>
      <protection locked="0"/>
    </xf>
    <xf numFmtId="3" fontId="29" fillId="0" borderId="18" xfId="30" applyNumberFormat="1" applyFont="1" applyBorder="1" applyAlignment="1" applyProtection="1">
      <alignment horizontal="left"/>
      <protection locked="0"/>
    </xf>
    <xf numFmtId="0" fontId="29" fillId="0" borderId="18" xfId="31" applyFont="1" applyBorder="1" applyAlignment="1" applyProtection="1">
      <alignment horizontal="left" wrapText="1"/>
      <protection locked="0"/>
    </xf>
    <xf numFmtId="0" fontId="18" fillId="0" borderId="18" xfId="32" applyFont="1" applyBorder="1" applyAlignment="1" applyProtection="1">
      <alignment horizontal="center"/>
      <protection locked="0"/>
    </xf>
    <xf numFmtId="3" fontId="18" fillId="0" borderId="18" xfId="32" applyNumberFormat="1" applyFont="1" applyBorder="1" applyProtection="1">
      <protection locked="0"/>
    </xf>
    <xf numFmtId="3" fontId="18" fillId="0" borderId="18" xfId="31" applyNumberFormat="1" applyFont="1" applyBorder="1" applyProtection="1">
      <protection locked="0"/>
    </xf>
    <xf numFmtId="3" fontId="18" fillId="0" borderId="19" xfId="31" applyNumberFormat="1" applyFont="1" applyBorder="1" applyAlignment="1" applyProtection="1">
      <alignment horizontal="right"/>
      <protection locked="0"/>
    </xf>
    <xf numFmtId="3" fontId="18" fillId="0" borderId="51" xfId="31" applyNumberFormat="1" applyFont="1" applyBorder="1" applyAlignment="1" applyProtection="1">
      <alignment horizontal="left"/>
      <protection locked="0"/>
    </xf>
    <xf numFmtId="0" fontId="18" fillId="0" borderId="0" xfId="31" applyFont="1" applyAlignment="1" applyProtection="1">
      <alignment horizontal="left"/>
      <protection locked="0"/>
    </xf>
    <xf numFmtId="3" fontId="18" fillId="0" borderId="13" xfId="30" applyNumberFormat="1" applyFont="1" applyBorder="1" applyAlignment="1" applyProtection="1">
      <alignment horizontal="center"/>
      <protection locked="0"/>
    </xf>
    <xf numFmtId="0" fontId="18" fillId="0" borderId="18" xfId="31" applyFont="1" applyBorder="1" applyAlignment="1" applyProtection="1">
      <alignment horizontal="left" wrapText="1"/>
      <protection locked="0"/>
    </xf>
    <xf numFmtId="3" fontId="18" fillId="0" borderId="18" xfId="32" applyNumberFormat="1" applyFont="1" applyBorder="1" applyAlignment="1" applyProtection="1">
      <alignment vertical="center"/>
      <protection locked="0"/>
    </xf>
    <xf numFmtId="3" fontId="18" fillId="0" borderId="18" xfId="31" applyNumberFormat="1" applyFont="1" applyBorder="1" applyAlignment="1" applyProtection="1">
      <alignment vertical="center"/>
      <protection locked="0"/>
    </xf>
    <xf numFmtId="3" fontId="18" fillId="0" borderId="19" xfId="31" applyNumberFormat="1" applyFont="1" applyBorder="1" applyAlignment="1" applyProtection="1">
      <alignment horizontal="right" vertical="center"/>
      <protection locked="0"/>
    </xf>
    <xf numFmtId="3" fontId="18" fillId="0" borderId="51" xfId="31" applyNumberFormat="1" applyFont="1" applyBorder="1" applyAlignment="1" applyProtection="1">
      <alignment horizontal="right"/>
      <protection locked="0"/>
    </xf>
    <xf numFmtId="0" fontId="24" fillId="0" borderId="13" xfId="31" applyFont="1" applyBorder="1" applyProtection="1">
      <protection locked="0"/>
    </xf>
    <xf numFmtId="0" fontId="24" fillId="0" borderId="18" xfId="32" applyFont="1" applyBorder="1" applyAlignment="1" applyProtection="1">
      <alignment horizontal="left"/>
      <protection locked="0"/>
    </xf>
    <xf numFmtId="3" fontId="29" fillId="0" borderId="13" xfId="30" applyNumberFormat="1" applyFont="1" applyBorder="1" applyAlignment="1" applyProtection="1">
      <alignment horizontal="left"/>
      <protection locked="0"/>
    </xf>
    <xf numFmtId="3" fontId="18" fillId="0" borderId="13" xfId="30" applyNumberFormat="1" applyFont="1" applyBorder="1" applyAlignment="1" applyProtection="1">
      <alignment horizontal="center" vertical="top"/>
      <protection locked="0"/>
    </xf>
    <xf numFmtId="0" fontId="24" fillId="0" borderId="13" xfId="31" applyFont="1" applyBorder="1" applyAlignment="1" applyProtection="1">
      <alignment horizontal="left"/>
      <protection locked="0"/>
    </xf>
    <xf numFmtId="0" fontId="18" fillId="0" borderId="13" xfId="31" applyFont="1" applyBorder="1" applyAlignment="1" applyProtection="1">
      <alignment horizontal="left" wrapText="1"/>
      <protection locked="0"/>
    </xf>
    <xf numFmtId="3" fontId="21" fillId="0" borderId="18" xfId="32" applyNumberFormat="1" applyFont="1" applyBorder="1" applyProtection="1">
      <protection locked="0"/>
    </xf>
    <xf numFmtId="3" fontId="18" fillId="0" borderId="19" xfId="31" applyNumberFormat="1" applyFont="1" applyBorder="1" applyAlignment="1" applyProtection="1">
      <alignment horizontal="left"/>
      <protection locked="0"/>
    </xf>
    <xf numFmtId="0" fontId="21" fillId="0" borderId="13" xfId="31" applyFont="1" applyBorder="1" applyAlignment="1" applyProtection="1">
      <alignment wrapText="1"/>
      <protection locked="0"/>
    </xf>
    <xf numFmtId="0" fontId="32" fillId="0" borderId="13" xfId="31" applyFont="1" applyBorder="1" applyAlignment="1" applyProtection="1">
      <alignment horizontal="left"/>
      <protection locked="0"/>
    </xf>
    <xf numFmtId="3" fontId="18" fillId="0" borderId="18" xfId="30" applyNumberFormat="1" applyFont="1" applyBorder="1" applyAlignment="1" applyProtection="1">
      <alignment horizontal="center" vertical="top"/>
      <protection locked="0"/>
    </xf>
    <xf numFmtId="0" fontId="18" fillId="0" borderId="20" xfId="32" applyFont="1" applyBorder="1" applyAlignment="1" applyProtection="1">
      <alignment horizontal="center" vertical="top"/>
      <protection locked="0"/>
    </xf>
    <xf numFmtId="0" fontId="18" fillId="0" borderId="18" xfId="32" applyFont="1" applyBorder="1" applyAlignment="1" applyProtection="1">
      <alignment horizontal="center" vertical="top"/>
      <protection locked="0"/>
    </xf>
    <xf numFmtId="3" fontId="18" fillId="0" borderId="18" xfId="31" applyNumberFormat="1" applyFont="1" applyBorder="1" applyAlignment="1" applyProtection="1">
      <alignment horizontal="right"/>
      <protection locked="0"/>
    </xf>
    <xf numFmtId="0" fontId="18" fillId="0" borderId="0" xfId="31" applyFont="1" applyAlignment="1" applyProtection="1">
      <alignment vertical="top"/>
      <protection locked="0"/>
    </xf>
    <xf numFmtId="3" fontId="50" fillId="0" borderId="51" xfId="31" applyNumberFormat="1" applyFont="1" applyBorder="1" applyAlignment="1" applyProtection="1">
      <alignment horizontal="right"/>
      <protection locked="0"/>
    </xf>
    <xf numFmtId="3" fontId="18" fillId="0" borderId="18" xfId="32" applyNumberFormat="1" applyFont="1" applyBorder="1" applyAlignment="1" applyProtection="1">
      <alignment horizontal="right"/>
      <protection locked="0"/>
    </xf>
    <xf numFmtId="3" fontId="18" fillId="0" borderId="18" xfId="30" applyNumberFormat="1" applyFont="1" applyBorder="1" applyAlignment="1" applyProtection="1">
      <alignment horizontal="center"/>
      <protection locked="0"/>
    </xf>
    <xf numFmtId="3" fontId="29" fillId="0" borderId="18" xfId="0" applyNumberFormat="1" applyFont="1" applyBorder="1" applyAlignment="1" applyProtection="1">
      <alignment horizontal="left"/>
      <protection locked="0"/>
    </xf>
    <xf numFmtId="0" fontId="21" fillId="0" borderId="100" xfId="32" applyFont="1" applyBorder="1" applyAlignment="1" applyProtection="1">
      <alignment horizontal="center" vertical="center"/>
      <protection locked="0"/>
    </xf>
    <xf numFmtId="3" fontId="21" fillId="0" borderId="100" xfId="32" applyNumberFormat="1" applyFont="1" applyBorder="1" applyAlignment="1" applyProtection="1">
      <alignment vertical="center"/>
      <protection locked="0"/>
    </xf>
    <xf numFmtId="3" fontId="21" fillId="0" borderId="100" xfId="31" applyNumberFormat="1" applyFont="1" applyBorder="1" applyAlignment="1" applyProtection="1">
      <alignment vertical="center"/>
      <protection locked="0"/>
    </xf>
    <xf numFmtId="3" fontId="21" fillId="0" borderId="121" xfId="31" applyNumberFormat="1" applyFont="1" applyBorder="1" applyAlignment="1" applyProtection="1">
      <alignment horizontal="right" vertical="center"/>
      <protection locked="0"/>
    </xf>
    <xf numFmtId="3" fontId="21" fillId="0" borderId="212" xfId="31" applyNumberFormat="1" applyFont="1" applyBorder="1" applyAlignment="1" applyProtection="1">
      <alignment horizontal="right" vertical="center"/>
      <protection locked="0"/>
    </xf>
    <xf numFmtId="0" fontId="21" fillId="0" borderId="0" xfId="31" applyFont="1" applyAlignment="1" applyProtection="1">
      <alignment horizontal="left" vertical="center"/>
      <protection locked="0"/>
    </xf>
    <xf numFmtId="3" fontId="29" fillId="0" borderId="19" xfId="0" applyNumberFormat="1" applyFont="1" applyBorder="1" applyAlignment="1" applyProtection="1">
      <alignment horizontal="left"/>
      <protection locked="0"/>
    </xf>
    <xf numFmtId="0" fontId="21" fillId="0" borderId="50" xfId="32" applyFont="1" applyBorder="1" applyAlignment="1" applyProtection="1">
      <alignment horizontal="center" vertical="center"/>
      <protection locked="0"/>
    </xf>
    <xf numFmtId="3" fontId="21" fillId="0" borderId="50" xfId="32" applyNumberFormat="1" applyFont="1" applyBorder="1" applyAlignment="1" applyProtection="1">
      <alignment vertical="center"/>
      <protection locked="0"/>
    </xf>
    <xf numFmtId="3" fontId="21" fillId="0" borderId="50" xfId="31" applyNumberFormat="1" applyFont="1" applyBorder="1" applyAlignment="1" applyProtection="1">
      <alignment vertical="center"/>
      <protection locked="0"/>
    </xf>
    <xf numFmtId="3" fontId="21" fillId="0" borderId="122" xfId="31" applyNumberFormat="1" applyFont="1" applyBorder="1" applyAlignment="1" applyProtection="1">
      <alignment horizontal="right" vertical="center"/>
      <protection locked="0"/>
    </xf>
    <xf numFmtId="3" fontId="21" fillId="0" borderId="210" xfId="31" applyNumberFormat="1" applyFont="1" applyBorder="1" applyAlignment="1" applyProtection="1">
      <alignment horizontal="right" vertical="center"/>
      <protection locked="0"/>
    </xf>
    <xf numFmtId="3" fontId="18" fillId="0" borderId="0" xfId="47" applyNumberFormat="1" applyFont="1" applyAlignment="1" applyProtection="1">
      <alignment horizontal="left" vertical="top"/>
      <protection locked="0"/>
    </xf>
    <xf numFmtId="3" fontId="18" fillId="0" borderId="0" xfId="47" applyNumberFormat="1" applyFont="1" applyAlignment="1" applyProtection="1">
      <alignment horizontal="center" vertical="top"/>
      <protection locked="0"/>
    </xf>
    <xf numFmtId="3" fontId="18" fillId="0" borderId="0" xfId="47" applyNumberFormat="1" applyFont="1" applyAlignment="1" applyProtection="1">
      <alignment horizontal="center" vertical="center"/>
      <protection locked="0"/>
    </xf>
    <xf numFmtId="3" fontId="18" fillId="0" borderId="0" xfId="32" applyNumberFormat="1" applyFont="1" applyProtection="1">
      <protection locked="0"/>
    </xf>
    <xf numFmtId="3" fontId="18" fillId="0" borderId="0" xfId="32" applyNumberFormat="1" applyFont="1" applyAlignment="1" applyProtection="1">
      <alignment wrapText="1"/>
      <protection locked="0"/>
    </xf>
    <xf numFmtId="3" fontId="18" fillId="0" borderId="0" xfId="32" applyNumberFormat="1" applyFont="1" applyAlignment="1" applyProtection="1">
      <alignment horizontal="right"/>
      <protection locked="0"/>
    </xf>
    <xf numFmtId="3" fontId="18" fillId="0" borderId="0" xfId="47" applyNumberFormat="1" applyFont="1" applyProtection="1">
      <protection locked="0"/>
    </xf>
    <xf numFmtId="3" fontId="18" fillId="0" borderId="0" xfId="31" applyNumberFormat="1" applyFont="1" applyAlignment="1" applyProtection="1">
      <alignment horizontal="right" vertical="center"/>
      <protection locked="0"/>
    </xf>
    <xf numFmtId="3" fontId="11" fillId="0" borderId="13" xfId="28" applyNumberFormat="1" applyFont="1" applyBorder="1" applyAlignment="1">
      <alignment horizontal="right" vertical="center"/>
    </xf>
    <xf numFmtId="3" fontId="11" fillId="0" borderId="105" xfId="31" applyNumberFormat="1" applyFont="1" applyBorder="1" applyAlignment="1">
      <alignment horizontal="right" vertical="center"/>
    </xf>
    <xf numFmtId="0" fontId="11" fillId="0" borderId="82" xfId="31" applyFont="1" applyBorder="1" applyAlignment="1">
      <alignment horizontal="center" vertical="center" wrapText="1"/>
    </xf>
    <xf numFmtId="3" fontId="11" fillId="0" borderId="103" xfId="31" applyNumberFormat="1" applyFont="1" applyBorder="1" applyAlignment="1">
      <alignment horizontal="right" vertical="center"/>
    </xf>
    <xf numFmtId="3" fontId="11" fillId="0" borderId="157" xfId="31" applyNumberFormat="1" applyFont="1" applyBorder="1" applyAlignment="1">
      <alignment horizontal="right" vertical="center"/>
    </xf>
    <xf numFmtId="0" fontId="11" fillId="0" borderId="83" xfId="31" applyFont="1" applyBorder="1" applyAlignment="1">
      <alignment horizontal="center" vertical="center" wrapText="1"/>
    </xf>
    <xf numFmtId="3" fontId="14" fillId="0" borderId="11" xfId="0" applyNumberFormat="1" applyFont="1" applyBorder="1" applyAlignment="1">
      <alignment wrapText="1"/>
    </xf>
    <xf numFmtId="3" fontId="39" fillId="0" borderId="13" xfId="31" applyNumberFormat="1" applyFont="1" applyBorder="1" applyAlignment="1">
      <alignment horizontal="right" vertical="center"/>
    </xf>
    <xf numFmtId="3" fontId="39" fillId="0" borderId="13" xfId="28" applyNumberFormat="1" applyFont="1" applyBorder="1" applyAlignment="1">
      <alignment horizontal="right" vertical="center"/>
    </xf>
    <xf numFmtId="3" fontId="39" fillId="0" borderId="105" xfId="31" applyNumberFormat="1" applyFont="1" applyBorder="1" applyAlignment="1">
      <alignment horizontal="right" vertical="center"/>
    </xf>
    <xf numFmtId="0" fontId="39" fillId="0" borderId="82" xfId="31" applyFont="1" applyBorder="1" applyAlignment="1">
      <alignment horizontal="center" vertical="center" wrapText="1"/>
    </xf>
    <xf numFmtId="3" fontId="39" fillId="0" borderId="82" xfId="28" applyNumberFormat="1" applyFont="1" applyBorder="1" applyAlignment="1">
      <alignment horizontal="right" vertical="center" wrapText="1"/>
    </xf>
    <xf numFmtId="3" fontId="39" fillId="0" borderId="13" xfId="28" applyNumberFormat="1" applyFont="1" applyBorder="1" applyAlignment="1">
      <alignment horizontal="right" vertical="center" wrapText="1"/>
    </xf>
    <xf numFmtId="3" fontId="39" fillId="0" borderId="105" xfId="28" applyNumberFormat="1" applyFont="1" applyBorder="1" applyAlignment="1">
      <alignment horizontal="right" vertical="center" wrapText="1"/>
    </xf>
    <xf numFmtId="3" fontId="14" fillId="0" borderId="13" xfId="28" applyNumberFormat="1" applyFont="1" applyBorder="1" applyAlignment="1">
      <alignment horizontal="right" vertical="center"/>
    </xf>
    <xf numFmtId="3" fontId="14" fillId="0" borderId="105" xfId="31" applyNumberFormat="1" applyFont="1" applyBorder="1" applyAlignment="1">
      <alignment horizontal="right" vertical="center"/>
    </xf>
    <xf numFmtId="0" fontId="14" fillId="0" borderId="82" xfId="31" applyFont="1" applyBorder="1" applyAlignment="1">
      <alignment horizontal="center" vertical="center" wrapText="1"/>
    </xf>
    <xf numFmtId="3" fontId="13" fillId="0" borderId="13" xfId="28" applyNumberFormat="1" applyFont="1" applyBorder="1" applyAlignment="1">
      <alignment horizontal="right" vertical="center"/>
    </xf>
    <xf numFmtId="3" fontId="13" fillId="0" borderId="105" xfId="31" applyNumberFormat="1" applyFont="1" applyBorder="1" applyAlignment="1">
      <alignment horizontal="right" vertical="center"/>
    </xf>
    <xf numFmtId="0" fontId="13" fillId="0" borderId="82" xfId="31" applyFont="1" applyBorder="1" applyAlignment="1">
      <alignment horizontal="center" vertical="center" wrapText="1"/>
    </xf>
    <xf numFmtId="3" fontId="13" fillId="0" borderId="11" xfId="28" applyNumberFormat="1" applyFont="1" applyBorder="1" applyAlignment="1">
      <alignment wrapText="1"/>
    </xf>
    <xf numFmtId="3" fontId="13" fillId="0" borderId="13" xfId="28" applyNumberFormat="1" applyFont="1" applyBorder="1" applyAlignment="1">
      <alignment wrapText="1"/>
    </xf>
    <xf numFmtId="3" fontId="13" fillId="0" borderId="79" xfId="28" applyNumberFormat="1" applyFont="1" applyBorder="1" applyAlignment="1">
      <alignment wrapText="1"/>
    </xf>
    <xf numFmtId="3" fontId="13" fillId="0" borderId="113" xfId="28" applyNumberFormat="1" applyFont="1" applyBorder="1" applyAlignment="1">
      <alignment wrapText="1"/>
    </xf>
    <xf numFmtId="3" fontId="18" fillId="0" borderId="0" xfId="15" applyNumberFormat="1" applyFont="1" applyAlignment="1">
      <alignment horizontal="left"/>
    </xf>
    <xf numFmtId="3" fontId="11" fillId="0" borderId="190" xfId="31" applyNumberFormat="1" applyFont="1" applyBorder="1" applyAlignment="1">
      <alignment horizontal="right" vertical="center"/>
    </xf>
    <xf numFmtId="0" fontId="11" fillId="0" borderId="55" xfId="31" applyFont="1" applyBorder="1" applyAlignment="1">
      <alignment horizontal="center" vertical="center" wrapText="1"/>
    </xf>
    <xf numFmtId="3" fontId="11" fillId="0" borderId="98" xfId="31" applyNumberFormat="1" applyFont="1" applyBorder="1" applyAlignment="1">
      <alignment horizontal="right" vertical="center"/>
    </xf>
    <xf numFmtId="3" fontId="11" fillId="0" borderId="18" xfId="28" applyNumberFormat="1" applyFont="1" applyBorder="1" applyAlignment="1">
      <alignment horizontal="right" vertical="center"/>
    </xf>
    <xf numFmtId="3" fontId="14" fillId="0" borderId="156" xfId="0" applyNumberFormat="1" applyFont="1" applyBorder="1" applyAlignment="1">
      <alignment wrapText="1"/>
    </xf>
    <xf numFmtId="3" fontId="25" fillId="0" borderId="83" xfId="28" applyNumberFormat="1" applyFont="1" applyBorder="1" applyAlignment="1">
      <alignment horizontal="right" vertical="center" wrapText="1"/>
    </xf>
    <xf numFmtId="3" fontId="25" fillId="0" borderId="11" xfId="28" applyNumberFormat="1" applyFont="1" applyBorder="1" applyAlignment="1">
      <alignment horizontal="right" vertical="center" wrapText="1"/>
    </xf>
    <xf numFmtId="3" fontId="25" fillId="0" borderId="118" xfId="28" applyNumberFormat="1" applyFont="1" applyBorder="1" applyAlignment="1">
      <alignment horizontal="right" vertical="center" wrapText="1"/>
    </xf>
    <xf numFmtId="3" fontId="25" fillId="0" borderId="187" xfId="28" applyNumberFormat="1" applyFont="1" applyBorder="1" applyAlignment="1">
      <alignment horizontal="right" vertical="center" wrapText="1"/>
    </xf>
    <xf numFmtId="3" fontId="25" fillId="0" borderId="181" xfId="28" applyNumberFormat="1" applyFont="1" applyBorder="1" applyAlignment="1">
      <alignment horizontal="right" vertical="center" wrapText="1"/>
    </xf>
    <xf numFmtId="3" fontId="25" fillId="0" borderId="111" xfId="28" applyNumberFormat="1" applyFont="1" applyBorder="1" applyAlignment="1">
      <alignment horizontal="right" vertical="center" wrapText="1"/>
    </xf>
    <xf numFmtId="0" fontId="41" fillId="0" borderId="13" xfId="31" applyFont="1" applyBorder="1" applyAlignment="1">
      <alignment horizontal="left" wrapText="1"/>
    </xf>
    <xf numFmtId="0" fontId="38" fillId="0" borderId="13" xfId="0" applyFont="1" applyBorder="1" applyAlignment="1">
      <alignment wrapText="1"/>
    </xf>
    <xf numFmtId="0" fontId="38" fillId="0" borderId="157" xfId="0" applyFont="1" applyBorder="1" applyAlignment="1">
      <alignment wrapText="1"/>
    </xf>
    <xf numFmtId="3" fontId="36" fillId="0" borderId="82" xfId="28" applyNumberFormat="1" applyFont="1" applyBorder="1" applyAlignment="1">
      <alignment horizontal="right" vertical="center" wrapText="1"/>
    </xf>
    <xf numFmtId="3" fontId="36" fillId="0" borderId="13" xfId="31" applyNumberFormat="1" applyFont="1" applyBorder="1" applyAlignment="1">
      <alignment horizontal="right"/>
    </xf>
    <xf numFmtId="3" fontId="36" fillId="0" borderId="82" xfId="31" applyNumberFormat="1" applyFont="1" applyBorder="1" applyAlignment="1">
      <alignment horizontal="right"/>
    </xf>
    <xf numFmtId="3" fontId="36" fillId="0" borderId="90" xfId="31" applyNumberFormat="1" applyFont="1" applyBorder="1" applyAlignment="1">
      <alignment horizontal="right"/>
    </xf>
    <xf numFmtId="3" fontId="36" fillId="0" borderId="105" xfId="28" applyNumberFormat="1" applyFont="1" applyBorder="1" applyAlignment="1">
      <alignment horizontal="right" vertical="center" wrapText="1"/>
    </xf>
    <xf numFmtId="3" fontId="36" fillId="0" borderId="13" xfId="28" applyNumberFormat="1" applyFont="1" applyBorder="1" applyAlignment="1">
      <alignment horizontal="right" vertical="center" wrapText="1"/>
    </xf>
    <xf numFmtId="3" fontId="52" fillId="0" borderId="125" xfId="28" applyNumberFormat="1" applyFont="1" applyBorder="1" applyAlignment="1">
      <alignment horizontal="right" vertical="center" wrapText="1"/>
    </xf>
    <xf numFmtId="3" fontId="35" fillId="0" borderId="13" xfId="31" applyNumberFormat="1" applyFont="1" applyBorder="1" applyAlignment="1">
      <alignment horizontal="right" vertical="center"/>
    </xf>
    <xf numFmtId="3" fontId="35" fillId="0" borderId="13" xfId="28" applyNumberFormat="1" applyFont="1" applyBorder="1" applyAlignment="1">
      <alignment horizontal="right" vertical="center"/>
    </xf>
    <xf numFmtId="3" fontId="35" fillId="0" borderId="105" xfId="31" applyNumberFormat="1" applyFont="1" applyBorder="1" applyAlignment="1">
      <alignment horizontal="right" vertical="center"/>
    </xf>
    <xf numFmtId="0" fontId="35" fillId="0" borderId="82" xfId="31" applyFont="1" applyBorder="1" applyAlignment="1">
      <alignment horizontal="center" vertical="center" wrapText="1"/>
    </xf>
    <xf numFmtId="3" fontId="36" fillId="0" borderId="13" xfId="31" applyNumberFormat="1" applyFont="1" applyBorder="1" applyAlignment="1">
      <alignment horizontal="right" vertical="center"/>
    </xf>
    <xf numFmtId="3" fontId="36" fillId="0" borderId="125" xfId="28" applyNumberFormat="1" applyFont="1" applyBorder="1" applyAlignment="1">
      <alignment horizontal="right" vertical="center" wrapText="1"/>
    </xf>
    <xf numFmtId="3" fontId="24" fillId="0" borderId="18" xfId="27" applyNumberFormat="1" applyFont="1" applyBorder="1" applyAlignment="1">
      <alignment horizontal="left" vertical="top" wrapText="1" indent="4"/>
    </xf>
    <xf numFmtId="3" fontId="21" fillId="0" borderId="13" xfId="31" applyNumberFormat="1" applyFont="1" applyBorder="1" applyAlignment="1">
      <alignment horizontal="right" vertical="center"/>
    </xf>
    <xf numFmtId="3" fontId="24" fillId="0" borderId="13" xfId="31" applyNumberFormat="1" applyFont="1" applyBorder="1" applyAlignment="1">
      <alignment horizontal="right" vertical="center"/>
    </xf>
    <xf numFmtId="3" fontId="18" fillId="0" borderId="36" xfId="27" applyNumberFormat="1" applyFont="1" applyBorder="1" applyAlignment="1">
      <alignment horizontal="center"/>
    </xf>
    <xf numFmtId="3" fontId="18" fillId="0" borderId="36" xfId="27" applyNumberFormat="1" applyFont="1" applyBorder="1" applyAlignment="1">
      <alignment horizontal="center" wrapText="1"/>
    </xf>
    <xf numFmtId="3" fontId="18" fillId="0" borderId="13" xfId="27" applyNumberFormat="1" applyFont="1" applyBorder="1" applyAlignment="1">
      <alignment horizontal="center" wrapText="1"/>
    </xf>
    <xf numFmtId="3" fontId="18" fillId="0" borderId="11" xfId="27" applyNumberFormat="1" applyFont="1" applyBorder="1" applyAlignment="1">
      <alignment horizontal="center" wrapText="1"/>
    </xf>
    <xf numFmtId="3" fontId="20" fillId="0" borderId="18" xfId="27" applyNumberFormat="1" applyFont="1" applyBorder="1" applyAlignment="1">
      <alignment horizontal="left" vertical="top" wrapText="1" indent="2"/>
    </xf>
    <xf numFmtId="3" fontId="24" fillId="0" borderId="18" xfId="27" applyNumberFormat="1" applyFont="1" applyBorder="1" applyAlignment="1">
      <alignment horizontal="left" vertical="top" wrapText="1" indent="2"/>
    </xf>
    <xf numFmtId="0" fontId="13" fillId="0" borderId="0" xfId="0" applyFont="1" applyAlignment="1">
      <alignment horizontal="center" vertical="center"/>
    </xf>
    <xf numFmtId="3" fontId="13" fillId="0" borderId="9" xfId="26" applyNumberFormat="1" applyFont="1" applyBorder="1" applyAlignment="1">
      <alignment horizontal="center" vertical="center" wrapText="1"/>
    </xf>
    <xf numFmtId="3" fontId="13" fillId="0" borderId="26" xfId="0" applyNumberFormat="1" applyFont="1" applyBorder="1" applyAlignment="1">
      <alignment horizontal="right" vertical="center"/>
    </xf>
    <xf numFmtId="3" fontId="18" fillId="0" borderId="55" xfId="31" applyNumberFormat="1" applyFont="1" applyBorder="1" applyAlignment="1" applyProtection="1">
      <alignment horizontal="left"/>
      <protection locked="0"/>
    </xf>
    <xf numFmtId="3" fontId="18" fillId="0" borderId="55" xfId="31" applyNumberFormat="1" applyFont="1" applyBorder="1" applyAlignment="1" applyProtection="1">
      <alignment horizontal="right"/>
      <protection locked="0"/>
    </xf>
    <xf numFmtId="3" fontId="50" fillId="0" borderId="55" xfId="31" applyNumberFormat="1" applyFont="1" applyBorder="1" applyAlignment="1" applyProtection="1">
      <alignment horizontal="right"/>
      <protection locked="0"/>
    </xf>
    <xf numFmtId="3" fontId="18" fillId="0" borderId="54" xfId="31" applyNumberFormat="1" applyFont="1" applyBorder="1" applyAlignment="1" applyProtection="1">
      <alignment horizontal="right"/>
      <protection locked="0"/>
    </xf>
    <xf numFmtId="3" fontId="21" fillId="0" borderId="100" xfId="31" applyNumberFormat="1" applyFont="1" applyBorder="1" applyAlignment="1" applyProtection="1">
      <alignment horizontal="right" vertical="center"/>
      <protection locked="0"/>
    </xf>
    <xf numFmtId="3" fontId="21" fillId="0" borderId="50" xfId="31" applyNumberFormat="1" applyFont="1" applyBorder="1" applyAlignment="1" applyProtection="1">
      <alignment horizontal="right" vertical="center"/>
      <protection locked="0"/>
    </xf>
    <xf numFmtId="3" fontId="24" fillId="0" borderId="100" xfId="31" applyNumberFormat="1" applyFont="1" applyBorder="1" applyAlignment="1" applyProtection="1">
      <alignment horizontal="right" vertical="center"/>
      <protection locked="0"/>
    </xf>
    <xf numFmtId="3" fontId="35" fillId="0" borderId="90" xfId="0" applyNumberFormat="1" applyFont="1" applyBorder="1" applyAlignment="1">
      <alignment horizontal="center" vertical="center"/>
    </xf>
    <xf numFmtId="3" fontId="21" fillId="0" borderId="117" xfId="0" applyNumberFormat="1" applyFont="1" applyBorder="1"/>
    <xf numFmtId="3" fontId="21" fillId="0" borderId="108" xfId="0" applyNumberFormat="1" applyFont="1" applyBorder="1" applyAlignment="1">
      <alignment horizontal="center" vertical="center"/>
    </xf>
    <xf numFmtId="3" fontId="18" fillId="0" borderId="18" xfId="0" applyNumberFormat="1" applyFont="1" applyBorder="1" applyAlignment="1">
      <alignment vertical="center"/>
    </xf>
    <xf numFmtId="3" fontId="18" fillId="0" borderId="19" xfId="0" applyNumberFormat="1" applyFont="1" applyBorder="1" applyAlignment="1">
      <alignment horizontal="center" vertical="top"/>
    </xf>
    <xf numFmtId="0" fontId="18" fillId="0" borderId="17" xfId="0" applyFont="1" applyBorder="1" applyAlignment="1">
      <alignment horizontal="left" wrapText="1"/>
    </xf>
    <xf numFmtId="3" fontId="21" fillId="0" borderId="36" xfId="0" applyNumberFormat="1" applyFont="1" applyBorder="1" applyAlignment="1">
      <alignment horizontal="right" vertical="center"/>
    </xf>
    <xf numFmtId="3" fontId="35" fillId="0" borderId="92" xfId="0" applyNumberFormat="1" applyFont="1" applyBorder="1" applyAlignment="1">
      <alignment horizontal="center"/>
    </xf>
    <xf numFmtId="3" fontId="36" fillId="0" borderId="180" xfId="0" applyNumberFormat="1" applyFont="1" applyBorder="1" applyAlignment="1">
      <alignment horizontal="left" vertical="center" wrapText="1"/>
    </xf>
    <xf numFmtId="3" fontId="36" fillId="0" borderId="108" xfId="0" applyNumberFormat="1" applyFont="1" applyBorder="1" applyAlignment="1">
      <alignment horizontal="left" vertical="center" wrapText="1"/>
    </xf>
    <xf numFmtId="3" fontId="36" fillId="0" borderId="108" xfId="0" applyNumberFormat="1" applyFont="1" applyBorder="1" applyAlignment="1">
      <alignment horizontal="right" vertical="center"/>
    </xf>
    <xf numFmtId="3" fontId="36" fillId="0" borderId="92" xfId="0" applyNumberFormat="1" applyFont="1" applyBorder="1" applyAlignment="1">
      <alignment horizontal="right" vertical="center"/>
    </xf>
    <xf numFmtId="3" fontId="36" fillId="0" borderId="216" xfId="0" applyNumberFormat="1" applyFont="1" applyBorder="1" applyAlignment="1">
      <alignment horizontal="right" vertical="center"/>
    </xf>
    <xf numFmtId="3" fontId="21" fillId="0" borderId="82" xfId="0" applyNumberFormat="1" applyFont="1" applyBorder="1" applyAlignment="1">
      <alignment horizontal="right" vertical="center"/>
    </xf>
    <xf numFmtId="3" fontId="21" fillId="0" borderId="92" xfId="0" applyNumberFormat="1" applyFont="1" applyBorder="1" applyAlignment="1">
      <alignment horizontal="right" vertical="center"/>
    </xf>
    <xf numFmtId="3" fontId="21" fillId="0" borderId="37" xfId="0" applyNumberFormat="1" applyFont="1" applyBorder="1" applyAlignment="1">
      <alignment horizontal="right"/>
    </xf>
    <xf numFmtId="3" fontId="21" fillId="0" borderId="37" xfId="0" applyNumberFormat="1" applyFont="1" applyBorder="1" applyAlignment="1">
      <alignment horizontal="right" vertical="center"/>
    </xf>
    <xf numFmtId="3" fontId="24" fillId="0" borderId="14" xfId="0" applyNumberFormat="1" applyFont="1" applyBorder="1"/>
    <xf numFmtId="3" fontId="24" fillId="0" borderId="22" xfId="0" applyNumberFormat="1" applyFont="1" applyBorder="1"/>
    <xf numFmtId="3" fontId="24" fillId="0" borderId="37" xfId="0" applyNumberFormat="1" applyFont="1" applyBorder="1"/>
    <xf numFmtId="3" fontId="35" fillId="0" borderId="116" xfId="0" applyNumberFormat="1" applyFont="1" applyBorder="1" applyAlignment="1">
      <alignment horizontal="center"/>
    </xf>
    <xf numFmtId="3" fontId="35" fillId="0" borderId="180" xfId="0" applyNumberFormat="1" applyFont="1" applyBorder="1" applyAlignment="1">
      <alignment horizontal="center" vertical="center"/>
    </xf>
    <xf numFmtId="0" fontId="21" fillId="0" borderId="13" xfId="28" applyFont="1" applyBorder="1" applyAlignment="1">
      <alignment horizontal="left"/>
    </xf>
    <xf numFmtId="3" fontId="11" fillId="0" borderId="92" xfId="28" applyNumberFormat="1" applyFont="1" applyBorder="1" applyAlignment="1">
      <alignment horizontal="right" vertical="center" wrapText="1"/>
    </xf>
    <xf numFmtId="3" fontId="48" fillId="0" borderId="217" xfId="28" applyNumberFormat="1" applyFont="1" applyBorder="1" applyAlignment="1">
      <alignment horizontal="right" vertical="center" wrapText="1"/>
    </xf>
    <xf numFmtId="3" fontId="11" fillId="0" borderId="92" xfId="31" applyNumberFormat="1" applyFont="1" applyBorder="1" applyAlignment="1">
      <alignment horizontal="right"/>
    </xf>
    <xf numFmtId="3" fontId="13" fillId="0" borderId="92" xfId="28" applyNumberFormat="1" applyFont="1" applyBorder="1" applyAlignment="1">
      <alignment horizontal="right" vertical="center" wrapText="1"/>
    </xf>
    <xf numFmtId="3" fontId="13" fillId="0" borderId="131" xfId="28" applyNumberFormat="1" applyFont="1" applyBorder="1" applyAlignment="1">
      <alignment horizontal="right" wrapText="1"/>
    </xf>
    <xf numFmtId="0" fontId="11" fillId="0" borderId="92" xfId="31" applyFont="1" applyBorder="1" applyAlignment="1">
      <alignment horizontal="center" wrapText="1"/>
    </xf>
    <xf numFmtId="3" fontId="11" fillId="0" borderId="217" xfId="31" applyNumberFormat="1" applyFont="1" applyBorder="1" applyAlignment="1">
      <alignment horizontal="right"/>
    </xf>
    <xf numFmtId="3" fontId="13" fillId="0" borderId="108" xfId="31" applyNumberFormat="1" applyFont="1" applyBorder="1" applyAlignment="1">
      <alignment horizontal="right"/>
    </xf>
    <xf numFmtId="0" fontId="11" fillId="0" borderId="180" xfId="31" applyFont="1" applyBorder="1" applyAlignment="1">
      <alignment horizontal="center"/>
    </xf>
    <xf numFmtId="3" fontId="13" fillId="0" borderId="217" xfId="28" applyNumberFormat="1" applyFont="1" applyBorder="1" applyAlignment="1">
      <alignment horizontal="right" vertical="center" wrapText="1"/>
    </xf>
    <xf numFmtId="3" fontId="13" fillId="0" borderId="105" xfId="28" applyNumberFormat="1" applyFont="1" applyBorder="1" applyAlignment="1">
      <alignment horizontal="right" vertical="center" wrapText="1"/>
    </xf>
    <xf numFmtId="3" fontId="24" fillId="0" borderId="125" xfId="28" applyNumberFormat="1" applyFont="1" applyBorder="1" applyAlignment="1">
      <alignment horizontal="right" vertical="center" wrapText="1"/>
    </xf>
    <xf numFmtId="3" fontId="24" fillId="0" borderId="13" xfId="31" applyNumberFormat="1" applyFont="1" applyBorder="1" applyAlignment="1">
      <alignment horizontal="right"/>
    </xf>
    <xf numFmtId="3" fontId="21" fillId="0" borderId="105" xfId="28" applyNumberFormat="1" applyFont="1" applyBorder="1" applyAlignment="1">
      <alignment horizontal="right" vertical="center" wrapText="1"/>
    </xf>
    <xf numFmtId="3" fontId="18" fillId="0" borderId="230" xfId="27" applyNumberFormat="1" applyFont="1" applyBorder="1" applyAlignment="1">
      <alignment horizontal="center"/>
    </xf>
    <xf numFmtId="3" fontId="18" fillId="0" borderId="184" xfId="27" applyNumberFormat="1" applyFont="1" applyBorder="1" applyAlignment="1">
      <alignment horizontal="center"/>
    </xf>
    <xf numFmtId="3" fontId="35" fillId="0" borderId="184" xfId="27" applyNumberFormat="1" applyFont="1" applyBorder="1" applyAlignment="1">
      <alignment horizontal="center"/>
    </xf>
    <xf numFmtId="3" fontId="20" fillId="0" borderId="184" xfId="27" applyNumberFormat="1" applyFont="1" applyBorder="1" applyAlignment="1">
      <alignment horizontal="center"/>
    </xf>
    <xf numFmtId="3" fontId="36" fillId="0" borderId="184" xfId="27" applyNumberFormat="1" applyFont="1" applyBorder="1" applyAlignment="1">
      <alignment horizontal="center"/>
    </xf>
    <xf numFmtId="3" fontId="35" fillId="0" borderId="230" xfId="27" applyNumberFormat="1" applyFont="1" applyBorder="1" applyAlignment="1">
      <alignment horizontal="center"/>
    </xf>
    <xf numFmtId="3" fontId="36" fillId="0" borderId="230" xfId="27" applyNumberFormat="1" applyFont="1" applyBorder="1" applyAlignment="1">
      <alignment horizontal="center"/>
    </xf>
    <xf numFmtId="3" fontId="35" fillId="0" borderId="98" xfId="27" applyNumberFormat="1" applyFont="1" applyBorder="1" applyAlignment="1">
      <alignment horizontal="center"/>
    </xf>
    <xf numFmtId="3" fontId="11" fillId="0" borderId="90" xfId="27" applyNumberFormat="1" applyFont="1" applyBorder="1" applyAlignment="1">
      <alignment horizontal="center"/>
    </xf>
    <xf numFmtId="3" fontId="18" fillId="0" borderId="108" xfId="27" applyNumberFormat="1" applyFont="1" applyBorder="1" applyAlignment="1">
      <alignment horizontal="center"/>
    </xf>
    <xf numFmtId="3" fontId="18" fillId="0" borderId="110" xfId="27" applyNumberFormat="1" applyFont="1" applyBorder="1" applyAlignment="1">
      <alignment horizontal="center"/>
    </xf>
    <xf numFmtId="3" fontId="18" fillId="0" borderId="231" xfId="27" applyNumberFormat="1" applyFont="1" applyBorder="1" applyAlignment="1">
      <alignment horizontal="center"/>
    </xf>
    <xf numFmtId="3" fontId="18" fillId="0" borderId="232" xfId="27" applyNumberFormat="1" applyFont="1" applyBorder="1" applyAlignment="1">
      <alignment horizontal="center"/>
    </xf>
    <xf numFmtId="3" fontId="18" fillId="0" borderId="230" xfId="0" applyNumberFormat="1" applyFont="1" applyBorder="1" applyAlignment="1">
      <alignment horizontal="center" wrapText="1"/>
    </xf>
    <xf numFmtId="3" fontId="18" fillId="0" borderId="231" xfId="0" applyNumberFormat="1" applyFont="1" applyBorder="1" applyAlignment="1">
      <alignment horizontal="center" wrapText="1"/>
    </xf>
    <xf numFmtId="3" fontId="18" fillId="0" borderId="114" xfId="0" applyNumberFormat="1" applyFont="1" applyBorder="1" applyAlignment="1">
      <alignment horizontal="center" wrapText="1"/>
    </xf>
    <xf numFmtId="3" fontId="21" fillId="0" borderId="13" xfId="27" applyNumberFormat="1" applyFont="1" applyBorder="1" applyAlignment="1">
      <alignment horizontal="right"/>
    </xf>
    <xf numFmtId="3" fontId="35" fillId="0" borderId="13" xfId="27" applyNumberFormat="1" applyFont="1" applyBorder="1" applyAlignment="1">
      <alignment horizontal="right" vertical="center"/>
    </xf>
    <xf numFmtId="3" fontId="44" fillId="0" borderId="13" xfId="27" applyNumberFormat="1" applyFont="1" applyBorder="1" applyAlignment="1">
      <alignment horizontal="right"/>
    </xf>
    <xf numFmtId="3" fontId="36" fillId="0" borderId="13" xfId="27" applyNumberFormat="1" applyFont="1" applyBorder="1" applyAlignment="1">
      <alignment horizontal="right" vertical="center"/>
    </xf>
    <xf numFmtId="3" fontId="44" fillId="0" borderId="13" xfId="27" applyNumberFormat="1" applyFont="1" applyBorder="1" applyAlignment="1">
      <alignment horizontal="right" vertical="center"/>
    </xf>
    <xf numFmtId="3" fontId="35" fillId="0" borderId="11" xfId="0" applyNumberFormat="1" applyFont="1" applyBorder="1" applyAlignment="1">
      <alignment vertical="center"/>
    </xf>
    <xf numFmtId="3" fontId="11" fillId="0" borderId="105" xfId="27" applyNumberFormat="1" applyFont="1" applyBorder="1" applyAlignment="1">
      <alignment horizontal="center" vertical="center"/>
    </xf>
    <xf numFmtId="3" fontId="18" fillId="0" borderId="13" xfId="0" applyNumberFormat="1" applyFont="1" applyBorder="1" applyAlignment="1">
      <alignment horizontal="right" vertical="center" wrapText="1"/>
    </xf>
    <xf numFmtId="3" fontId="24" fillId="0" borderId="13" xfId="27" applyNumberFormat="1" applyFont="1" applyBorder="1" applyAlignment="1">
      <alignment horizontal="right"/>
    </xf>
    <xf numFmtId="3" fontId="24" fillId="0" borderId="22" xfId="0" applyNumberFormat="1" applyFont="1" applyBorder="1" applyAlignment="1">
      <alignment horizontal="right" wrapText="1"/>
    </xf>
    <xf numFmtId="3" fontId="18" fillId="0" borderId="88" xfId="27" applyNumberFormat="1" applyFont="1" applyBorder="1" applyAlignment="1">
      <alignment horizontal="center" vertical="center"/>
    </xf>
    <xf numFmtId="3" fontId="24" fillId="0" borderId="197" xfId="27" applyNumberFormat="1" applyFont="1" applyBorder="1" applyAlignment="1">
      <alignment horizontal="center"/>
    </xf>
    <xf numFmtId="3" fontId="18" fillId="0" borderId="88" xfId="27" applyNumberFormat="1" applyFont="1" applyBorder="1" applyAlignment="1">
      <alignment horizontal="center"/>
    </xf>
    <xf numFmtId="3" fontId="18" fillId="0" borderId="197" xfId="27" applyNumberFormat="1" applyFont="1" applyBorder="1" applyAlignment="1">
      <alignment horizontal="center"/>
    </xf>
    <xf numFmtId="3" fontId="21" fillId="0" borderId="36" xfId="27" applyNumberFormat="1" applyFont="1" applyBorder="1" applyAlignment="1">
      <alignment horizontal="right"/>
    </xf>
    <xf numFmtId="3" fontId="18" fillId="0" borderId="108" xfId="0" applyNumberFormat="1" applyFont="1" applyBorder="1" applyAlignment="1">
      <alignment horizontal="center" wrapText="1"/>
    </xf>
    <xf numFmtId="3" fontId="18" fillId="0" borderId="36" xfId="0" applyNumberFormat="1" applyFont="1" applyBorder="1" applyAlignment="1">
      <alignment horizontal="right" wrapText="1"/>
    </xf>
    <xf numFmtId="3" fontId="21" fillId="0" borderId="217" xfId="0" applyNumberFormat="1" applyFont="1" applyBorder="1"/>
    <xf numFmtId="3" fontId="18" fillId="0" borderId="37" xfId="0" applyNumberFormat="1" applyFont="1" applyBorder="1" applyAlignment="1">
      <alignment horizontal="right" wrapText="1"/>
    </xf>
    <xf numFmtId="3" fontId="20" fillId="0" borderId="82" xfId="30" applyNumberFormat="1" applyFont="1" applyBorder="1"/>
    <xf numFmtId="3" fontId="20" fillId="0" borderId="13" xfId="30" applyNumberFormat="1" applyFont="1" applyBorder="1"/>
    <xf numFmtId="3" fontId="13" fillId="0" borderId="18" xfId="31" applyNumberFormat="1" applyFont="1" applyBorder="1" applyAlignment="1">
      <alignment horizontal="right" vertical="center"/>
    </xf>
    <xf numFmtId="3" fontId="21" fillId="0" borderId="9" xfId="31" applyNumberFormat="1" applyFont="1" applyBorder="1" applyAlignment="1" applyProtection="1">
      <alignment horizontal="right" vertical="center"/>
      <protection locked="0"/>
    </xf>
    <xf numFmtId="3" fontId="21" fillId="0" borderId="233" xfId="31" applyNumberFormat="1" applyFont="1" applyBorder="1" applyAlignment="1" applyProtection="1">
      <alignment horizontal="right" vertical="center"/>
      <protection locked="0"/>
    </xf>
    <xf numFmtId="0" fontId="21" fillId="0" borderId="34" xfId="32" applyFont="1" applyBorder="1" applyAlignment="1" applyProtection="1">
      <alignment horizontal="center" vertical="center"/>
      <protection locked="0"/>
    </xf>
    <xf numFmtId="3" fontId="21" fillId="0" borderId="34" xfId="32" applyNumberFormat="1" applyFont="1" applyBorder="1" applyAlignment="1" applyProtection="1">
      <alignment vertical="center"/>
      <protection locked="0"/>
    </xf>
    <xf numFmtId="3" fontId="21" fillId="0" borderId="34" xfId="31" applyNumberFormat="1" applyFont="1" applyBorder="1" applyAlignment="1" applyProtection="1">
      <alignment vertical="center"/>
      <protection locked="0"/>
    </xf>
    <xf numFmtId="3" fontId="21" fillId="0" borderId="34" xfId="31" applyNumberFormat="1" applyFont="1" applyBorder="1" applyAlignment="1" applyProtection="1">
      <alignment horizontal="right" vertical="center"/>
      <protection locked="0"/>
    </xf>
    <xf numFmtId="0" fontId="21" fillId="0" borderId="13" xfId="32" applyFont="1" applyBorder="1" applyAlignment="1" applyProtection="1">
      <alignment horizontal="center" vertical="center"/>
      <protection locked="0"/>
    </xf>
    <xf numFmtId="0" fontId="21" fillId="0" borderId="13" xfId="32" applyFont="1" applyBorder="1" applyAlignment="1" applyProtection="1">
      <alignment horizontal="left" vertical="center"/>
      <protection locked="0"/>
    </xf>
    <xf numFmtId="3" fontId="21" fillId="0" borderId="13" xfId="32" applyNumberFormat="1" applyFont="1" applyBorder="1" applyAlignment="1" applyProtection="1">
      <alignment vertical="center"/>
      <protection locked="0"/>
    </xf>
    <xf numFmtId="3" fontId="21" fillId="0" borderId="13" xfId="31" applyNumberFormat="1" applyFont="1" applyBorder="1" applyAlignment="1" applyProtection="1">
      <alignment vertical="center"/>
      <protection locked="0"/>
    </xf>
    <xf numFmtId="3" fontId="21" fillId="0" borderId="13" xfId="31" applyNumberFormat="1" applyFont="1" applyBorder="1" applyAlignment="1" applyProtection="1">
      <alignment horizontal="right" vertical="center"/>
      <protection locked="0"/>
    </xf>
    <xf numFmtId="0" fontId="21" fillId="0" borderId="113" xfId="32" applyFont="1" applyBorder="1" applyAlignment="1" applyProtection="1">
      <alignment horizontal="center" vertical="center"/>
      <protection locked="0"/>
    </xf>
    <xf numFmtId="0" fontId="18" fillId="0" borderId="113" xfId="31" applyFont="1" applyBorder="1" applyAlignment="1" applyProtection="1">
      <alignment horizontal="left" wrapText="1"/>
      <protection locked="0"/>
    </xf>
    <xf numFmtId="3" fontId="21" fillId="0" borderId="113" xfId="32" applyNumberFormat="1" applyFont="1" applyBorder="1" applyAlignment="1" applyProtection="1">
      <alignment vertical="center"/>
      <protection locked="0"/>
    </xf>
    <xf numFmtId="3" fontId="21" fillId="0" borderId="113" xfId="31" applyNumberFormat="1" applyFont="1" applyBorder="1" applyAlignment="1" applyProtection="1">
      <alignment vertical="center"/>
      <protection locked="0"/>
    </xf>
    <xf numFmtId="3" fontId="21" fillId="0" borderId="113" xfId="31" applyNumberFormat="1" applyFont="1" applyBorder="1" applyAlignment="1" applyProtection="1">
      <alignment horizontal="right" vertical="center"/>
      <protection locked="0"/>
    </xf>
    <xf numFmtId="3" fontId="21" fillId="0" borderId="91" xfId="31" applyNumberFormat="1" applyFont="1" applyBorder="1" applyAlignment="1" applyProtection="1">
      <alignment horizontal="right" vertical="center"/>
      <protection locked="0"/>
    </xf>
    <xf numFmtId="3" fontId="21" fillId="0" borderId="82" xfId="31" applyNumberFormat="1" applyFont="1" applyBorder="1" applyAlignment="1" applyProtection="1">
      <alignment horizontal="right" vertical="center"/>
      <protection locked="0"/>
    </xf>
    <xf numFmtId="3" fontId="21" fillId="0" borderId="115" xfId="31" applyNumberFormat="1" applyFont="1" applyBorder="1" applyAlignment="1" applyProtection="1">
      <alignment horizontal="right" vertical="center"/>
      <protection locked="0"/>
    </xf>
    <xf numFmtId="3" fontId="21" fillId="0" borderId="104" xfId="31" applyNumberFormat="1" applyFont="1" applyBorder="1" applyAlignment="1" applyProtection="1">
      <alignment horizontal="right" vertical="center"/>
      <protection locked="0"/>
    </xf>
    <xf numFmtId="3" fontId="21" fillId="0" borderId="105" xfId="31" applyNumberFormat="1" applyFont="1" applyBorder="1" applyAlignment="1" applyProtection="1">
      <alignment horizontal="right" vertical="center"/>
      <protection locked="0"/>
    </xf>
    <xf numFmtId="3" fontId="21" fillId="0" borderId="133" xfId="31" applyNumberFormat="1" applyFont="1" applyBorder="1" applyAlignment="1" applyProtection="1">
      <alignment horizontal="right" vertical="center"/>
      <protection locked="0"/>
    </xf>
    <xf numFmtId="0" fontId="21" fillId="0" borderId="33" xfId="32" applyFont="1" applyBorder="1" applyAlignment="1" applyProtection="1">
      <alignment horizontal="center" vertical="center"/>
      <protection locked="0"/>
    </xf>
    <xf numFmtId="0" fontId="18" fillId="0" borderId="12" xfId="32" applyFont="1" applyBorder="1" applyAlignment="1" applyProtection="1">
      <alignment horizontal="center"/>
      <protection locked="0"/>
    </xf>
    <xf numFmtId="0" fontId="21" fillId="0" borderId="112" xfId="32" applyFont="1" applyBorder="1" applyAlignment="1" applyProtection="1">
      <alignment horizontal="center" vertical="center"/>
      <protection locked="0"/>
    </xf>
    <xf numFmtId="3" fontId="35" fillId="0" borderId="18" xfId="0" applyNumberFormat="1" applyFont="1" applyBorder="1" applyAlignment="1">
      <alignment horizontal="center"/>
    </xf>
    <xf numFmtId="3" fontId="11" fillId="0" borderId="17" xfId="31" applyNumberFormat="1" applyFont="1" applyBorder="1" applyAlignment="1">
      <alignment horizontal="right" vertical="center"/>
    </xf>
    <xf numFmtId="3" fontId="11" fillId="0" borderId="19" xfId="31" applyNumberFormat="1" applyFont="1" applyBorder="1" applyAlignment="1">
      <alignment horizontal="right" vertical="center"/>
    </xf>
    <xf numFmtId="0" fontId="11" fillId="0" borderId="18" xfId="31" applyFont="1" applyBorder="1" applyAlignment="1">
      <alignment horizontal="center" vertical="top"/>
    </xf>
    <xf numFmtId="3" fontId="20" fillId="0" borderId="157" xfId="27" applyNumberFormat="1" applyFont="1" applyBorder="1" applyAlignment="1">
      <alignment horizontal="right"/>
    </xf>
    <xf numFmtId="3" fontId="21" fillId="0" borderId="82" xfId="0" applyNumberFormat="1" applyFont="1" applyBorder="1" applyAlignment="1">
      <alignment horizontal="right" wrapText="1"/>
    </xf>
    <xf numFmtId="3" fontId="20" fillId="0" borderId="200" xfId="27" applyNumberFormat="1" applyFont="1" applyBorder="1" applyAlignment="1">
      <alignment horizontal="right"/>
    </xf>
    <xf numFmtId="3" fontId="13" fillId="0" borderId="157" xfId="31" applyNumberFormat="1" applyFont="1" applyBorder="1" applyAlignment="1">
      <alignment horizontal="right" vertical="center"/>
    </xf>
    <xf numFmtId="3" fontId="20" fillId="0" borderId="216" xfId="27" applyNumberFormat="1" applyFont="1" applyBorder="1" applyAlignment="1">
      <alignment horizontal="right"/>
    </xf>
    <xf numFmtId="3" fontId="11" fillId="0" borderId="182" xfId="31" applyNumberFormat="1" applyFont="1" applyBorder="1" applyAlignment="1">
      <alignment horizontal="right" vertical="center"/>
    </xf>
    <xf numFmtId="3" fontId="11" fillId="0" borderId="53" xfId="28" applyNumberFormat="1" applyFont="1" applyBorder="1" applyAlignment="1">
      <alignment horizontal="right" vertical="center"/>
    </xf>
    <xf numFmtId="3" fontId="18" fillId="0" borderId="79" xfId="27" applyNumberFormat="1" applyFont="1" applyBorder="1" applyAlignment="1">
      <alignment horizontal="center"/>
    </xf>
    <xf numFmtId="3" fontId="11" fillId="0" borderId="0" xfId="54" applyNumberFormat="1" applyFont="1" applyAlignment="1">
      <alignment horizontal="right"/>
    </xf>
    <xf numFmtId="3" fontId="11" fillId="0" borderId="0" xfId="54" applyNumberFormat="1" applyFont="1" applyAlignment="1">
      <alignment horizontal="center"/>
    </xf>
    <xf numFmtId="0" fontId="11" fillId="0" borderId="0" xfId="54" applyFont="1"/>
    <xf numFmtId="0" fontId="39" fillId="0" borderId="12" xfId="31" applyFont="1" applyBorder="1" applyAlignment="1">
      <alignment horizontal="center"/>
    </xf>
    <xf numFmtId="0" fontId="39" fillId="0" borderId="13" xfId="31" applyFont="1" applyBorder="1" applyAlignment="1">
      <alignment horizontal="center"/>
    </xf>
    <xf numFmtId="0" fontId="39" fillId="0" borderId="13" xfId="28" applyFont="1" applyBorder="1" applyAlignment="1">
      <alignment horizontal="left"/>
    </xf>
    <xf numFmtId="0" fontId="39" fillId="0" borderId="38" xfId="31" applyFont="1" applyBorder="1" applyAlignment="1">
      <alignment horizontal="center" wrapText="1"/>
    </xf>
    <xf numFmtId="3" fontId="18" fillId="0" borderId="14" xfId="28" applyNumberFormat="1" applyFont="1" applyBorder="1" applyAlignment="1">
      <alignment horizontal="right" wrapText="1"/>
    </xf>
    <xf numFmtId="0" fontId="40" fillId="0" borderId="0" xfId="31" applyFont="1"/>
    <xf numFmtId="0" fontId="39" fillId="0" borderId="0" xfId="31" applyFont="1"/>
    <xf numFmtId="0" fontId="11" fillId="0" borderId="90" xfId="28" applyFont="1" applyBorder="1"/>
    <xf numFmtId="0" fontId="11" fillId="0" borderId="13" xfId="31" applyFont="1" applyBorder="1" applyAlignment="1">
      <alignment horizontal="center" vertical="center"/>
    </xf>
    <xf numFmtId="0" fontId="11" fillId="0" borderId="90" xfId="28" applyFont="1" applyBorder="1" applyAlignment="1">
      <alignment wrapText="1"/>
    </xf>
    <xf numFmtId="3" fontId="39" fillId="0" borderId="91" xfId="28" applyNumberFormat="1" applyFont="1" applyBorder="1" applyAlignment="1">
      <alignment horizontal="right" wrapText="1"/>
    </xf>
    <xf numFmtId="3" fontId="39" fillId="0" borderId="104" xfId="28" applyNumberFormat="1" applyFont="1" applyBorder="1" applyAlignment="1">
      <alignment horizontal="right" wrapText="1"/>
    </xf>
    <xf numFmtId="3" fontId="11" fillId="0" borderId="0" xfId="54" applyNumberFormat="1" applyFont="1" applyAlignment="1">
      <alignment horizontal="left"/>
    </xf>
    <xf numFmtId="3" fontId="34" fillId="0" borderId="0" xfId="54" applyNumberFormat="1" applyFont="1" applyAlignment="1">
      <alignment horizontal="left"/>
    </xf>
    <xf numFmtId="3" fontId="18" fillId="0" borderId="181" xfId="28" applyNumberFormat="1" applyFont="1" applyBorder="1" applyAlignment="1">
      <alignment horizontal="right" wrapText="1"/>
    </xf>
    <xf numFmtId="3" fontId="48" fillId="0" borderId="132" xfId="28" applyNumberFormat="1" applyFont="1" applyBorder="1" applyAlignment="1">
      <alignment horizontal="right" vertical="center" wrapText="1"/>
    </xf>
    <xf numFmtId="3" fontId="48" fillId="0" borderId="31" xfId="28" applyNumberFormat="1" applyFont="1" applyBorder="1" applyAlignment="1">
      <alignment horizontal="right" vertical="center" wrapText="1"/>
    </xf>
    <xf numFmtId="0" fontId="13" fillId="0" borderId="88" xfId="31" applyFont="1" applyBorder="1" applyAlignment="1">
      <alignment horizontal="center"/>
    </xf>
    <xf numFmtId="3" fontId="48" fillId="0" borderId="82" xfId="28" applyNumberFormat="1" applyFont="1" applyBorder="1" applyAlignment="1">
      <alignment horizontal="right" vertical="center" wrapText="1"/>
    </xf>
    <xf numFmtId="3" fontId="48" fillId="0" borderId="115" xfId="28" applyNumberFormat="1" applyFont="1" applyBorder="1" applyAlignment="1">
      <alignment horizontal="right" vertical="center" wrapText="1"/>
    </xf>
    <xf numFmtId="3" fontId="42" fillId="0" borderId="13" xfId="28" applyNumberFormat="1" applyFont="1" applyBorder="1" applyAlignment="1">
      <alignment horizontal="right" wrapText="1"/>
    </xf>
    <xf numFmtId="3" fontId="25" fillId="0" borderId="105" xfId="28" applyNumberFormat="1" applyFont="1" applyBorder="1" applyAlignment="1">
      <alignment horizontal="right" wrapText="1"/>
    </xf>
    <xf numFmtId="3" fontId="25" fillId="0" borderId="13" xfId="28" applyNumberFormat="1" applyFont="1" applyBorder="1" applyAlignment="1">
      <alignment horizontal="right" wrapText="1"/>
    </xf>
    <xf numFmtId="3" fontId="14" fillId="0" borderId="125" xfId="28" applyNumberFormat="1" applyFont="1" applyBorder="1" applyAlignment="1">
      <alignment horizontal="right" wrapText="1"/>
    </xf>
    <xf numFmtId="0" fontId="11" fillId="0" borderId="55" xfId="31" applyFont="1" applyBorder="1" applyAlignment="1">
      <alignment horizontal="center" vertical="top" wrapText="1"/>
    </xf>
    <xf numFmtId="3" fontId="18" fillId="0" borderId="120" xfId="31" applyNumberFormat="1" applyFont="1" applyBorder="1" applyAlignment="1">
      <alignment horizontal="center" vertical="center" wrapText="1"/>
    </xf>
    <xf numFmtId="3" fontId="11" fillId="0" borderId="31" xfId="31" applyNumberFormat="1" applyFont="1" applyBorder="1" applyAlignment="1">
      <alignment horizontal="right" vertical="center"/>
    </xf>
    <xf numFmtId="0" fontId="30" fillId="0" borderId="13" xfId="31" applyFont="1" applyBorder="1" applyAlignment="1">
      <alignment wrapText="1"/>
    </xf>
    <xf numFmtId="0" fontId="25" fillId="0" borderId="13" xfId="31" applyFont="1" applyBorder="1" applyAlignment="1">
      <alignment wrapText="1"/>
    </xf>
    <xf numFmtId="0" fontId="41" fillId="0" borderId="13" xfId="31" applyFont="1" applyBorder="1" applyAlignment="1">
      <alignment wrapText="1"/>
    </xf>
    <xf numFmtId="0" fontId="45" fillId="0" borderId="13" xfId="31" applyFont="1" applyBorder="1" applyAlignment="1">
      <alignment horizontal="left"/>
    </xf>
    <xf numFmtId="0" fontId="51" fillId="0" borderId="13" xfId="31" applyFont="1" applyBorder="1" applyAlignment="1">
      <alignment horizontal="left"/>
    </xf>
    <xf numFmtId="0" fontId="46" fillId="0" borderId="13" xfId="31" applyFont="1" applyBorder="1" applyAlignment="1">
      <alignment wrapText="1"/>
    </xf>
    <xf numFmtId="0" fontId="41" fillId="0" borderId="13" xfId="31" applyFont="1" applyBorder="1" applyAlignment="1">
      <alignment shrinkToFit="1"/>
    </xf>
    <xf numFmtId="0" fontId="45" fillId="0" borderId="13" xfId="31" applyFont="1" applyBorder="1" applyAlignment="1">
      <alignment horizontal="left" wrapText="1"/>
    </xf>
    <xf numFmtId="0" fontId="45" fillId="0" borderId="13" xfId="31" applyFont="1" applyBorder="1" applyAlignment="1">
      <alignment horizontal="left" shrinkToFit="1"/>
    </xf>
    <xf numFmtId="3" fontId="11" fillId="0" borderId="124" xfId="31" applyNumberFormat="1" applyFont="1" applyBorder="1" applyAlignment="1">
      <alignment horizontal="right" vertical="center"/>
    </xf>
    <xf numFmtId="0" fontId="18" fillId="0" borderId="180" xfId="31" applyFont="1" applyBorder="1" applyAlignment="1">
      <alignment horizontal="center" vertical="center"/>
    </xf>
    <xf numFmtId="0" fontId="41" fillId="0" borderId="36" xfId="31" applyFont="1" applyBorder="1" applyAlignment="1">
      <alignment wrapText="1"/>
    </xf>
    <xf numFmtId="3" fontId="11" fillId="0" borderId="36" xfId="31" applyNumberFormat="1" applyFont="1" applyBorder="1" applyAlignment="1">
      <alignment horizontal="right" vertical="center"/>
    </xf>
    <xf numFmtId="3" fontId="11" fillId="0" borderId="36" xfId="28" applyNumberFormat="1" applyFont="1" applyBorder="1" applyAlignment="1">
      <alignment horizontal="right" vertical="center"/>
    </xf>
    <xf numFmtId="3" fontId="11" fillId="0" borderId="125" xfId="31" applyNumberFormat="1" applyFont="1" applyBorder="1" applyAlignment="1">
      <alignment horizontal="right" vertical="center"/>
    </xf>
    <xf numFmtId="0" fontId="11" fillId="0" borderId="92" xfId="31" applyFont="1" applyBorder="1" applyAlignment="1">
      <alignment horizontal="center" vertical="center" wrapText="1"/>
    </xf>
    <xf numFmtId="3" fontId="11" fillId="0" borderId="36" xfId="28" applyNumberFormat="1" applyFont="1" applyBorder="1" applyAlignment="1">
      <alignment horizontal="right" vertical="center" wrapText="1"/>
    </xf>
    <xf numFmtId="3" fontId="13" fillId="0" borderId="36" xfId="28" applyNumberFormat="1" applyFont="1" applyBorder="1" applyAlignment="1">
      <alignment horizontal="right" vertical="center" wrapText="1"/>
    </xf>
    <xf numFmtId="3" fontId="11" fillId="0" borderId="83" xfId="28" applyNumberFormat="1" applyFont="1" applyBorder="1" applyAlignment="1">
      <alignment horizontal="right" vertical="center" wrapText="1"/>
    </xf>
    <xf numFmtId="3" fontId="11" fillId="0" borderId="11" xfId="28" applyNumberFormat="1" applyFont="1" applyBorder="1" applyAlignment="1">
      <alignment horizontal="right" vertical="center" wrapText="1"/>
    </xf>
    <xf numFmtId="3" fontId="11" fillId="0" borderId="207" xfId="31" applyNumberFormat="1" applyFont="1" applyBorder="1" applyAlignment="1">
      <alignment horizontal="right" vertical="center"/>
    </xf>
    <xf numFmtId="3" fontId="21" fillId="0" borderId="208" xfId="28" applyNumberFormat="1" applyFont="1" applyBorder="1" applyAlignment="1">
      <alignment vertical="center" wrapText="1"/>
    </xf>
    <xf numFmtId="3" fontId="21" fillId="0" borderId="20" xfId="28" applyNumberFormat="1" applyFont="1" applyBorder="1" applyAlignment="1">
      <alignment vertical="center" wrapText="1"/>
    </xf>
    <xf numFmtId="3" fontId="13" fillId="0" borderId="18" xfId="28" applyNumberFormat="1" applyFont="1" applyBorder="1" applyAlignment="1">
      <alignment wrapText="1"/>
    </xf>
    <xf numFmtId="3" fontId="20" fillId="0" borderId="19" xfId="0" applyNumberFormat="1" applyFont="1" applyBorder="1" applyAlignment="1">
      <alignment wrapText="1"/>
    </xf>
    <xf numFmtId="3" fontId="20" fillId="0" borderId="18" xfId="0" applyNumberFormat="1" applyFont="1" applyBorder="1" applyAlignment="1">
      <alignment wrapText="1"/>
    </xf>
    <xf numFmtId="3" fontId="20" fillId="0" borderId="190" xfId="0" applyNumberFormat="1" applyFont="1" applyBorder="1" applyAlignment="1">
      <alignment wrapText="1"/>
    </xf>
    <xf numFmtId="3" fontId="21" fillId="0" borderId="55" xfId="28" applyNumberFormat="1" applyFont="1" applyBorder="1" applyAlignment="1">
      <alignment horizontal="right" vertical="center" wrapText="1"/>
    </xf>
    <xf numFmtId="3" fontId="21" fillId="0" borderId="18" xfId="28" applyNumberFormat="1" applyFont="1" applyBorder="1" applyAlignment="1">
      <alignment horizontal="right" vertical="center" wrapText="1"/>
    </xf>
    <xf numFmtId="3" fontId="21" fillId="0" borderId="123" xfId="28" applyNumberFormat="1" applyFont="1" applyBorder="1" applyAlignment="1">
      <alignment horizontal="right" vertical="center" wrapText="1"/>
    </xf>
    <xf numFmtId="3" fontId="13" fillId="0" borderId="128" xfId="28" applyNumberFormat="1" applyFont="1" applyBorder="1" applyAlignment="1">
      <alignment horizontal="right" vertical="center" wrapText="1"/>
    </xf>
    <xf numFmtId="0" fontId="37" fillId="0" borderId="18" xfId="0" applyFont="1" applyBorder="1" applyAlignment="1">
      <alignment wrapText="1"/>
    </xf>
    <xf numFmtId="0" fontId="37" fillId="0" borderId="190" xfId="0" applyFont="1" applyBorder="1" applyAlignment="1">
      <alignment wrapText="1"/>
    </xf>
    <xf numFmtId="3" fontId="35" fillId="0" borderId="82" xfId="28" applyNumberFormat="1" applyFont="1" applyBorder="1" applyAlignment="1">
      <alignment horizontal="right" vertical="center" wrapText="1"/>
    </xf>
    <xf numFmtId="0" fontId="0" fillId="0" borderId="18" xfId="0" applyBorder="1" applyAlignment="1">
      <alignment horizontal="left" wrapText="1"/>
    </xf>
    <xf numFmtId="0" fontId="0" fillId="0" borderId="190" xfId="0" applyBorder="1" applyAlignment="1">
      <alignment horizontal="left" wrapText="1"/>
    </xf>
    <xf numFmtId="3" fontId="21" fillId="0" borderId="82" xfId="28" applyNumberFormat="1" applyFont="1" applyBorder="1" applyAlignment="1">
      <alignment horizontal="right" vertical="center" wrapText="1"/>
    </xf>
    <xf numFmtId="3" fontId="35" fillId="0" borderId="13" xfId="27" applyNumberFormat="1" applyFont="1" applyBorder="1" applyAlignment="1">
      <alignment wrapText="1"/>
    </xf>
    <xf numFmtId="0" fontId="37" fillId="0" borderId="13" xfId="0" applyFont="1" applyBorder="1" applyAlignment="1">
      <alignment wrapText="1"/>
    </xf>
    <xf numFmtId="0" fontId="37" fillId="0" borderId="105" xfId="0" applyFont="1" applyBorder="1" applyAlignment="1">
      <alignment wrapText="1"/>
    </xf>
    <xf numFmtId="0" fontId="0" fillId="0" borderId="13" xfId="0" applyBorder="1" applyAlignment="1">
      <alignment horizontal="left" wrapText="1"/>
    </xf>
    <xf numFmtId="0" fontId="0" fillId="0" borderId="105" xfId="0" applyBorder="1" applyAlignment="1">
      <alignment horizontal="left" wrapText="1"/>
    </xf>
    <xf numFmtId="3" fontId="13" fillId="0" borderId="206" xfId="28" applyNumberFormat="1" applyFont="1" applyBorder="1" applyAlignment="1">
      <alignment horizontal="right" vertical="center" wrapText="1"/>
    </xf>
    <xf numFmtId="3" fontId="18" fillId="0" borderId="78" xfId="15" applyNumberFormat="1" applyFont="1" applyBorder="1" applyAlignment="1">
      <alignment horizontal="left" vertical="top"/>
    </xf>
    <xf numFmtId="3" fontId="18" fillId="0" borderId="78" xfId="15" applyNumberFormat="1" applyFont="1" applyBorder="1" applyAlignment="1">
      <alignment horizontal="left"/>
    </xf>
    <xf numFmtId="3" fontId="18" fillId="0" borderId="78" xfId="32" applyNumberFormat="1" applyFont="1" applyBorder="1" applyAlignment="1">
      <alignment horizontal="right"/>
    </xf>
    <xf numFmtId="3" fontId="18" fillId="0" borderId="78" xfId="32" applyNumberFormat="1" applyFont="1" applyBorder="1" applyAlignment="1">
      <alignment horizontal="right" wrapText="1"/>
    </xf>
    <xf numFmtId="3" fontId="18" fillId="0" borderId="78" xfId="15" applyNumberFormat="1" applyFont="1" applyBorder="1" applyAlignment="1">
      <alignment horizontal="center" vertical="center"/>
    </xf>
    <xf numFmtId="3" fontId="11" fillId="0" borderId="78" xfId="32" applyNumberFormat="1" applyFont="1" applyBorder="1" applyAlignment="1">
      <alignment horizontal="right"/>
    </xf>
    <xf numFmtId="3" fontId="18" fillId="0" borderId="78" xfId="31" applyNumberFormat="1" applyFont="1" applyBorder="1" applyAlignment="1">
      <alignment horizontal="right" vertical="center"/>
    </xf>
    <xf numFmtId="3" fontId="18" fillId="0" borderId="17" xfId="27" applyNumberFormat="1" applyFont="1" applyBorder="1" applyAlignment="1">
      <alignment horizontal="center"/>
    </xf>
    <xf numFmtId="0" fontId="21" fillId="0" borderId="18" xfId="28" applyFont="1" applyBorder="1" applyAlignment="1">
      <alignment horizontal="left"/>
    </xf>
    <xf numFmtId="3" fontId="11" fillId="0" borderId="13" xfId="27" applyNumberFormat="1" applyFont="1" applyBorder="1"/>
    <xf numFmtId="3" fontId="11" fillId="0" borderId="0" xfId="26" applyNumberFormat="1" applyFont="1" applyAlignment="1">
      <alignment horizontal="left"/>
    </xf>
    <xf numFmtId="3" fontId="13" fillId="0" borderId="0" xfId="26" applyNumberFormat="1" applyFont="1" applyAlignment="1">
      <alignment horizontal="center" vertical="center"/>
    </xf>
    <xf numFmtId="0" fontId="11" fillId="0" borderId="0" xfId="0" applyFont="1" applyAlignment="1">
      <alignment horizontal="left" wrapText="1"/>
    </xf>
    <xf numFmtId="3" fontId="14" fillId="0" borderId="24" xfId="26" applyNumberFormat="1" applyFont="1" applyBorder="1" applyAlignment="1">
      <alignment horizontal="center" vertical="center"/>
    </xf>
    <xf numFmtId="3" fontId="25" fillId="0" borderId="161" xfId="26" applyNumberFormat="1" applyFont="1" applyBorder="1" applyAlignment="1">
      <alignment horizontal="right" wrapText="1"/>
    </xf>
    <xf numFmtId="3" fontId="13" fillId="0" borderId="0" xfId="26" applyNumberFormat="1" applyFont="1" applyAlignment="1">
      <alignment horizontal="left" wrapText="1"/>
    </xf>
    <xf numFmtId="3" fontId="11" fillId="0" borderId="0" xfId="26" applyNumberFormat="1" applyFont="1" applyAlignment="1">
      <alignment horizontal="center" wrapText="1"/>
    </xf>
    <xf numFmtId="3" fontId="13" fillId="0" borderId="0" xfId="26" applyNumberFormat="1" applyFont="1" applyAlignment="1">
      <alignment horizontal="right" wrapText="1"/>
    </xf>
    <xf numFmtId="3" fontId="25" fillId="0" borderId="0" xfId="26" applyNumberFormat="1" applyFont="1" applyAlignment="1">
      <alignment horizontal="right" wrapText="1"/>
    </xf>
    <xf numFmtId="3" fontId="25" fillId="0" borderId="15" xfId="26" applyNumberFormat="1" applyFont="1" applyBorder="1" applyAlignment="1">
      <alignment horizontal="right" wrapText="1"/>
    </xf>
    <xf numFmtId="0" fontId="13" fillId="0" borderId="0" xfId="0" applyFont="1" applyAlignment="1">
      <alignment horizontal="left"/>
    </xf>
    <xf numFmtId="3" fontId="13" fillId="0" borderId="0" xfId="0" applyNumberFormat="1" applyFont="1"/>
    <xf numFmtId="3" fontId="25" fillId="0" borderId="0" xfId="0" applyNumberFormat="1" applyFont="1" applyAlignment="1">
      <alignment horizontal="right"/>
    </xf>
    <xf numFmtId="0" fontId="11" fillId="0" borderId="0" xfId="0" applyFont="1" applyAlignment="1">
      <alignment horizontal="center" vertical="top"/>
    </xf>
    <xf numFmtId="0" fontId="11" fillId="0" borderId="0" xfId="0" applyFont="1" applyAlignment="1">
      <alignment horizontal="left" wrapText="1" indent="1"/>
    </xf>
    <xf numFmtId="3" fontId="14" fillId="0" borderId="15" xfId="0" applyNumberFormat="1" applyFont="1" applyBorder="1"/>
    <xf numFmtId="3" fontId="14" fillId="0" borderId="15" xfId="0" applyNumberFormat="1" applyFont="1" applyBorder="1" applyAlignment="1">
      <alignment vertical="center"/>
    </xf>
    <xf numFmtId="0" fontId="13" fillId="0" borderId="0" xfId="0" applyFont="1" applyAlignment="1">
      <alignment horizontal="center" vertical="top"/>
    </xf>
    <xf numFmtId="0" fontId="13" fillId="0" borderId="0" xfId="0" applyFont="1" applyAlignment="1">
      <alignment horizontal="left" wrapText="1"/>
    </xf>
    <xf numFmtId="3" fontId="25" fillId="0" borderId="0" xfId="0" applyNumberFormat="1" applyFont="1"/>
    <xf numFmtId="3" fontId="11" fillId="0" borderId="0" xfId="26" applyNumberFormat="1" applyFont="1" applyAlignment="1">
      <alignment horizontal="center" vertical="top" wrapText="1"/>
    </xf>
    <xf numFmtId="3" fontId="13" fillId="0" borderId="0" xfId="0" applyNumberFormat="1" applyFont="1" applyAlignment="1">
      <alignment horizontal="right"/>
    </xf>
    <xf numFmtId="0" fontId="25" fillId="0" borderId="0" xfId="0" applyFont="1" applyAlignment="1">
      <alignment horizontal="left" wrapText="1"/>
    </xf>
    <xf numFmtId="3" fontId="14" fillId="0" borderId="15" xfId="0" applyNumberFormat="1" applyFont="1" applyBorder="1" applyAlignment="1">
      <alignment horizontal="right"/>
    </xf>
    <xf numFmtId="3" fontId="25" fillId="0" borderId="162" xfId="26" applyNumberFormat="1" applyFont="1" applyBorder="1" applyAlignment="1">
      <alignment horizontal="right" wrapText="1"/>
    </xf>
    <xf numFmtId="0" fontId="13" fillId="0" borderId="0" xfId="0" applyFont="1" applyAlignment="1">
      <alignment vertical="top" wrapText="1"/>
    </xf>
    <xf numFmtId="3" fontId="25" fillId="0" borderId="162" xfId="0" applyNumberFormat="1" applyFont="1" applyBorder="1" applyAlignment="1">
      <alignment horizontal="right" vertical="center"/>
    </xf>
    <xf numFmtId="3" fontId="25" fillId="0" borderId="214" xfId="0" applyNumberFormat="1" applyFont="1" applyBorder="1" applyAlignment="1">
      <alignment horizontal="right" vertical="center"/>
    </xf>
    <xf numFmtId="3" fontId="13" fillId="0" borderId="0" xfId="0" applyNumberFormat="1" applyFont="1" applyAlignment="1">
      <alignment vertical="center"/>
    </xf>
    <xf numFmtId="3" fontId="25" fillId="0" borderId="0" xfId="0" applyNumberFormat="1" applyFont="1" applyAlignment="1">
      <alignment horizontal="right" vertical="center"/>
    </xf>
    <xf numFmtId="3" fontId="25" fillId="0" borderId="15" xfId="0" applyNumberFormat="1" applyFont="1" applyBorder="1" applyAlignment="1">
      <alignment horizontal="right" vertical="center"/>
    </xf>
    <xf numFmtId="3" fontId="25" fillId="0" borderId="15" xfId="0" applyNumberFormat="1" applyFont="1" applyBorder="1" applyAlignment="1">
      <alignment vertical="center"/>
    </xf>
    <xf numFmtId="0" fontId="11" fillId="0" borderId="0" xfId="0" applyFont="1" applyAlignment="1">
      <alignment horizontal="left" indent="1"/>
    </xf>
    <xf numFmtId="3" fontId="25" fillId="0" borderId="163" xfId="0" applyNumberFormat="1" applyFont="1" applyBorder="1" applyAlignment="1">
      <alignment horizontal="right" vertical="center"/>
    </xf>
    <xf numFmtId="3" fontId="13" fillId="0" borderId="27" xfId="0" applyNumberFormat="1" applyFont="1" applyBorder="1" applyAlignment="1">
      <alignment horizontal="right" vertical="center"/>
    </xf>
    <xf numFmtId="3" fontId="25" fillId="0" borderId="161" xfId="26" applyNumberFormat="1" applyFont="1" applyBorder="1"/>
    <xf numFmtId="3" fontId="11" fillId="0" borderId="0" xfId="26" applyNumberFormat="1" applyFont="1" applyAlignment="1">
      <alignment horizontal="left" indent="2"/>
    </xf>
    <xf numFmtId="3" fontId="25" fillId="0" borderId="162" xfId="26" applyNumberFormat="1" applyFont="1" applyBorder="1"/>
    <xf numFmtId="3" fontId="25" fillId="0" borderId="15" xfId="26" applyNumberFormat="1" applyFont="1" applyBorder="1"/>
    <xf numFmtId="3" fontId="14" fillId="0" borderId="0" xfId="26" applyNumberFormat="1" applyFont="1" applyAlignment="1">
      <alignment horizontal="left" indent="2"/>
    </xf>
    <xf numFmtId="3" fontId="11" fillId="0" borderId="0" xfId="26" applyNumberFormat="1" applyFont="1" applyAlignment="1">
      <alignment horizontal="left" indent="3"/>
    </xf>
    <xf numFmtId="3" fontId="11" fillId="0" borderId="0" xfId="26" applyNumberFormat="1" applyFont="1" applyAlignment="1">
      <alignment horizontal="left" wrapText="1" indent="3"/>
    </xf>
    <xf numFmtId="3" fontId="13" fillId="0" borderId="15" xfId="26" applyNumberFormat="1" applyFont="1" applyBorder="1" applyAlignment="1">
      <alignment vertical="center"/>
    </xf>
    <xf numFmtId="3" fontId="11" fillId="0" borderId="0" xfId="26" applyNumberFormat="1" applyFont="1" applyAlignment="1">
      <alignment wrapText="1"/>
    </xf>
    <xf numFmtId="3" fontId="25" fillId="0" borderId="209" xfId="26" applyNumberFormat="1" applyFont="1" applyBorder="1" applyAlignment="1">
      <alignment vertical="center"/>
    </xf>
    <xf numFmtId="3" fontId="11" fillId="0" borderId="0" xfId="26" applyNumberFormat="1" applyFont="1" applyAlignment="1">
      <alignment horizontal="left" indent="1"/>
    </xf>
    <xf numFmtId="3" fontId="11" fillId="0" borderId="0" xfId="26" applyNumberFormat="1" applyFont="1" applyAlignment="1">
      <alignment horizontal="center" vertical="top"/>
    </xf>
    <xf numFmtId="3" fontId="11" fillId="0" borderId="0" xfId="26" applyNumberFormat="1" applyFont="1" applyAlignment="1">
      <alignment horizontal="left" vertical="top" indent="1"/>
    </xf>
    <xf numFmtId="3" fontId="14" fillId="0" borderId="15" xfId="26" applyNumberFormat="1" applyFont="1" applyBorder="1" applyAlignment="1">
      <alignment vertical="top"/>
    </xf>
    <xf numFmtId="0" fontId="20" fillId="0" borderId="97" xfId="28" applyFont="1" applyBorder="1" applyAlignment="1">
      <alignment horizontal="left"/>
    </xf>
    <xf numFmtId="3" fontId="20" fillId="0" borderId="96" xfId="0" applyNumberFormat="1" applyFont="1" applyBorder="1"/>
    <xf numFmtId="3" fontId="20" fillId="0" borderId="79" xfId="0" applyNumberFormat="1" applyFont="1" applyBorder="1"/>
    <xf numFmtId="3" fontId="20" fillId="0" borderId="109" xfId="0" applyNumberFormat="1" applyFont="1" applyBorder="1"/>
    <xf numFmtId="0" fontId="20" fillId="0" borderId="234" xfId="28" applyFont="1" applyBorder="1" applyAlignment="1">
      <alignment horizontal="left"/>
    </xf>
    <xf numFmtId="3" fontId="0" fillId="0" borderId="113" xfId="0" applyNumberFormat="1" applyBorder="1"/>
    <xf numFmtId="3" fontId="0" fillId="0" borderId="133" xfId="0" applyNumberFormat="1" applyBorder="1"/>
    <xf numFmtId="3" fontId="20" fillId="0" borderId="115" xfId="0" applyNumberFormat="1" applyFont="1" applyBorder="1"/>
    <xf numFmtId="3" fontId="20" fillId="0" borderId="206" xfId="0" applyNumberFormat="1" applyFont="1" applyBorder="1"/>
    <xf numFmtId="3" fontId="20" fillId="0" borderId="79" xfId="0" applyNumberFormat="1" applyFont="1" applyBorder="1" applyAlignment="1">
      <alignment horizontal="right"/>
    </xf>
    <xf numFmtId="3" fontId="20" fillId="0" borderId="109" xfId="0" applyNumberFormat="1" applyFont="1" applyBorder="1" applyAlignment="1">
      <alignment horizontal="right"/>
    </xf>
    <xf numFmtId="3" fontId="20" fillId="0" borderId="95" xfId="0" applyNumberFormat="1" applyFont="1" applyBorder="1"/>
    <xf numFmtId="3" fontId="21" fillId="0" borderId="18" xfId="30" applyNumberFormat="1" applyFont="1" applyBorder="1" applyAlignment="1">
      <alignment horizontal="center"/>
    </xf>
    <xf numFmtId="3" fontId="21" fillId="0" borderId="19" xfId="0" applyNumberFormat="1" applyFont="1" applyBorder="1" applyAlignment="1">
      <alignment vertical="center"/>
    </xf>
    <xf numFmtId="3" fontId="21" fillId="0" borderId="22" xfId="0" applyNumberFormat="1" applyFont="1" applyBorder="1" applyAlignment="1">
      <alignment horizontal="right" vertical="center"/>
    </xf>
    <xf numFmtId="3" fontId="20" fillId="0" borderId="119" xfId="0" applyNumberFormat="1" applyFont="1" applyBorder="1"/>
    <xf numFmtId="3" fontId="20" fillId="0" borderId="113" xfId="0" applyNumberFormat="1" applyFont="1" applyBorder="1" applyAlignment="1">
      <alignment horizontal="right"/>
    </xf>
    <xf numFmtId="3" fontId="35" fillId="0" borderId="113" xfId="0" applyNumberFormat="1" applyFont="1" applyBorder="1" applyAlignment="1">
      <alignment horizontal="right"/>
    </xf>
    <xf numFmtId="3" fontId="35" fillId="0" borderId="111" xfId="0" applyNumberFormat="1" applyFont="1" applyBorder="1" applyAlignment="1">
      <alignment horizontal="right"/>
    </xf>
    <xf numFmtId="3" fontId="36" fillId="0" borderId="235" xfId="0" applyNumberFormat="1" applyFont="1" applyBorder="1" applyAlignment="1">
      <alignment horizontal="left" vertical="center" wrapText="1"/>
    </xf>
    <xf numFmtId="3" fontId="36" fillId="0" borderId="234" xfId="0" applyNumberFormat="1" applyFont="1" applyBorder="1" applyAlignment="1">
      <alignment horizontal="left" vertical="center" wrapText="1"/>
    </xf>
    <xf numFmtId="3" fontId="36" fillId="0" borderId="114" xfId="0" applyNumberFormat="1" applyFont="1" applyBorder="1" applyAlignment="1">
      <alignment horizontal="left" vertical="center" wrapText="1"/>
    </xf>
    <xf numFmtId="3" fontId="36" fillId="0" borderId="114" xfId="0" applyNumberFormat="1" applyFont="1" applyBorder="1" applyAlignment="1">
      <alignment horizontal="right" vertical="center"/>
    </xf>
    <xf numFmtId="3" fontId="36" fillId="0" borderId="115" xfId="0" applyNumberFormat="1" applyFont="1" applyBorder="1" applyAlignment="1">
      <alignment horizontal="right" vertical="center"/>
    </xf>
    <xf numFmtId="3" fontId="36" fillId="0" borderId="236" xfId="0" applyNumberFormat="1" applyFont="1" applyBorder="1" applyAlignment="1">
      <alignment horizontal="right" vertical="center"/>
    </xf>
    <xf numFmtId="3" fontId="20" fillId="0" borderId="234" xfId="0" applyNumberFormat="1" applyFont="1" applyBorder="1" applyAlignment="1">
      <alignment horizontal="right" vertical="center"/>
    </xf>
    <xf numFmtId="3" fontId="20" fillId="0" borderId="114" xfId="0" applyNumberFormat="1" applyFont="1" applyBorder="1" applyAlignment="1">
      <alignment horizontal="right" vertical="center"/>
    </xf>
    <xf numFmtId="3" fontId="20" fillId="0" borderId="206" xfId="0" applyNumberFormat="1" applyFont="1" applyBorder="1" applyAlignment="1">
      <alignment horizontal="right" vertical="center"/>
    </xf>
    <xf numFmtId="3" fontId="20" fillId="0" borderId="22" xfId="31" applyNumberFormat="1" applyFont="1" applyBorder="1" applyAlignment="1" applyProtection="1">
      <alignment horizontal="left"/>
      <protection locked="0"/>
    </xf>
    <xf numFmtId="3" fontId="20" fillId="0" borderId="14" xfId="31" applyNumberFormat="1" applyFont="1" applyBorder="1" applyProtection="1">
      <protection locked="0"/>
    </xf>
    <xf numFmtId="3" fontId="20" fillId="0" borderId="14" xfId="31" applyNumberFormat="1" applyFont="1" applyBorder="1" applyAlignment="1" applyProtection="1">
      <alignment horizontal="left"/>
      <protection locked="0"/>
    </xf>
    <xf numFmtId="3" fontId="20" fillId="0" borderId="14" xfId="31" applyNumberFormat="1" applyFont="1" applyBorder="1" applyAlignment="1" applyProtection="1">
      <alignment vertical="top"/>
      <protection locked="0"/>
    </xf>
    <xf numFmtId="3" fontId="20" fillId="0" borderId="37" xfId="31" applyNumberFormat="1" applyFont="1" applyBorder="1" applyProtection="1">
      <protection locked="0"/>
    </xf>
    <xf numFmtId="3" fontId="24" fillId="0" borderId="237" xfId="31" applyNumberFormat="1" applyFont="1" applyBorder="1" applyAlignment="1" applyProtection="1">
      <alignment horizontal="right" vertical="center"/>
      <protection locked="0"/>
    </xf>
    <xf numFmtId="3" fontId="24" fillId="0" borderId="21" xfId="31" applyNumberFormat="1" applyFont="1" applyBorder="1" applyAlignment="1" applyProtection="1">
      <alignment horizontal="right" vertical="center"/>
      <protection locked="0"/>
    </xf>
    <xf numFmtId="3" fontId="24" fillId="0" borderId="35" xfId="31" applyNumberFormat="1" applyFont="1" applyBorder="1" applyAlignment="1" applyProtection="1">
      <alignment horizontal="right" vertical="center"/>
      <protection locked="0"/>
    </xf>
    <xf numFmtId="3" fontId="24" fillId="0" borderId="14" xfId="31" applyNumberFormat="1" applyFont="1" applyBorder="1" applyAlignment="1" applyProtection="1">
      <alignment horizontal="right" vertical="center"/>
      <protection locked="0"/>
    </xf>
    <xf numFmtId="3" fontId="20" fillId="0" borderId="111" xfId="31" applyNumberFormat="1" applyFont="1" applyBorder="1" applyAlignment="1" applyProtection="1">
      <alignment horizontal="right" vertical="center"/>
      <protection locked="0"/>
    </xf>
    <xf numFmtId="0" fontId="20" fillId="0" borderId="113" xfId="28" applyFont="1" applyBorder="1" applyAlignment="1">
      <alignment horizontal="left"/>
    </xf>
    <xf numFmtId="3" fontId="20" fillId="0" borderId="113" xfId="0" applyNumberFormat="1" applyFont="1" applyBorder="1"/>
    <xf numFmtId="3" fontId="20" fillId="0" borderId="113" xfId="0" applyNumberFormat="1" applyFont="1" applyBorder="1" applyAlignment="1">
      <alignment horizontal="right" wrapText="1"/>
    </xf>
    <xf numFmtId="3" fontId="20" fillId="0" borderId="111" xfId="0" applyNumberFormat="1" applyFont="1" applyBorder="1" applyAlignment="1">
      <alignment horizontal="right" wrapText="1"/>
    </xf>
    <xf numFmtId="3" fontId="39" fillId="0" borderId="13" xfId="27" applyNumberFormat="1" applyFont="1" applyBorder="1" applyAlignment="1">
      <alignment wrapText="1"/>
    </xf>
    <xf numFmtId="0" fontId="56" fillId="0" borderId="0" xfId="28" applyFont="1" applyAlignment="1">
      <alignment horizontal="left" wrapText="1"/>
    </xf>
    <xf numFmtId="3" fontId="20" fillId="0" borderId="113" xfId="28" applyNumberFormat="1" applyFont="1" applyBorder="1" applyAlignment="1">
      <alignment horizontal="right" vertical="center" wrapText="1"/>
    </xf>
    <xf numFmtId="3" fontId="20" fillId="0" borderId="133" xfId="28" applyNumberFormat="1" applyFont="1" applyBorder="1" applyAlignment="1">
      <alignment horizontal="right" wrapText="1"/>
    </xf>
    <xf numFmtId="0" fontId="14" fillId="0" borderId="97" xfId="28" applyFont="1" applyBorder="1" applyAlignment="1">
      <alignment horizontal="left"/>
    </xf>
    <xf numFmtId="3" fontId="14" fillId="0" borderId="79" xfId="31" applyNumberFormat="1" applyFont="1" applyBorder="1" applyAlignment="1">
      <alignment horizontal="right" vertical="center"/>
    </xf>
    <xf numFmtId="3" fontId="14" fillId="0" borderId="79" xfId="28" applyNumberFormat="1" applyFont="1" applyBorder="1" applyAlignment="1">
      <alignment horizontal="right" vertical="center"/>
    </xf>
    <xf numFmtId="3" fontId="14" fillId="0" borderId="183" xfId="31" applyNumberFormat="1" applyFont="1" applyBorder="1" applyAlignment="1">
      <alignment horizontal="right" vertical="center"/>
    </xf>
    <xf numFmtId="0" fontId="14" fillId="0" borderId="96" xfId="31" applyFont="1" applyBorder="1" applyAlignment="1">
      <alignment horizontal="center" vertical="center" wrapText="1"/>
    </xf>
    <xf numFmtId="3" fontId="14" fillId="0" borderId="183" xfId="28" applyNumberFormat="1" applyFont="1" applyBorder="1" applyAlignment="1">
      <alignment horizontal="right" wrapText="1"/>
    </xf>
    <xf numFmtId="0" fontId="11" fillId="0" borderId="36" xfId="0" applyFont="1" applyBorder="1" applyAlignment="1">
      <alignment wrapText="1" shrinkToFit="1"/>
    </xf>
    <xf numFmtId="0" fontId="14" fillId="0" borderId="113" xfId="28" applyFont="1" applyBorder="1" applyAlignment="1">
      <alignment horizontal="left"/>
    </xf>
    <xf numFmtId="3" fontId="14" fillId="0" borderId="115" xfId="31" applyNumberFormat="1" applyFont="1" applyBorder="1" applyAlignment="1">
      <alignment horizontal="right"/>
    </xf>
    <xf numFmtId="3" fontId="14" fillId="0" borderId="133" xfId="28" applyNumberFormat="1" applyFont="1" applyBorder="1" applyAlignment="1">
      <alignment horizontal="right" wrapText="1"/>
    </xf>
    <xf numFmtId="3" fontId="14" fillId="0" borderId="133" xfId="28" applyNumberFormat="1" applyFont="1" applyBorder="1" applyAlignment="1">
      <alignment horizontal="right" vertical="center" wrapText="1"/>
    </xf>
    <xf numFmtId="0" fontId="14" fillId="0" borderId="108" xfId="28" applyFont="1" applyBorder="1" applyAlignment="1">
      <alignment horizontal="left"/>
    </xf>
    <xf numFmtId="0" fontId="11" fillId="0" borderId="101" xfId="31" applyFont="1" applyBorder="1" applyAlignment="1">
      <alignment horizontal="center"/>
    </xf>
    <xf numFmtId="0" fontId="13" fillId="0" borderId="11" xfId="28" applyFont="1" applyBorder="1" applyAlignment="1">
      <alignment horizontal="center"/>
    </xf>
    <xf numFmtId="3" fontId="11" fillId="0" borderId="11" xfId="31" applyNumberFormat="1" applyFont="1" applyBorder="1" applyAlignment="1">
      <alignment horizontal="right"/>
    </xf>
    <xf numFmtId="3" fontId="11" fillId="0" borderId="118" xfId="31" applyNumberFormat="1" applyFont="1" applyBorder="1" applyAlignment="1">
      <alignment horizontal="right"/>
    </xf>
    <xf numFmtId="0" fontId="13" fillId="0" borderId="83" xfId="31" applyFont="1" applyBorder="1" applyAlignment="1">
      <alignment horizontal="center" wrapText="1"/>
    </xf>
    <xf numFmtId="3" fontId="13" fillId="0" borderId="11" xfId="28" applyNumberFormat="1" applyFont="1" applyBorder="1" applyAlignment="1">
      <alignment horizontal="right" wrapText="1"/>
    </xf>
    <xf numFmtId="3" fontId="13" fillId="0" borderId="118" xfId="28" applyNumberFormat="1" applyFont="1" applyBorder="1" applyAlignment="1">
      <alignment horizontal="right" wrapText="1"/>
    </xf>
    <xf numFmtId="3" fontId="13" fillId="0" borderId="187" xfId="31" applyNumberFormat="1" applyFont="1" applyBorder="1" applyAlignment="1">
      <alignment horizontal="right"/>
    </xf>
    <xf numFmtId="3" fontId="11" fillId="0" borderId="53" xfId="28" applyNumberFormat="1" applyFont="1" applyBorder="1" applyAlignment="1">
      <alignment horizontal="right"/>
    </xf>
    <xf numFmtId="0" fontId="14" fillId="0" borderId="79" xfId="28" applyFont="1" applyBorder="1" applyAlignment="1">
      <alignment horizontal="left"/>
    </xf>
    <xf numFmtId="3" fontId="14" fillId="0" borderId="79" xfId="28" applyNumberFormat="1" applyFont="1" applyBorder="1" applyAlignment="1">
      <alignment horizontal="right" wrapText="1"/>
    </xf>
    <xf numFmtId="3" fontId="14" fillId="0" borderId="96" xfId="28" applyNumberFormat="1" applyFont="1" applyBorder="1" applyAlignment="1">
      <alignment horizontal="right" wrapText="1"/>
    </xf>
    <xf numFmtId="0" fontId="14" fillId="0" borderId="110" xfId="28" applyFont="1" applyBorder="1" applyAlignment="1">
      <alignment horizontal="left"/>
    </xf>
    <xf numFmtId="3" fontId="25" fillId="0" borderId="96" xfId="28" applyNumberFormat="1" applyFont="1" applyBorder="1" applyAlignment="1">
      <alignment horizontal="right" wrapText="1"/>
    </xf>
    <xf numFmtId="3" fontId="47" fillId="0" borderId="79" xfId="28" applyNumberFormat="1" applyFont="1" applyBorder="1" applyAlignment="1">
      <alignment horizontal="right" wrapText="1"/>
    </xf>
    <xf numFmtId="3" fontId="47" fillId="0" borderId="55" xfId="28" applyNumberFormat="1" applyFont="1" applyBorder="1" applyAlignment="1">
      <alignment horizontal="right" wrapText="1"/>
    </xf>
    <xf numFmtId="3" fontId="40" fillId="0" borderId="55" xfId="28" applyNumberFormat="1" applyFont="1" applyBorder="1" applyAlignment="1">
      <alignment horizontal="right" wrapText="1"/>
    </xf>
    <xf numFmtId="0" fontId="11" fillId="0" borderId="235" xfId="31" applyFont="1" applyBorder="1" applyAlignment="1">
      <alignment horizontal="center"/>
    </xf>
    <xf numFmtId="0" fontId="11" fillId="0" borderId="113" xfId="31" applyFont="1" applyBorder="1" applyAlignment="1">
      <alignment horizontal="center"/>
    </xf>
    <xf numFmtId="0" fontId="14" fillId="0" borderId="114" xfId="28" applyFont="1" applyBorder="1" applyAlignment="1">
      <alignment horizontal="left"/>
    </xf>
    <xf numFmtId="3" fontId="14" fillId="0" borderId="115" xfId="28" applyNumberFormat="1" applyFont="1" applyBorder="1" applyAlignment="1">
      <alignment horizontal="right" wrapText="1"/>
    </xf>
    <xf numFmtId="3" fontId="13" fillId="0" borderId="0" xfId="28" applyNumberFormat="1" applyFont="1" applyAlignment="1">
      <alignment horizontal="right" wrapText="1"/>
    </xf>
    <xf numFmtId="3" fontId="48" fillId="0" borderId="0" xfId="28" applyNumberFormat="1" applyFont="1" applyAlignment="1">
      <alignment horizontal="right" wrapText="1"/>
    </xf>
    <xf numFmtId="0" fontId="13" fillId="0" borderId="95" xfId="31" applyFont="1" applyBorder="1" applyAlignment="1">
      <alignment horizontal="center" wrapText="1"/>
    </xf>
    <xf numFmtId="3" fontId="14" fillId="0" borderId="174" xfId="0" applyNumberFormat="1" applyFont="1" applyBorder="1" applyAlignment="1">
      <alignment horizontal="center" vertical="center" wrapText="1"/>
    </xf>
    <xf numFmtId="0" fontId="11" fillId="0" borderId="0" xfId="0" applyFont="1" applyAlignment="1">
      <alignment wrapText="1"/>
    </xf>
    <xf numFmtId="3" fontId="11" fillId="0" borderId="63" xfId="0" applyNumberFormat="1" applyFont="1" applyBorder="1" applyAlignment="1">
      <alignment horizontal="right"/>
    </xf>
    <xf numFmtId="1" fontId="11" fillId="0" borderId="0" xfId="0" applyNumberFormat="1" applyFont="1" applyAlignment="1">
      <alignment horizontal="center"/>
    </xf>
    <xf numFmtId="3" fontId="11" fillId="0" borderId="63" xfId="0" applyNumberFormat="1" applyFont="1" applyBorder="1" applyAlignment="1">
      <alignment horizontal="right" vertical="center"/>
    </xf>
    <xf numFmtId="3" fontId="11" fillId="0" borderId="0" xfId="0" applyNumberFormat="1" applyFont="1" applyAlignment="1">
      <alignment horizontal="center"/>
    </xf>
    <xf numFmtId="0" fontId="13" fillId="0" borderId="0" xfId="0" applyFont="1" applyAlignment="1">
      <alignment horizontal="left" vertical="center"/>
    </xf>
    <xf numFmtId="0" fontId="11" fillId="0" borderId="0" xfId="0" applyFont="1" applyAlignment="1">
      <alignment horizontal="left" indent="2"/>
    </xf>
    <xf numFmtId="0" fontId="13" fillId="0" borderId="0" xfId="0" applyFont="1" applyAlignment="1">
      <alignment horizontal="left" vertical="center" wrapText="1"/>
    </xf>
    <xf numFmtId="0" fontId="11" fillId="0" borderId="140" xfId="0" applyFont="1" applyBorder="1" applyAlignment="1">
      <alignment horizontal="center" vertical="center" wrapText="1"/>
    </xf>
    <xf numFmtId="0" fontId="11" fillId="0" borderId="177" xfId="0" applyFont="1" applyBorder="1"/>
    <xf numFmtId="0" fontId="11" fillId="0" borderId="59" xfId="0" applyFont="1" applyBorder="1"/>
    <xf numFmtId="0" fontId="11" fillId="0" borderId="59" xfId="0" applyFont="1" applyBorder="1" applyAlignment="1">
      <alignment vertical="center"/>
    </xf>
    <xf numFmtId="0" fontId="11" fillId="0" borderId="75" xfId="0" applyFont="1" applyBorder="1" applyAlignment="1">
      <alignment vertical="center"/>
    </xf>
    <xf numFmtId="0" fontId="14" fillId="0" borderId="238" xfId="0" applyFont="1" applyBorder="1" applyAlignment="1">
      <alignment horizontal="center" vertical="center"/>
    </xf>
    <xf numFmtId="3" fontId="58" fillId="0" borderId="13" xfId="0" applyNumberFormat="1" applyFont="1" applyBorder="1" applyAlignment="1">
      <alignment horizontal="right" wrapText="1"/>
    </xf>
    <xf numFmtId="3" fontId="59" fillId="0" borderId="13" xfId="0" applyNumberFormat="1" applyFont="1" applyBorder="1" applyAlignment="1">
      <alignment horizontal="right" wrapText="1"/>
    </xf>
    <xf numFmtId="3" fontId="60" fillId="0" borderId="13" xfId="0" applyNumberFormat="1" applyFont="1" applyBorder="1" applyAlignment="1">
      <alignment horizontal="right" wrapText="1"/>
    </xf>
    <xf numFmtId="3" fontId="50" fillId="0" borderId="13" xfId="0" applyNumberFormat="1" applyFont="1" applyBorder="1" applyAlignment="1">
      <alignment horizontal="right" wrapText="1"/>
    </xf>
    <xf numFmtId="3" fontId="50" fillId="0" borderId="14" xfId="0" applyNumberFormat="1" applyFont="1" applyBorder="1" applyAlignment="1">
      <alignment horizontal="right" vertical="center" wrapText="1"/>
    </xf>
    <xf numFmtId="3" fontId="61" fillId="0" borderId="82" xfId="28" applyNumberFormat="1" applyFont="1" applyBorder="1" applyAlignment="1">
      <alignment horizontal="right" wrapText="1"/>
    </xf>
    <xf numFmtId="3" fontId="57" fillId="0" borderId="96" xfId="28" applyNumberFormat="1" applyFont="1" applyBorder="1" applyAlignment="1">
      <alignment horizontal="right" wrapText="1"/>
    </xf>
    <xf numFmtId="3" fontId="62" fillId="0" borderId="13" xfId="0" applyNumberFormat="1" applyFont="1" applyBorder="1"/>
    <xf numFmtId="3" fontId="20" fillId="0" borderId="13" xfId="27" applyNumberFormat="1" applyFont="1" applyBorder="1"/>
    <xf numFmtId="3" fontId="20" fillId="0" borderId="128" xfId="0" applyNumberFormat="1" applyFont="1" applyBorder="1" applyAlignment="1">
      <alignment horizontal="right" wrapText="1"/>
    </xf>
    <xf numFmtId="3" fontId="20" fillId="0" borderId="181" xfId="0" applyNumberFormat="1" applyFont="1" applyBorder="1" applyAlignment="1">
      <alignment horizontal="right" wrapText="1"/>
    </xf>
    <xf numFmtId="3" fontId="20" fillId="0" borderId="82" xfId="0" applyNumberFormat="1" applyFont="1" applyBorder="1" applyAlignment="1">
      <alignment horizontal="right" wrapText="1"/>
    </xf>
    <xf numFmtId="3" fontId="20" fillId="0" borderId="188" xfId="0" applyNumberFormat="1" applyFont="1" applyBorder="1" applyAlignment="1">
      <alignment horizontal="right" wrapText="1"/>
    </xf>
    <xf numFmtId="3" fontId="14" fillId="0" borderId="18" xfId="31" applyNumberFormat="1" applyFont="1" applyBorder="1" applyAlignment="1">
      <alignment horizontal="right" vertical="center"/>
    </xf>
    <xf numFmtId="3" fontId="14" fillId="0" borderId="96" xfId="28" applyNumberFormat="1" applyFont="1" applyBorder="1" applyAlignment="1">
      <alignment horizontal="right" vertical="center" wrapText="1"/>
    </xf>
    <xf numFmtId="3" fontId="14" fillId="0" borderId="13" xfId="31" applyNumberFormat="1" applyFont="1" applyBorder="1" applyAlignment="1">
      <alignment horizontal="right"/>
    </xf>
    <xf numFmtId="3" fontId="14" fillId="0" borderId="13" xfId="28" applyNumberFormat="1" applyFont="1" applyBorder="1" applyAlignment="1">
      <alignment horizontal="right" wrapText="1"/>
    </xf>
    <xf numFmtId="3" fontId="14" fillId="0" borderId="92" xfId="31" applyNumberFormat="1" applyFont="1" applyBorder="1" applyAlignment="1">
      <alignment horizontal="right"/>
    </xf>
    <xf numFmtId="3" fontId="14" fillId="0" borderId="113" xfId="28" applyNumberFormat="1" applyFont="1" applyBorder="1" applyAlignment="1">
      <alignment horizontal="right" vertical="center" wrapText="1"/>
    </xf>
    <xf numFmtId="3" fontId="14" fillId="0" borderId="82" xfId="28" applyNumberFormat="1" applyFont="1" applyBorder="1" applyAlignment="1">
      <alignment horizontal="right" wrapText="1"/>
    </xf>
    <xf numFmtId="3" fontId="14" fillId="0" borderId="113" xfId="28" applyNumberFormat="1" applyFont="1" applyBorder="1" applyAlignment="1">
      <alignment horizontal="right" wrapText="1"/>
    </xf>
    <xf numFmtId="3" fontId="14" fillId="0" borderId="36" xfId="28" applyNumberFormat="1" applyFont="1" applyBorder="1" applyAlignment="1">
      <alignment horizontal="right" wrapText="1"/>
    </xf>
    <xf numFmtId="3" fontId="21" fillId="0" borderId="123" xfId="0" applyNumberFormat="1" applyFont="1" applyBorder="1"/>
    <xf numFmtId="3" fontId="35" fillId="0" borderId="112" xfId="0" applyNumberFormat="1" applyFont="1" applyBorder="1" applyAlignment="1">
      <alignment horizontal="center" vertical="center"/>
    </xf>
    <xf numFmtId="3" fontId="35" fillId="0" borderId="113" xfId="0" applyNumberFormat="1" applyFont="1" applyBorder="1"/>
    <xf numFmtId="3" fontId="35" fillId="0" borderId="133" xfId="0" applyNumberFormat="1" applyFont="1" applyBorder="1"/>
    <xf numFmtId="3" fontId="11" fillId="0" borderId="179" xfId="29" applyNumberFormat="1" applyFont="1" applyBorder="1" applyAlignment="1">
      <alignment horizontal="center" vertical="center" wrapText="1"/>
    </xf>
    <xf numFmtId="3" fontId="20" fillId="0" borderId="0" xfId="29" applyNumberFormat="1" applyFont="1"/>
    <xf numFmtId="3" fontId="13" fillId="0" borderId="94" xfId="29" applyNumberFormat="1" applyFont="1" applyBorder="1" applyAlignment="1">
      <alignment horizontal="right" vertical="center"/>
    </xf>
    <xf numFmtId="0" fontId="11" fillId="0" borderId="0" xfId="55" applyFont="1" applyAlignment="1">
      <alignment horizontal="center" vertical="center"/>
    </xf>
    <xf numFmtId="0" fontId="11" fillId="0" borderId="0" xfId="55" applyFont="1"/>
    <xf numFmtId="0" fontId="11" fillId="0" borderId="0" xfId="55" applyFont="1" applyAlignment="1">
      <alignment vertical="center"/>
    </xf>
    <xf numFmtId="0" fontId="11" fillId="0" borderId="0" xfId="56" applyFont="1" applyAlignment="1">
      <alignment horizontal="center" vertical="center"/>
    </xf>
    <xf numFmtId="0" fontId="18" fillId="0" borderId="0" xfId="55" applyFont="1" applyAlignment="1">
      <alignment horizontal="center" vertical="center"/>
    </xf>
    <xf numFmtId="0" fontId="18" fillId="0" borderId="0" xfId="57" applyFont="1" applyAlignment="1">
      <alignment horizontal="center"/>
    </xf>
    <xf numFmtId="0" fontId="15" fillId="0" borderId="0" xfId="55" applyFont="1"/>
    <xf numFmtId="0" fontId="18" fillId="0" borderId="243" xfId="56" applyFont="1" applyBorder="1" applyAlignment="1">
      <alignment horizontal="center" vertical="center" wrapText="1"/>
    </xf>
    <xf numFmtId="0" fontId="18" fillId="0" borderId="244" xfId="56" applyFont="1" applyBorder="1" applyAlignment="1">
      <alignment horizontal="center" vertical="center" wrapText="1"/>
    </xf>
    <xf numFmtId="0" fontId="15" fillId="0" borderId="0" xfId="55" applyFont="1" applyAlignment="1">
      <alignment horizontal="center" vertical="center"/>
    </xf>
    <xf numFmtId="0" fontId="21" fillId="0" borderId="245" xfId="56" applyFont="1" applyBorder="1" applyAlignment="1">
      <alignment horizontal="center" vertical="center"/>
    </xf>
    <xf numFmtId="3" fontId="21" fillId="0" borderId="100" xfId="55" applyNumberFormat="1" applyFont="1" applyBorder="1" applyAlignment="1">
      <alignment vertical="center"/>
    </xf>
    <xf numFmtId="3" fontId="21" fillId="0" borderId="100" xfId="55" applyNumberFormat="1" applyFont="1" applyBorder="1" applyAlignment="1">
      <alignment horizontal="center" vertical="center"/>
    </xf>
    <xf numFmtId="3" fontId="21" fillId="0" borderId="237" xfId="55" applyNumberFormat="1" applyFont="1" applyBorder="1" applyAlignment="1">
      <alignment horizontal="center" vertical="center"/>
    </xf>
    <xf numFmtId="0" fontId="15" fillId="0" borderId="0" xfId="55" applyFont="1" applyAlignment="1">
      <alignment vertical="center"/>
    </xf>
    <xf numFmtId="3" fontId="11" fillId="0" borderId="0" xfId="56" applyNumberFormat="1" applyFont="1" applyAlignment="1">
      <alignment horizontal="center"/>
    </xf>
    <xf numFmtId="0" fontId="11" fillId="0" borderId="0" xfId="56" applyFont="1" applyAlignment="1">
      <alignment horizontal="center"/>
    </xf>
    <xf numFmtId="0" fontId="11" fillId="0" borderId="0" xfId="56" applyFont="1"/>
    <xf numFmtId="3" fontId="14" fillId="4" borderId="129" xfId="29" applyNumberFormat="1" applyFont="1" applyFill="1" applyBorder="1" applyAlignment="1">
      <alignment horizontal="center" vertical="center" wrapText="1"/>
    </xf>
    <xf numFmtId="3" fontId="14" fillId="4" borderId="29" xfId="29" applyNumberFormat="1" applyFont="1" applyFill="1" applyBorder="1" applyAlignment="1">
      <alignment horizontal="right" vertical="center" wrapText="1"/>
    </xf>
    <xf numFmtId="3" fontId="14" fillId="4" borderId="240" xfId="29" applyNumberFormat="1" applyFont="1" applyFill="1" applyBorder="1" applyAlignment="1">
      <alignment horizontal="right" vertical="center" wrapText="1"/>
    </xf>
    <xf numFmtId="3" fontId="25" fillId="4" borderId="28" xfId="29" applyNumberFormat="1" applyFont="1" applyFill="1" applyBorder="1" applyAlignment="1">
      <alignment horizontal="right" vertical="center"/>
    </xf>
    <xf numFmtId="3" fontId="14" fillId="4" borderId="102" xfId="29" applyNumberFormat="1" applyFont="1" applyFill="1" applyBorder="1" applyAlignment="1">
      <alignment horizontal="right" vertical="center" wrapText="1"/>
    </xf>
    <xf numFmtId="3" fontId="14" fillId="4" borderId="103" xfId="29" applyNumberFormat="1" applyFont="1" applyFill="1" applyBorder="1" applyAlignment="1">
      <alignment horizontal="right" vertical="center" wrapText="1"/>
    </xf>
    <xf numFmtId="3" fontId="14" fillId="4" borderId="103" xfId="29" applyNumberFormat="1" applyFont="1" applyFill="1" applyBorder="1" applyAlignment="1">
      <alignment horizontal="right"/>
    </xf>
    <xf numFmtId="3" fontId="14" fillId="4" borderId="103" xfId="29" applyNumberFormat="1" applyFont="1" applyFill="1" applyBorder="1" applyAlignment="1">
      <alignment horizontal="right" vertical="center"/>
    </xf>
    <xf numFmtId="3" fontId="14" fillId="4" borderId="189" xfId="29" applyNumberFormat="1" applyFont="1" applyFill="1" applyBorder="1" applyAlignment="1">
      <alignment horizontal="right" vertical="center"/>
    </xf>
    <xf numFmtId="3" fontId="25" fillId="4" borderId="146" xfId="29" applyNumberFormat="1" applyFont="1" applyFill="1" applyBorder="1" applyAlignment="1">
      <alignment horizontal="right" vertical="center"/>
    </xf>
    <xf numFmtId="0" fontId="11" fillId="0" borderId="13" xfId="0" applyFont="1" applyBorder="1" applyAlignment="1">
      <alignment wrapText="1"/>
    </xf>
    <xf numFmtId="3" fontId="20" fillId="0" borderId="111" xfId="0" applyNumberFormat="1" applyFont="1" applyBorder="1"/>
    <xf numFmtId="0" fontId="11" fillId="0" borderId="0" xfId="0" applyFont="1" applyAlignment="1">
      <alignment horizontal="left"/>
    </xf>
    <xf numFmtId="0" fontId="13" fillId="0" borderId="0" xfId="0" applyFont="1" applyAlignment="1">
      <alignment horizontal="center" vertical="center"/>
    </xf>
    <xf numFmtId="3" fontId="11" fillId="0" borderId="0" xfId="26" applyNumberFormat="1" applyFont="1" applyAlignment="1">
      <alignment horizontal="left"/>
    </xf>
    <xf numFmtId="3" fontId="13" fillId="0" borderId="0" xfId="26" applyNumberFormat="1" applyFont="1" applyAlignment="1">
      <alignment horizontal="center" vertical="center"/>
    </xf>
    <xf numFmtId="3" fontId="18" fillId="0" borderId="139" xfId="0" applyNumberFormat="1" applyFont="1" applyBorder="1" applyAlignment="1">
      <alignment horizontal="center" vertical="center" wrapText="1"/>
    </xf>
    <xf numFmtId="3" fontId="24" fillId="0" borderId="101" xfId="0" applyNumberFormat="1" applyFont="1" applyBorder="1" applyAlignment="1">
      <alignment horizontal="left" vertical="center"/>
    </xf>
    <xf numFmtId="3" fontId="24" fillId="0" borderId="137" xfId="0" applyNumberFormat="1" applyFont="1" applyBorder="1" applyAlignment="1">
      <alignment horizontal="left" vertical="center"/>
    </xf>
    <xf numFmtId="3" fontId="24" fillId="0" borderId="83" xfId="0" applyNumberFormat="1" applyFont="1" applyBorder="1" applyAlignment="1">
      <alignment horizontal="left" vertical="center"/>
    </xf>
    <xf numFmtId="3" fontId="11" fillId="0" borderId="0" xfId="0" applyNumberFormat="1" applyFont="1" applyAlignment="1">
      <alignment horizontal="left" vertical="center"/>
    </xf>
    <xf numFmtId="3" fontId="13" fillId="0" borderId="0" xfId="0" applyNumberFormat="1" applyFont="1" applyAlignment="1">
      <alignment horizontal="center" vertical="center"/>
    </xf>
    <xf numFmtId="3" fontId="15" fillId="0" borderId="3" xfId="0" applyNumberFormat="1" applyFont="1" applyBorder="1" applyAlignment="1">
      <alignment horizontal="center" vertical="center"/>
    </xf>
    <xf numFmtId="3" fontId="18" fillId="0" borderId="134" xfId="0" applyNumberFormat="1" applyFont="1" applyBorder="1" applyAlignment="1">
      <alignment horizontal="center" vertical="center" textRotation="90"/>
    </xf>
    <xf numFmtId="3" fontId="18" fillId="0" borderId="135" xfId="0" applyNumberFormat="1" applyFont="1" applyBorder="1" applyAlignment="1">
      <alignment horizontal="center" vertical="center" textRotation="90"/>
    </xf>
    <xf numFmtId="3" fontId="18" fillId="0" borderId="140" xfId="0" applyNumberFormat="1" applyFont="1" applyBorder="1" applyAlignment="1">
      <alignment horizontal="center" vertical="center" textRotation="90"/>
    </xf>
    <xf numFmtId="0" fontId="0" fillId="0" borderId="76" xfId="0" applyBorder="1" applyAlignment="1">
      <alignment horizontal="center" vertical="center"/>
    </xf>
    <xf numFmtId="3" fontId="21" fillId="0" borderId="140" xfId="0" applyNumberFormat="1" applyFont="1" applyBorder="1" applyAlignment="1">
      <alignment horizontal="center" vertical="center"/>
    </xf>
    <xf numFmtId="3" fontId="21" fillId="0" borderId="81" xfId="0" applyNumberFormat="1" applyFont="1" applyBorder="1" applyAlignment="1">
      <alignment horizontal="center" vertical="center"/>
    </xf>
    <xf numFmtId="3" fontId="21" fillId="0" borderId="76" xfId="0" applyNumberFormat="1" applyFont="1" applyBorder="1" applyAlignment="1">
      <alignment horizontal="center" vertical="center"/>
    </xf>
    <xf numFmtId="3" fontId="21" fillId="0" borderId="16" xfId="0" applyNumberFormat="1" applyFont="1" applyBorder="1" applyAlignment="1">
      <alignment horizontal="center" vertical="center"/>
    </xf>
    <xf numFmtId="3" fontId="18" fillId="0" borderId="136" xfId="0" applyNumberFormat="1" applyFont="1" applyBorder="1" applyAlignment="1">
      <alignment horizontal="center" vertical="center" wrapText="1"/>
    </xf>
    <xf numFmtId="3" fontId="18" fillId="0" borderId="127" xfId="0" applyNumberFormat="1" applyFont="1" applyBorder="1" applyAlignment="1">
      <alignment horizontal="center" vertical="center" wrapText="1"/>
    </xf>
    <xf numFmtId="3" fontId="18" fillId="0" borderId="143" xfId="0" applyNumberFormat="1" applyFont="1" applyBorder="1" applyAlignment="1">
      <alignment horizontal="center" vertical="center" wrapText="1"/>
    </xf>
    <xf numFmtId="3" fontId="18" fillId="0" borderId="144" xfId="0" applyNumberFormat="1" applyFont="1" applyBorder="1" applyAlignment="1">
      <alignment horizontal="center" vertical="center" wrapText="1"/>
    </xf>
    <xf numFmtId="3" fontId="18" fillId="0" borderId="17" xfId="30" applyNumberFormat="1" applyFont="1" applyBorder="1" applyAlignment="1">
      <alignment horizontal="left" wrapText="1"/>
    </xf>
    <xf numFmtId="3" fontId="18" fillId="0" borderId="82" xfId="30" applyNumberFormat="1" applyFont="1" applyBorder="1" applyAlignment="1">
      <alignment horizontal="left" wrapText="1"/>
    </xf>
    <xf numFmtId="3" fontId="21" fillId="0" borderId="81" xfId="0" applyNumberFormat="1" applyFont="1" applyBorder="1" applyAlignment="1">
      <alignment horizontal="center" vertical="center" wrapText="1"/>
    </xf>
    <xf numFmtId="3" fontId="21" fillId="0" borderId="16" xfId="0" applyNumberFormat="1" applyFont="1" applyBorder="1" applyAlignment="1">
      <alignment horizontal="center" vertical="center" wrapText="1"/>
    </xf>
    <xf numFmtId="3" fontId="18" fillId="0" borderId="139" xfId="0" applyNumberFormat="1" applyFont="1" applyBorder="1" applyAlignment="1">
      <alignment horizontal="center" vertical="center"/>
    </xf>
    <xf numFmtId="3" fontId="18" fillId="0" borderId="4" xfId="0" applyNumberFormat="1" applyFont="1" applyBorder="1" applyAlignment="1">
      <alignment horizontal="center" vertical="center" wrapText="1"/>
    </xf>
    <xf numFmtId="3" fontId="21" fillId="0" borderId="19" xfId="30" applyNumberFormat="1" applyFont="1" applyBorder="1" applyAlignment="1">
      <alignment horizontal="left" wrapText="1"/>
    </xf>
    <xf numFmtId="3" fontId="21" fillId="0" borderId="55" xfId="30" applyNumberFormat="1" applyFont="1" applyBorder="1" applyAlignment="1">
      <alignment horizontal="left" wrapText="1"/>
    </xf>
    <xf numFmtId="3" fontId="21" fillId="0" borderId="138" xfId="30" applyNumberFormat="1" applyFont="1" applyBorder="1" applyAlignment="1">
      <alignment horizontal="center" vertical="center"/>
    </xf>
    <xf numFmtId="3" fontId="21" fillId="0" borderId="99" xfId="30" applyNumberFormat="1" applyFont="1" applyBorder="1" applyAlignment="1">
      <alignment horizontal="center" vertical="center"/>
    </xf>
    <xf numFmtId="3" fontId="21" fillId="0" borderId="91" xfId="30" applyNumberFormat="1" applyFont="1" applyBorder="1" applyAlignment="1">
      <alignment horizontal="center" vertical="center"/>
    </xf>
    <xf numFmtId="3" fontId="21" fillId="0" borderId="17" xfId="30" applyNumberFormat="1" applyFont="1" applyBorder="1" applyAlignment="1">
      <alignment horizontal="left" wrapText="1"/>
    </xf>
    <xf numFmtId="3" fontId="21" fillId="0" borderId="82" xfId="30" applyNumberFormat="1" applyFont="1" applyBorder="1" applyAlignment="1">
      <alignment horizontal="left" wrapText="1"/>
    </xf>
    <xf numFmtId="3" fontId="21" fillId="0" borderId="197" xfId="0" applyNumberFormat="1" applyFont="1" applyBorder="1" applyAlignment="1">
      <alignment horizontal="center" vertical="center"/>
    </xf>
    <xf numFmtId="3" fontId="21" fillId="0" borderId="98" xfId="0" applyNumberFormat="1" applyFont="1" applyBorder="1" applyAlignment="1">
      <alignment horizontal="center" vertical="center"/>
    </xf>
    <xf numFmtId="3" fontId="21" fillId="0" borderId="55" xfId="0" applyNumberFormat="1" applyFont="1" applyBorder="1" applyAlignment="1">
      <alignment horizontal="center" vertical="center"/>
    </xf>
    <xf numFmtId="3" fontId="21" fillId="0" borderId="56" xfId="30" applyNumberFormat="1" applyFont="1" applyBorder="1" applyAlignment="1">
      <alignment horizontal="left" wrapText="1"/>
    </xf>
    <xf numFmtId="3" fontId="21" fillId="0" borderId="99" xfId="30" applyNumberFormat="1" applyFont="1" applyBorder="1" applyAlignment="1">
      <alignment horizontal="left" wrapText="1"/>
    </xf>
    <xf numFmtId="3" fontId="24" fillId="0" borderId="101" xfId="30" applyNumberFormat="1" applyFont="1" applyBorder="1" applyAlignment="1">
      <alignment horizontal="left" vertical="center"/>
    </xf>
    <xf numFmtId="3" fontId="24" fillId="0" borderId="137" xfId="30" applyNumberFormat="1" applyFont="1" applyBorder="1" applyAlignment="1">
      <alignment horizontal="left" vertical="center"/>
    </xf>
    <xf numFmtId="3" fontId="24" fillId="0" borderId="83" xfId="30" applyNumberFormat="1" applyFont="1" applyBorder="1" applyAlignment="1">
      <alignment horizontal="left" vertical="center"/>
    </xf>
    <xf numFmtId="3" fontId="21" fillId="0" borderId="197" xfId="30" applyNumberFormat="1" applyFont="1" applyBorder="1" applyAlignment="1">
      <alignment horizontal="center" vertical="center"/>
    </xf>
    <xf numFmtId="3" fontId="21" fillId="0" borderId="98" xfId="30" applyNumberFormat="1" applyFont="1" applyBorder="1" applyAlignment="1">
      <alignment horizontal="center" vertical="center"/>
    </xf>
    <xf numFmtId="3" fontId="21" fillId="0" borderId="55" xfId="30" applyNumberFormat="1" applyFont="1" applyBorder="1" applyAlignment="1">
      <alignment horizontal="center" vertical="center"/>
    </xf>
    <xf numFmtId="3" fontId="21" fillId="0" borderId="17" xfId="0" applyNumberFormat="1" applyFont="1" applyBorder="1" applyAlignment="1">
      <alignment horizontal="left" vertical="center" wrapText="1"/>
    </xf>
    <xf numFmtId="3" fontId="21" fillId="0" borderId="90" xfId="0" applyNumberFormat="1" applyFont="1" applyBorder="1" applyAlignment="1">
      <alignment horizontal="left" vertical="center" wrapText="1"/>
    </xf>
    <xf numFmtId="3" fontId="18" fillId="0" borderId="90" xfId="30" applyNumberFormat="1" applyFont="1" applyBorder="1" applyAlignment="1">
      <alignment horizontal="left" wrapText="1"/>
    </xf>
    <xf numFmtId="3" fontId="20" fillId="0" borderId="0" xfId="0" applyNumberFormat="1" applyFont="1" applyAlignment="1">
      <alignment horizontal="right"/>
    </xf>
    <xf numFmtId="3" fontId="18" fillId="0" borderId="136" xfId="0" applyNumberFormat="1" applyFont="1" applyBorder="1" applyAlignment="1">
      <alignment horizontal="center" vertical="center" textRotation="90"/>
    </xf>
    <xf numFmtId="3" fontId="18" fillId="0" borderId="127" xfId="0" applyNumberFormat="1" applyFont="1" applyBorder="1" applyAlignment="1">
      <alignment horizontal="center" vertical="center" textRotation="90"/>
    </xf>
    <xf numFmtId="3" fontId="21" fillId="0" borderId="141" xfId="0" applyNumberFormat="1" applyFont="1" applyBorder="1" applyAlignment="1">
      <alignment horizontal="center" vertical="center"/>
    </xf>
    <xf numFmtId="3" fontId="21" fillId="0" borderId="142" xfId="0" applyNumberFormat="1" applyFont="1" applyBorder="1" applyAlignment="1">
      <alignment horizontal="center" vertical="center"/>
    </xf>
    <xf numFmtId="3" fontId="18" fillId="0" borderId="136" xfId="0" applyNumberFormat="1" applyFont="1" applyBorder="1" applyAlignment="1">
      <alignment horizontal="center" vertical="center" textRotation="90" wrapText="1"/>
    </xf>
    <xf numFmtId="0" fontId="0" fillId="0" borderId="127" xfId="0" applyBorder="1" applyAlignment="1">
      <alignment horizontal="center" vertical="center" textRotation="90" wrapText="1"/>
    </xf>
    <xf numFmtId="3" fontId="21" fillId="0" borderId="145" xfId="0" applyNumberFormat="1" applyFont="1" applyBorder="1" applyAlignment="1">
      <alignment horizontal="center" vertical="center" wrapText="1"/>
    </xf>
    <xf numFmtId="3" fontId="21" fillId="0" borderId="146" xfId="0" applyNumberFormat="1" applyFont="1" applyBorder="1" applyAlignment="1">
      <alignment horizontal="center" vertical="center" wrapText="1"/>
    </xf>
    <xf numFmtId="3" fontId="18" fillId="0" borderId="80" xfId="0" applyNumberFormat="1" applyFont="1" applyBorder="1" applyAlignment="1">
      <alignment horizontal="center" vertical="center"/>
    </xf>
    <xf numFmtId="3" fontId="18" fillId="0" borderId="78" xfId="0" applyNumberFormat="1" applyFont="1" applyBorder="1" applyAlignment="1">
      <alignment horizontal="center" vertical="center"/>
    </xf>
    <xf numFmtId="3" fontId="18" fillId="0" borderId="81" xfId="0" applyNumberFormat="1" applyFont="1" applyBorder="1" applyAlignment="1">
      <alignment horizontal="center" vertical="center"/>
    </xf>
    <xf numFmtId="3" fontId="18" fillId="0" borderId="139" xfId="26" applyNumberFormat="1" applyFont="1" applyBorder="1" applyAlignment="1">
      <alignment horizontal="center" vertical="center" wrapText="1"/>
    </xf>
    <xf numFmtId="3" fontId="20" fillId="0" borderId="12" xfId="0" applyNumberFormat="1" applyFont="1" applyBorder="1" applyAlignment="1">
      <alignment horizontal="left" vertical="center" wrapText="1"/>
    </xf>
    <xf numFmtId="3" fontId="20" fillId="0" borderId="82" xfId="0" applyNumberFormat="1" applyFont="1" applyBorder="1" applyAlignment="1">
      <alignment horizontal="left" vertical="center" wrapText="1"/>
    </xf>
    <xf numFmtId="3" fontId="20" fillId="0" borderId="13" xfId="0" applyNumberFormat="1" applyFont="1" applyBorder="1" applyAlignment="1">
      <alignment horizontal="left" vertical="center" wrapText="1"/>
    </xf>
    <xf numFmtId="3" fontId="20" fillId="0" borderId="12" xfId="0" applyNumberFormat="1" applyFont="1" applyBorder="1" applyAlignment="1">
      <alignment horizontal="left" vertical="top" wrapText="1"/>
    </xf>
    <xf numFmtId="3" fontId="20" fillId="0" borderId="82" xfId="0" applyNumberFormat="1" applyFont="1" applyBorder="1" applyAlignment="1">
      <alignment horizontal="left" vertical="top" wrapText="1"/>
    </xf>
    <xf numFmtId="3" fontId="20" fillId="0" borderId="13" xfId="0" applyNumberFormat="1" applyFont="1" applyBorder="1" applyAlignment="1">
      <alignment horizontal="left" vertical="top" wrapText="1"/>
    </xf>
    <xf numFmtId="3" fontId="21" fillId="0" borderId="138" xfId="0" applyNumberFormat="1" applyFont="1" applyBorder="1" applyAlignment="1">
      <alignment horizontal="center" vertical="center"/>
    </xf>
    <xf numFmtId="3" fontId="21" fillId="0" borderId="99" xfId="0" applyNumberFormat="1" applyFont="1" applyBorder="1" applyAlignment="1">
      <alignment horizontal="center" vertical="center"/>
    </xf>
    <xf numFmtId="3" fontId="21" fillId="0" borderId="91" xfId="0" applyNumberFormat="1" applyFont="1" applyBorder="1" applyAlignment="1">
      <alignment horizontal="center" vertical="center"/>
    </xf>
    <xf numFmtId="3" fontId="20" fillId="0" borderId="33" xfId="0" applyNumberFormat="1" applyFont="1" applyBorder="1" applyAlignment="1">
      <alignment horizontal="left" vertical="center"/>
    </xf>
    <xf numFmtId="3" fontId="20" fillId="0" borderId="91" xfId="0" applyNumberFormat="1" applyFont="1" applyBorder="1" applyAlignment="1">
      <alignment horizontal="left" vertical="center"/>
    </xf>
    <xf numFmtId="3" fontId="20" fillId="0" borderId="34" xfId="0" applyNumberFormat="1" applyFont="1" applyBorder="1" applyAlignment="1">
      <alignment horizontal="left" vertical="center"/>
    </xf>
    <xf numFmtId="3" fontId="20" fillId="0" borderId="17" xfId="30" applyNumberFormat="1" applyFont="1" applyBorder="1" applyAlignment="1">
      <alignment horizontal="left"/>
    </xf>
    <xf numFmtId="3" fontId="20" fillId="0" borderId="82" xfId="30" applyNumberFormat="1" applyFont="1" applyBorder="1" applyAlignment="1">
      <alignment horizontal="left"/>
    </xf>
    <xf numFmtId="3" fontId="18" fillId="0" borderId="17" xfId="30" applyNumberFormat="1" applyFont="1" applyBorder="1" applyAlignment="1">
      <alignment horizontal="left"/>
    </xf>
    <xf numFmtId="3" fontId="18" fillId="0" borderId="82" xfId="30" applyNumberFormat="1" applyFont="1" applyBorder="1" applyAlignment="1">
      <alignment horizontal="left"/>
    </xf>
    <xf numFmtId="3" fontId="18" fillId="0" borderId="13" xfId="30" applyNumberFormat="1" applyFont="1" applyBorder="1" applyAlignment="1">
      <alignment horizontal="left"/>
    </xf>
    <xf numFmtId="0" fontId="18" fillId="0" borderId="13" xfId="0" applyFont="1" applyBorder="1" applyAlignment="1">
      <alignment horizontal="left" wrapText="1"/>
    </xf>
    <xf numFmtId="0" fontId="21" fillId="0" borderId="8" xfId="32" applyFont="1" applyBorder="1" applyAlignment="1" applyProtection="1">
      <alignment horizontal="center" vertical="center"/>
      <protection locked="0"/>
    </xf>
    <xf numFmtId="0" fontId="21" fillId="0" borderId="9" xfId="32" applyFont="1" applyBorder="1" applyAlignment="1" applyProtection="1">
      <alignment horizontal="center" vertical="center"/>
      <protection locked="0"/>
    </xf>
    <xf numFmtId="0" fontId="21" fillId="0" borderId="94" xfId="32" applyFont="1" applyBorder="1" applyAlignment="1" applyProtection="1">
      <alignment horizontal="center" vertical="center"/>
      <protection locked="0"/>
    </xf>
    <xf numFmtId="3" fontId="21" fillId="0" borderId="130" xfId="31" applyNumberFormat="1" applyFont="1" applyBorder="1" applyAlignment="1" applyProtection="1">
      <alignment horizontal="center" vertical="center" wrapText="1"/>
      <protection locked="0"/>
    </xf>
    <xf numFmtId="3" fontId="21" fillId="0" borderId="219" xfId="31" applyNumberFormat="1" applyFont="1" applyBorder="1" applyAlignment="1" applyProtection="1">
      <alignment horizontal="center" vertical="center" wrapText="1"/>
      <protection locked="0"/>
    </xf>
    <xf numFmtId="0" fontId="18" fillId="0" borderId="0" xfId="32" applyFont="1" applyAlignment="1" applyProtection="1">
      <alignment horizontal="left" vertical="center"/>
      <protection locked="0"/>
    </xf>
    <xf numFmtId="3" fontId="18" fillId="0" borderId="134" xfId="27" applyNumberFormat="1" applyFont="1" applyBorder="1" applyAlignment="1" applyProtection="1">
      <alignment horizontal="center" vertical="center" textRotation="90"/>
      <protection locked="0"/>
    </xf>
    <xf numFmtId="3" fontId="18" fillId="0" borderId="135" xfId="27" applyNumberFormat="1" applyFont="1" applyBorder="1" applyAlignment="1" applyProtection="1">
      <alignment horizontal="center" vertical="center" textRotation="90"/>
      <protection locked="0"/>
    </xf>
    <xf numFmtId="3" fontId="18" fillId="0" borderId="136" xfId="27" applyNumberFormat="1" applyFont="1" applyBorder="1" applyAlignment="1" applyProtection="1">
      <alignment horizontal="center" vertical="center" textRotation="90"/>
      <protection locked="0"/>
    </xf>
    <xf numFmtId="3" fontId="18" fillId="0" borderId="127" xfId="27" applyNumberFormat="1" applyFont="1" applyBorder="1" applyAlignment="1" applyProtection="1">
      <alignment horizontal="center" vertical="center" textRotation="90"/>
      <protection locked="0"/>
    </xf>
    <xf numFmtId="0" fontId="21" fillId="0" borderId="136" xfId="31" applyFont="1" applyBorder="1" applyAlignment="1" applyProtection="1">
      <alignment horizontal="center" vertical="center" wrapText="1"/>
      <protection locked="0"/>
    </xf>
    <xf numFmtId="0" fontId="21" fillId="0" borderId="127" xfId="31" applyFont="1" applyBorder="1" applyAlignment="1" applyProtection="1">
      <alignment horizontal="center" vertical="center" wrapText="1"/>
      <protection locked="0"/>
    </xf>
    <xf numFmtId="0" fontId="18" fillId="0" borderId="136" xfId="31" applyFont="1" applyBorder="1" applyAlignment="1" applyProtection="1">
      <alignment horizontal="center" vertical="center" textRotation="90" wrapText="1"/>
      <protection locked="0"/>
    </xf>
    <xf numFmtId="0" fontId="18" fillId="0" borderId="127" xfId="31" applyFont="1" applyBorder="1" applyAlignment="1" applyProtection="1">
      <alignment horizontal="center" vertical="center" textRotation="90" wrapText="1"/>
      <protection locked="0"/>
    </xf>
    <xf numFmtId="3" fontId="18" fillId="0" borderId="136" xfId="31" applyNumberFormat="1" applyFont="1" applyBorder="1" applyAlignment="1" applyProtection="1">
      <alignment horizontal="center" vertical="center" wrapText="1"/>
      <protection locked="0"/>
    </xf>
    <xf numFmtId="3" fontId="18" fillId="0" borderId="127" xfId="31" applyNumberFormat="1" applyFont="1" applyBorder="1" applyAlignment="1" applyProtection="1">
      <alignment horizontal="center" vertical="center" wrapText="1"/>
      <protection locked="0"/>
    </xf>
    <xf numFmtId="3" fontId="18" fillId="0" borderId="140" xfId="31" applyNumberFormat="1" applyFont="1" applyBorder="1" applyAlignment="1" applyProtection="1">
      <alignment horizontal="center" vertical="center" wrapText="1"/>
      <protection locked="0"/>
    </xf>
    <xf numFmtId="3" fontId="18" fillId="0" borderId="76" xfId="31" applyNumberFormat="1" applyFont="1" applyBorder="1" applyAlignment="1" applyProtection="1">
      <alignment horizontal="center" vertical="center" wrapText="1"/>
      <protection locked="0"/>
    </xf>
    <xf numFmtId="0" fontId="21" fillId="0" borderId="45" xfId="32" applyFont="1" applyBorder="1" applyAlignment="1" applyProtection="1">
      <alignment horizontal="center" vertical="center"/>
      <protection locked="0"/>
    </xf>
    <xf numFmtId="0" fontId="21" fillId="0" borderId="26" xfId="32" applyFont="1" applyBorder="1" applyAlignment="1" applyProtection="1">
      <alignment horizontal="center" vertical="center"/>
      <protection locked="0"/>
    </xf>
    <xf numFmtId="0" fontId="21" fillId="0" borderId="126" xfId="32" applyFont="1" applyBorder="1" applyAlignment="1" applyProtection="1">
      <alignment horizontal="center" vertical="center"/>
      <protection locked="0"/>
    </xf>
    <xf numFmtId="3" fontId="20" fillId="0" borderId="35" xfId="31" applyNumberFormat="1" applyFont="1" applyBorder="1" applyAlignment="1" applyProtection="1">
      <alignment horizontal="center" vertical="center"/>
      <protection locked="0"/>
    </xf>
    <xf numFmtId="3" fontId="20" fillId="0" borderId="111" xfId="31" applyNumberFormat="1" applyFont="1" applyBorder="1" applyAlignment="1" applyProtection="1">
      <alignment horizontal="center" vertical="center"/>
      <protection locked="0"/>
    </xf>
    <xf numFmtId="0" fontId="13" fillId="0" borderId="0" xfId="31" applyFont="1" applyAlignment="1" applyProtection="1">
      <alignment horizontal="center"/>
      <protection locked="0"/>
    </xf>
    <xf numFmtId="0" fontId="13" fillId="0" borderId="0" xfId="32" applyFont="1" applyAlignment="1" applyProtection="1">
      <alignment horizontal="center" vertical="center"/>
      <protection locked="0"/>
    </xf>
    <xf numFmtId="3" fontId="21" fillId="0" borderId="85" xfId="31" applyNumberFormat="1" applyFont="1" applyBorder="1" applyAlignment="1" applyProtection="1">
      <alignment horizontal="center" vertical="center" wrapText="1"/>
      <protection locked="0"/>
    </xf>
    <xf numFmtId="3" fontId="21" fillId="0" borderId="218" xfId="31" applyNumberFormat="1" applyFont="1" applyBorder="1" applyAlignment="1" applyProtection="1">
      <alignment horizontal="center" vertical="center" wrapText="1"/>
      <protection locked="0"/>
    </xf>
    <xf numFmtId="0" fontId="21" fillId="0" borderId="34" xfId="32" applyFont="1" applyBorder="1" applyAlignment="1" applyProtection="1">
      <alignment horizontal="left" vertical="center"/>
      <protection locked="0"/>
    </xf>
    <xf numFmtId="3" fontId="15" fillId="0" borderId="0" xfId="0" applyNumberFormat="1" applyFont="1" applyAlignment="1">
      <alignment horizontal="left" vertical="top"/>
    </xf>
    <xf numFmtId="3" fontId="21" fillId="0" borderId="148" xfId="27" applyNumberFormat="1" applyFont="1" applyBorder="1" applyAlignment="1">
      <alignment horizontal="center" vertical="center" wrapText="1"/>
    </xf>
    <xf numFmtId="3" fontId="21" fillId="0" borderId="149" xfId="27" applyNumberFormat="1" applyFont="1" applyBorder="1" applyAlignment="1">
      <alignment horizontal="center" vertical="center" wrapText="1"/>
    </xf>
    <xf numFmtId="3" fontId="18" fillId="0" borderId="150" xfId="0" applyNumberFormat="1" applyFont="1" applyBorder="1" applyAlignment="1">
      <alignment horizontal="center" vertical="center"/>
    </xf>
    <xf numFmtId="3" fontId="18" fillId="0" borderId="151" xfId="0" applyNumberFormat="1" applyFont="1" applyBorder="1" applyAlignment="1">
      <alignment horizontal="center" vertical="center"/>
    </xf>
    <xf numFmtId="3" fontId="18" fillId="0" borderId="148" xfId="27" applyNumberFormat="1" applyFont="1" applyBorder="1" applyAlignment="1">
      <alignment horizontal="center" vertical="center" wrapText="1"/>
    </xf>
    <xf numFmtId="3" fontId="18" fillId="0" borderId="149" xfId="27" applyNumberFormat="1" applyFont="1" applyBorder="1" applyAlignment="1">
      <alignment horizontal="center" vertical="center" wrapText="1"/>
    </xf>
    <xf numFmtId="3" fontId="18" fillId="0" borderId="152" xfId="27" applyNumberFormat="1" applyFont="1" applyBorder="1" applyAlignment="1">
      <alignment horizontal="center" vertical="center" textRotation="90"/>
    </xf>
    <xf numFmtId="3" fontId="18" fillId="0" borderId="153" xfId="27" applyNumberFormat="1" applyFont="1" applyBorder="1" applyAlignment="1">
      <alignment horizontal="center" vertical="center" textRotation="90"/>
    </xf>
    <xf numFmtId="3" fontId="18" fillId="0" borderId="148" xfId="27" applyNumberFormat="1" applyFont="1" applyBorder="1" applyAlignment="1">
      <alignment horizontal="center" vertical="center" textRotation="90"/>
    </xf>
    <xf numFmtId="3" fontId="18" fillId="0" borderId="149" xfId="27" applyNumberFormat="1" applyFont="1" applyBorder="1" applyAlignment="1">
      <alignment horizontal="center" vertical="center" textRotation="90"/>
    </xf>
    <xf numFmtId="3" fontId="18" fillId="0" borderId="154" xfId="27" applyNumberFormat="1" applyFont="1" applyBorder="1" applyAlignment="1">
      <alignment horizontal="center" vertical="center" wrapText="1"/>
    </xf>
    <xf numFmtId="3" fontId="18" fillId="0" borderId="155" xfId="27" applyNumberFormat="1" applyFont="1" applyBorder="1" applyAlignment="1">
      <alignment horizontal="center" vertical="center" wrapText="1"/>
    </xf>
    <xf numFmtId="0" fontId="21" fillId="0" borderId="148" xfId="27" applyFont="1" applyBorder="1" applyAlignment="1">
      <alignment horizontal="center" vertical="center" wrapText="1"/>
    </xf>
    <xf numFmtId="0" fontId="21" fillId="0" borderId="149" xfId="27" applyFont="1" applyBorder="1" applyAlignment="1">
      <alignment horizontal="center" vertical="center" wrapText="1"/>
    </xf>
    <xf numFmtId="3" fontId="18" fillId="0" borderId="141" xfId="0" applyNumberFormat="1" applyFont="1" applyBorder="1" applyAlignment="1">
      <alignment horizontal="center" vertical="center" textRotation="90" wrapText="1"/>
    </xf>
    <xf numFmtId="0" fontId="18" fillId="0" borderId="142" xfId="0" applyFont="1" applyBorder="1" applyAlignment="1">
      <alignment horizontal="center" vertical="center" textRotation="90" wrapText="1"/>
    </xf>
    <xf numFmtId="3" fontId="20" fillId="0" borderId="17" xfId="27" applyNumberFormat="1" applyFont="1" applyBorder="1" applyAlignment="1">
      <alignment horizontal="left" vertical="center" wrapText="1"/>
    </xf>
    <xf numFmtId="3" fontId="20" fillId="0" borderId="82" xfId="27" applyNumberFormat="1" applyFont="1" applyBorder="1" applyAlignment="1">
      <alignment horizontal="left" vertical="center" wrapText="1"/>
    </xf>
    <xf numFmtId="3" fontId="21" fillId="0" borderId="182" xfId="27" applyNumberFormat="1" applyFont="1" applyBorder="1" applyAlignment="1">
      <alignment horizontal="center" vertical="center" wrapText="1"/>
    </xf>
    <xf numFmtId="3" fontId="21" fillId="0" borderId="0" xfId="27" applyNumberFormat="1" applyFont="1" applyAlignment="1">
      <alignment horizontal="center" vertical="center" wrapText="1"/>
    </xf>
    <xf numFmtId="3" fontId="21" fillId="0" borderId="198" xfId="27" applyNumberFormat="1" applyFont="1" applyBorder="1" applyAlignment="1">
      <alignment horizontal="center" vertical="center" wrapText="1"/>
    </xf>
    <xf numFmtId="3" fontId="11" fillId="0" borderId="0" xfId="27" applyNumberFormat="1" applyFont="1" applyAlignment="1">
      <alignment horizontal="left"/>
    </xf>
    <xf numFmtId="3" fontId="11" fillId="0" borderId="0" xfId="27" applyNumberFormat="1" applyFont="1" applyAlignment="1">
      <alignment horizontal="right"/>
    </xf>
    <xf numFmtId="3" fontId="13" fillId="0" borderId="0" xfId="27" applyNumberFormat="1" applyFont="1" applyAlignment="1">
      <alignment horizontal="center"/>
    </xf>
    <xf numFmtId="3" fontId="13" fillId="0" borderId="0" xfId="27" applyNumberFormat="1" applyFont="1" applyAlignment="1">
      <alignment horizontal="center" vertical="center"/>
    </xf>
    <xf numFmtId="3" fontId="20" fillId="0" borderId="0" xfId="27" applyNumberFormat="1" applyFont="1" applyAlignment="1">
      <alignment horizontal="right"/>
    </xf>
    <xf numFmtId="0" fontId="11" fillId="0" borderId="0" xfId="32" applyFont="1" applyAlignment="1">
      <alignment horizontal="left" vertical="center"/>
    </xf>
    <xf numFmtId="3" fontId="11" fillId="0" borderId="0" xfId="31" applyNumberFormat="1" applyFont="1" applyAlignment="1">
      <alignment horizontal="right"/>
    </xf>
    <xf numFmtId="0" fontId="13" fillId="0" borderId="0" xfId="31" applyFont="1" applyAlignment="1">
      <alignment horizontal="center"/>
    </xf>
    <xf numFmtId="0" fontId="13" fillId="0" borderId="0" xfId="32" applyFont="1" applyAlignment="1">
      <alignment horizontal="center" vertical="center"/>
    </xf>
    <xf numFmtId="3" fontId="13" fillId="0" borderId="101" xfId="28" applyNumberFormat="1" applyFont="1" applyBorder="1" applyAlignment="1">
      <alignment horizontal="center" vertical="center" wrapText="1"/>
    </xf>
    <xf numFmtId="3" fontId="13" fillId="0" borderId="137" xfId="28" applyNumberFormat="1" applyFont="1" applyBorder="1" applyAlignment="1">
      <alignment horizontal="center" vertical="center" wrapText="1"/>
    </xf>
    <xf numFmtId="3" fontId="13" fillId="0" borderId="156" xfId="28" applyNumberFormat="1" applyFont="1" applyBorder="1" applyAlignment="1">
      <alignment horizontal="center" vertical="center" wrapText="1"/>
    </xf>
    <xf numFmtId="3" fontId="21" fillId="0" borderId="141" xfId="31" applyNumberFormat="1" applyFont="1" applyBorder="1" applyAlignment="1">
      <alignment horizontal="center" vertical="center" wrapText="1"/>
    </xf>
    <xf numFmtId="3" fontId="21" fillId="0" borderId="136" xfId="31" applyNumberFormat="1" applyFont="1" applyBorder="1" applyAlignment="1">
      <alignment horizontal="center" vertical="center" wrapText="1"/>
    </xf>
    <xf numFmtId="3" fontId="21" fillId="0" borderId="143" xfId="31" applyNumberFormat="1" applyFont="1" applyBorder="1" applyAlignment="1">
      <alignment horizontal="center" vertical="center" wrapText="1"/>
    </xf>
    <xf numFmtId="3" fontId="18" fillId="0" borderId="161" xfId="31" applyNumberFormat="1" applyFont="1" applyBorder="1" applyAlignment="1">
      <alignment horizontal="center" vertical="center" wrapText="1"/>
    </xf>
    <xf numFmtId="3" fontId="18" fillId="0" borderId="162" xfId="31" applyNumberFormat="1" applyFont="1" applyBorder="1" applyAlignment="1">
      <alignment horizontal="center" vertical="center" wrapText="1"/>
    </xf>
    <xf numFmtId="3" fontId="18" fillId="0" borderId="163" xfId="31" applyNumberFormat="1" applyFont="1" applyBorder="1" applyAlignment="1">
      <alignment horizontal="center" vertical="center" wrapText="1"/>
    </xf>
    <xf numFmtId="3" fontId="18" fillId="0" borderId="159" xfId="31" applyNumberFormat="1" applyFont="1" applyBorder="1" applyAlignment="1">
      <alignment horizontal="center" vertical="center" wrapText="1"/>
    </xf>
    <xf numFmtId="3" fontId="18" fillId="0" borderId="160" xfId="31" applyNumberFormat="1" applyFont="1" applyBorder="1" applyAlignment="1">
      <alignment horizontal="center" vertical="center" wrapText="1"/>
    </xf>
    <xf numFmtId="3" fontId="18" fillId="0" borderId="40" xfId="31" applyNumberFormat="1" applyFont="1" applyBorder="1" applyAlignment="1">
      <alignment horizontal="center" vertical="center" wrapText="1"/>
    </xf>
    <xf numFmtId="3" fontId="18" fillId="0" borderId="164" xfId="27" applyNumberFormat="1" applyFont="1" applyBorder="1" applyAlignment="1">
      <alignment horizontal="center" vertical="center" textRotation="90"/>
    </xf>
    <xf numFmtId="3" fontId="18" fillId="0" borderId="165" xfId="27" applyNumberFormat="1" applyFont="1" applyBorder="1" applyAlignment="1">
      <alignment horizontal="center" vertical="center" textRotation="90"/>
    </xf>
    <xf numFmtId="3" fontId="18" fillId="0" borderId="166" xfId="27" applyNumberFormat="1" applyFont="1" applyBorder="1" applyAlignment="1">
      <alignment horizontal="center" vertical="center" textRotation="90"/>
    </xf>
    <xf numFmtId="3" fontId="18" fillId="0" borderId="159" xfId="27" applyNumberFormat="1" applyFont="1" applyBorder="1" applyAlignment="1">
      <alignment horizontal="center" vertical="center" textRotation="90"/>
    </xf>
    <xf numFmtId="3" fontId="18" fillId="0" borderId="160" xfId="27" applyNumberFormat="1" applyFont="1" applyBorder="1" applyAlignment="1">
      <alignment horizontal="center" vertical="center" textRotation="90"/>
    </xf>
    <xf numFmtId="3" fontId="18" fillId="0" borderId="40" xfId="27" applyNumberFormat="1" applyFont="1" applyBorder="1" applyAlignment="1">
      <alignment horizontal="center" vertical="center" textRotation="90"/>
    </xf>
    <xf numFmtId="0" fontId="21" fillId="0" borderId="136" xfId="31" applyFont="1" applyBorder="1" applyAlignment="1">
      <alignment horizontal="center" vertical="center" wrapText="1"/>
    </xf>
    <xf numFmtId="0" fontId="21" fillId="0" borderId="167" xfId="31" applyFont="1" applyBorder="1" applyAlignment="1">
      <alignment horizontal="center" vertical="center" wrapText="1"/>
    </xf>
    <xf numFmtId="0" fontId="21" fillId="0" borderId="127" xfId="31" applyFont="1" applyBorder="1" applyAlignment="1">
      <alignment horizontal="center" vertical="center" wrapText="1"/>
    </xf>
    <xf numFmtId="3" fontId="18" fillId="0" borderId="120" xfId="31" applyNumberFormat="1" applyFont="1" applyBorder="1" applyAlignment="1">
      <alignment horizontal="center" vertical="center" wrapText="1"/>
    </xf>
    <xf numFmtId="3" fontId="21" fillId="0" borderId="168" xfId="31" applyNumberFormat="1" applyFont="1" applyBorder="1" applyAlignment="1">
      <alignment horizontal="center" vertical="center" wrapText="1"/>
    </xf>
    <xf numFmtId="3" fontId="21" fillId="0" borderId="169" xfId="31" applyNumberFormat="1" applyFont="1" applyBorder="1" applyAlignment="1">
      <alignment horizontal="center" vertical="center" wrapText="1"/>
    </xf>
    <xf numFmtId="0" fontId="18" fillId="0" borderId="170" xfId="31" applyFont="1" applyBorder="1" applyAlignment="1">
      <alignment horizontal="center" vertical="center" textRotation="90" wrapText="1"/>
    </xf>
    <xf numFmtId="0" fontId="18" fillId="0" borderId="171" xfId="31" applyFont="1" applyBorder="1" applyAlignment="1">
      <alignment horizontal="center" vertical="center" textRotation="90" wrapText="1"/>
    </xf>
    <xf numFmtId="0" fontId="18" fillId="0" borderId="41" xfId="31" applyFont="1" applyBorder="1" applyAlignment="1">
      <alignment horizontal="center" vertical="center" textRotation="90" wrapText="1"/>
    </xf>
    <xf numFmtId="3" fontId="18" fillId="0" borderId="58" xfId="31" applyNumberFormat="1" applyFont="1" applyBorder="1" applyAlignment="1">
      <alignment horizontal="center" vertical="center" wrapText="1"/>
    </xf>
    <xf numFmtId="3" fontId="18" fillId="0" borderId="61" xfId="31" applyNumberFormat="1" applyFont="1" applyBorder="1" applyAlignment="1">
      <alignment horizontal="center" vertical="center" wrapText="1"/>
    </xf>
    <xf numFmtId="3" fontId="18" fillId="0" borderId="158" xfId="31" applyNumberFormat="1" applyFont="1" applyBorder="1" applyAlignment="1">
      <alignment horizontal="center" vertical="center" wrapText="1"/>
    </xf>
    <xf numFmtId="3" fontId="21" fillId="0" borderId="78" xfId="31" applyNumberFormat="1" applyFont="1" applyBorder="1" applyAlignment="1">
      <alignment horizontal="center" vertical="center" wrapText="1"/>
    </xf>
    <xf numFmtId="3" fontId="21" fillId="0" borderId="172" xfId="31" applyNumberFormat="1" applyFont="1" applyBorder="1" applyAlignment="1">
      <alignment horizontal="center" vertical="center" wrapText="1"/>
    </xf>
    <xf numFmtId="3" fontId="13" fillId="0" borderId="84" xfId="31" applyNumberFormat="1" applyFont="1" applyBorder="1" applyAlignment="1">
      <alignment horizontal="center" vertical="center" wrapText="1"/>
    </xf>
    <xf numFmtId="3" fontId="13" fillId="0" borderId="169" xfId="31" applyNumberFormat="1" applyFont="1" applyBorder="1" applyAlignment="1">
      <alignment horizontal="center" vertical="center" wrapText="1"/>
    </xf>
    <xf numFmtId="3" fontId="13" fillId="0" borderId="1" xfId="28" applyNumberFormat="1" applyFont="1" applyBorder="1" applyAlignment="1">
      <alignment horizontal="center" vertical="center" wrapText="1"/>
    </xf>
    <xf numFmtId="3" fontId="13" fillId="0" borderId="0" xfId="28" applyNumberFormat="1" applyFont="1" applyAlignment="1">
      <alignment horizontal="center" vertical="center" wrapText="1"/>
    </xf>
    <xf numFmtId="3" fontId="13" fillId="0" borderId="198" xfId="28" applyNumberFormat="1" applyFont="1" applyBorder="1" applyAlignment="1">
      <alignment horizontal="center" vertical="center" wrapText="1"/>
    </xf>
    <xf numFmtId="3" fontId="11" fillId="0" borderId="159" xfId="27" applyNumberFormat="1" applyFont="1" applyBorder="1" applyAlignment="1">
      <alignment horizontal="center" vertical="center" textRotation="90"/>
    </xf>
    <xf numFmtId="3" fontId="11" fillId="0" borderId="160" xfId="27" applyNumberFormat="1" applyFont="1" applyBorder="1" applyAlignment="1">
      <alignment horizontal="center" vertical="center" textRotation="90"/>
    </xf>
    <xf numFmtId="3" fontId="11" fillId="0" borderId="40" xfId="27" applyNumberFormat="1" applyFont="1" applyBorder="1" applyAlignment="1">
      <alignment horizontal="center" vertical="center" textRotation="90"/>
    </xf>
    <xf numFmtId="0" fontId="11" fillId="0" borderId="0" xfId="31" applyFont="1" applyAlignment="1">
      <alignment horizontal="center"/>
    </xf>
    <xf numFmtId="3" fontId="11" fillId="0" borderId="164" xfId="27" applyNumberFormat="1" applyFont="1" applyBorder="1" applyAlignment="1">
      <alignment horizontal="center" vertical="center" textRotation="90"/>
    </xf>
    <xf numFmtId="3" fontId="11" fillId="0" borderId="165" xfId="27" applyNumberFormat="1" applyFont="1" applyBorder="1" applyAlignment="1">
      <alignment horizontal="center" vertical="center" textRotation="90"/>
    </xf>
    <xf numFmtId="3" fontId="11" fillId="0" borderId="166" xfId="27" applyNumberFormat="1" applyFont="1" applyBorder="1" applyAlignment="1">
      <alignment horizontal="center" vertical="center" textRotation="90"/>
    </xf>
    <xf numFmtId="3" fontId="11" fillId="0" borderId="159" xfId="31" applyNumberFormat="1" applyFont="1" applyBorder="1" applyAlignment="1">
      <alignment horizontal="center" vertical="center" wrapText="1"/>
    </xf>
    <xf numFmtId="3" fontId="11" fillId="0" borderId="160" xfId="31" applyNumberFormat="1" applyFont="1" applyBorder="1" applyAlignment="1">
      <alignment horizontal="center" vertical="center" wrapText="1"/>
    </xf>
    <xf numFmtId="3" fontId="11" fillId="0" borderId="40" xfId="31" applyNumberFormat="1" applyFont="1" applyBorder="1" applyAlignment="1">
      <alignment horizontal="center" vertical="center" wrapText="1"/>
    </xf>
    <xf numFmtId="0" fontId="13" fillId="0" borderId="0" xfId="32" applyFont="1" applyAlignment="1">
      <alignment horizontal="center"/>
    </xf>
    <xf numFmtId="0" fontId="11" fillId="0" borderId="136" xfId="31" applyFont="1" applyBorder="1" applyAlignment="1">
      <alignment horizontal="center" vertical="center"/>
    </xf>
    <xf numFmtId="0" fontId="11" fillId="0" borderId="167" xfId="31" applyFont="1" applyBorder="1" applyAlignment="1">
      <alignment horizontal="center" vertical="center"/>
    </xf>
    <xf numFmtId="0" fontId="11" fillId="0" borderId="127" xfId="31" applyFont="1" applyBorder="1" applyAlignment="1">
      <alignment horizontal="center" vertical="center"/>
    </xf>
    <xf numFmtId="3" fontId="11" fillId="0" borderId="58" xfId="31" applyNumberFormat="1" applyFont="1" applyBorder="1" applyAlignment="1">
      <alignment horizontal="center" vertical="center" wrapText="1"/>
    </xf>
    <xf numFmtId="3" fontId="11" fillId="0" borderId="61" xfId="31" applyNumberFormat="1" applyFont="1" applyBorder="1" applyAlignment="1">
      <alignment horizontal="center" vertical="center" wrapText="1"/>
    </xf>
    <xf numFmtId="3" fontId="11" fillId="0" borderId="158" xfId="31" applyNumberFormat="1" applyFont="1" applyBorder="1" applyAlignment="1">
      <alignment horizontal="center" vertical="center" wrapText="1"/>
    </xf>
    <xf numFmtId="3" fontId="11" fillId="0" borderId="57" xfId="31" applyNumberFormat="1" applyFont="1" applyBorder="1" applyAlignment="1">
      <alignment horizontal="center" vertical="center" wrapText="1"/>
    </xf>
    <xf numFmtId="3" fontId="11" fillId="0" borderId="174" xfId="31" applyNumberFormat="1" applyFont="1" applyBorder="1" applyAlignment="1">
      <alignment horizontal="center" vertical="center" wrapText="1"/>
    </xf>
    <xf numFmtId="3" fontId="11" fillId="0" borderId="161" xfId="31" applyNumberFormat="1" applyFont="1" applyBorder="1" applyAlignment="1">
      <alignment horizontal="center" vertical="center" wrapText="1"/>
    </xf>
    <xf numFmtId="3" fontId="11" fillId="0" borderId="162" xfId="31" applyNumberFormat="1" applyFont="1" applyBorder="1" applyAlignment="1">
      <alignment horizontal="center" vertical="center" wrapText="1"/>
    </xf>
    <xf numFmtId="3" fontId="11" fillId="0" borderId="163" xfId="31" applyNumberFormat="1" applyFont="1" applyBorder="1" applyAlignment="1">
      <alignment horizontal="center" vertical="center" wrapText="1"/>
    </xf>
    <xf numFmtId="3" fontId="11" fillId="0" borderId="175" xfId="31" applyNumberFormat="1" applyFont="1" applyBorder="1" applyAlignment="1">
      <alignment horizontal="center" vertical="center" wrapText="1"/>
    </xf>
    <xf numFmtId="3" fontId="11" fillId="0" borderId="176" xfId="31" applyNumberFormat="1" applyFont="1" applyBorder="1" applyAlignment="1">
      <alignment horizontal="center" vertical="center" wrapText="1"/>
    </xf>
    <xf numFmtId="3" fontId="11" fillId="0" borderId="177" xfId="31" applyNumberFormat="1" applyFont="1" applyBorder="1" applyAlignment="1">
      <alignment horizontal="center" vertical="center" wrapText="1"/>
    </xf>
    <xf numFmtId="3" fontId="11" fillId="0" borderId="173" xfId="31" applyNumberFormat="1" applyFont="1" applyBorder="1" applyAlignment="1">
      <alignment horizontal="center" vertical="center" wrapText="1"/>
    </xf>
    <xf numFmtId="3" fontId="13" fillId="0" borderId="138" xfId="28" applyNumberFormat="1" applyFont="1" applyBorder="1" applyAlignment="1">
      <alignment horizontal="center" vertical="center" wrapText="1"/>
    </xf>
    <xf numFmtId="3" fontId="13" fillId="0" borderId="99" xfId="28" applyNumberFormat="1" applyFont="1" applyBorder="1" applyAlignment="1">
      <alignment horizontal="center" vertical="center" wrapText="1"/>
    </xf>
    <xf numFmtId="3" fontId="13" fillId="0" borderId="191" xfId="28" applyNumberFormat="1" applyFont="1" applyBorder="1" applyAlignment="1">
      <alignment horizontal="center" vertical="center" wrapText="1"/>
    </xf>
    <xf numFmtId="3" fontId="13" fillId="0" borderId="197" xfId="28" applyNumberFormat="1" applyFont="1" applyBorder="1" applyAlignment="1">
      <alignment horizontal="center" vertical="center" wrapText="1"/>
    </xf>
    <xf numFmtId="3" fontId="13" fillId="0" borderId="98" xfId="28" applyNumberFormat="1" applyFont="1" applyBorder="1" applyAlignment="1">
      <alignment horizontal="center" vertical="center" wrapText="1"/>
    </xf>
    <xf numFmtId="3" fontId="13" fillId="0" borderId="190" xfId="28" applyNumberFormat="1" applyFont="1" applyBorder="1" applyAlignment="1">
      <alignment horizontal="center" vertical="center" wrapText="1"/>
    </xf>
    <xf numFmtId="0" fontId="11" fillId="0" borderId="0" xfId="0" applyFont="1" applyAlignment="1">
      <alignment horizontal="left" vertical="center"/>
    </xf>
    <xf numFmtId="0" fontId="18" fillId="0" borderId="3" xfId="57" applyFont="1" applyBorder="1" applyAlignment="1">
      <alignment horizontal="center"/>
    </xf>
    <xf numFmtId="0" fontId="18" fillId="0" borderId="241" xfId="56" applyFont="1" applyBorder="1" applyAlignment="1">
      <alignment horizontal="center" vertical="center" wrapText="1"/>
    </xf>
    <xf numFmtId="0" fontId="18" fillId="0" borderId="242" xfId="56" applyFont="1" applyBorder="1" applyAlignment="1">
      <alignment horizontal="center" vertical="center" wrapText="1"/>
    </xf>
    <xf numFmtId="3" fontId="18" fillId="0" borderId="13" xfId="58" applyNumberFormat="1" applyFont="1" applyFill="1" applyBorder="1" applyAlignment="1">
      <alignment horizontal="center" vertical="center"/>
    </xf>
    <xf numFmtId="3" fontId="18" fillId="0" borderId="37" xfId="58" applyNumberFormat="1" applyFont="1" applyFill="1" applyBorder="1" applyAlignment="1">
      <alignment horizontal="center" vertical="center"/>
    </xf>
    <xf numFmtId="3" fontId="18" fillId="0" borderId="22" xfId="58" applyNumberFormat="1" applyFont="1" applyFill="1" applyBorder="1" applyAlignment="1">
      <alignment horizontal="center" vertical="center"/>
    </xf>
    <xf numFmtId="0" fontId="64" fillId="0" borderId="0" xfId="56" applyFont="1" applyAlignment="1">
      <alignment horizontal="center"/>
    </xf>
    <xf numFmtId="0" fontId="13" fillId="0" borderId="0" xfId="56" applyFont="1" applyAlignment="1">
      <alignment horizontal="center" vertical="center"/>
    </xf>
    <xf numFmtId="0" fontId="18" fillId="0" borderId="15" xfId="55" applyFont="1" applyBorder="1" applyAlignment="1">
      <alignment horizontal="center" vertical="center"/>
    </xf>
    <xf numFmtId="0" fontId="18" fillId="0" borderId="52" xfId="55" applyFont="1" applyBorder="1" applyAlignment="1">
      <alignment horizontal="center" vertical="top"/>
    </xf>
    <xf numFmtId="0" fontId="18" fillId="0" borderId="20" xfId="55" applyFont="1" applyBorder="1" applyAlignment="1">
      <alignment horizontal="center" vertical="top"/>
    </xf>
    <xf numFmtId="0" fontId="18" fillId="0" borderId="36" xfId="55" applyFont="1" applyBorder="1" applyAlignment="1">
      <alignment horizontal="center" vertical="center" wrapText="1"/>
    </xf>
    <xf numFmtId="0" fontId="18" fillId="0" borderId="18" xfId="55" applyFont="1" applyBorder="1" applyAlignment="1">
      <alignment horizontal="center" vertical="center" wrapText="1"/>
    </xf>
    <xf numFmtId="3" fontId="18" fillId="0" borderId="36" xfId="58" applyNumberFormat="1" applyFont="1" applyFill="1" applyBorder="1" applyAlignment="1">
      <alignment horizontal="center" vertical="center"/>
    </xf>
    <xf numFmtId="3" fontId="18" fillId="0" borderId="18" xfId="58" applyNumberFormat="1" applyFont="1" applyFill="1" applyBorder="1" applyAlignment="1">
      <alignment horizontal="center" vertical="center"/>
    </xf>
    <xf numFmtId="14" fontId="18" fillId="0" borderId="36" xfId="55" applyNumberFormat="1" applyFont="1" applyBorder="1" applyAlignment="1">
      <alignment horizontal="center" vertical="center"/>
    </xf>
    <xf numFmtId="14" fontId="18" fillId="0" borderId="18" xfId="55" applyNumberFormat="1" applyFont="1" applyBorder="1" applyAlignment="1">
      <alignment horizontal="center" vertical="center"/>
    </xf>
    <xf numFmtId="14" fontId="18" fillId="3" borderId="36" xfId="55" applyNumberFormat="1" applyFont="1" applyFill="1" applyBorder="1" applyAlignment="1">
      <alignment horizontal="center" vertical="center"/>
    </xf>
    <xf numFmtId="14" fontId="18" fillId="3" borderId="18" xfId="55" applyNumberFormat="1" applyFont="1" applyFill="1" applyBorder="1" applyAlignment="1">
      <alignment horizontal="center" vertical="center"/>
    </xf>
    <xf numFmtId="0" fontId="11" fillId="0" borderId="0" xfId="0" applyFont="1" applyAlignment="1">
      <alignment horizontal="left" vertical="top"/>
    </xf>
    <xf numFmtId="3" fontId="13" fillId="0" borderId="0" xfId="29" applyNumberFormat="1" applyFont="1" applyAlignment="1">
      <alignment horizontal="center"/>
    </xf>
    <xf numFmtId="3" fontId="14" fillId="4" borderId="192" xfId="29" applyNumberFormat="1" applyFont="1" applyFill="1" applyBorder="1" applyAlignment="1">
      <alignment horizontal="center" vertical="center" wrapText="1"/>
    </xf>
    <xf numFmtId="3" fontId="14" fillId="4" borderId="103" xfId="29" applyNumberFormat="1" applyFont="1" applyFill="1" applyBorder="1" applyAlignment="1">
      <alignment horizontal="center" vertical="center" wrapText="1"/>
    </xf>
    <xf numFmtId="3" fontId="14" fillId="4" borderId="189" xfId="29" applyNumberFormat="1" applyFont="1" applyFill="1" applyBorder="1" applyAlignment="1">
      <alignment horizontal="center" vertical="center" wrapText="1"/>
    </xf>
    <xf numFmtId="3" fontId="14" fillId="4" borderId="129" xfId="29" applyNumberFormat="1" applyFont="1" applyFill="1" applyBorder="1" applyAlignment="1">
      <alignment horizontal="center" vertical="center" wrapText="1"/>
    </xf>
    <xf numFmtId="3" fontId="14" fillId="4" borderId="89" xfId="29" applyNumberFormat="1" applyFont="1" applyFill="1" applyBorder="1" applyAlignment="1">
      <alignment horizontal="center" vertical="center" wrapText="1"/>
    </xf>
    <xf numFmtId="3" fontId="14" fillId="4" borderId="239" xfId="29" applyNumberFormat="1" applyFont="1" applyFill="1" applyBorder="1" applyAlignment="1">
      <alignment horizontal="center" vertical="center" wrapText="1"/>
    </xf>
    <xf numFmtId="3" fontId="13" fillId="0" borderId="8" xfId="29" applyNumberFormat="1" applyFont="1" applyBorder="1" applyAlignment="1">
      <alignment horizontal="center" vertical="center"/>
    </xf>
    <xf numFmtId="3" fontId="11" fillId="0" borderId="0" xfId="29" applyNumberFormat="1" applyFont="1" applyAlignment="1">
      <alignment horizontal="left" wrapText="1"/>
    </xf>
    <xf numFmtId="3" fontId="11" fillId="0" borderId="78" xfId="29" applyNumberFormat="1" applyFont="1" applyBorder="1" applyAlignment="1">
      <alignment horizontal="center" vertical="center" wrapText="1"/>
    </xf>
    <xf numFmtId="3" fontId="11" fillId="0" borderId="141" xfId="29" applyNumberFormat="1" applyFont="1" applyBorder="1" applyAlignment="1">
      <alignment horizontal="center" vertical="center" wrapText="1"/>
    </xf>
    <xf numFmtId="3" fontId="11" fillId="0" borderId="0" xfId="29" applyNumberFormat="1" applyFont="1" applyAlignment="1">
      <alignment horizontal="center" vertical="center" wrapText="1"/>
    </xf>
    <xf numFmtId="3" fontId="11" fillId="0" borderId="69" xfId="29" applyNumberFormat="1" applyFont="1" applyBorder="1" applyAlignment="1">
      <alignment horizontal="center" vertical="center" wrapText="1"/>
    </xf>
    <xf numFmtId="3" fontId="11" fillId="0" borderId="48" xfId="29" applyNumberFormat="1" applyFont="1" applyBorder="1" applyAlignment="1">
      <alignment horizontal="center" vertical="center" wrapText="1"/>
    </xf>
    <xf numFmtId="3" fontId="11" fillId="0" borderId="179" xfId="29" applyNumberFormat="1" applyFont="1" applyBorder="1" applyAlignment="1">
      <alignment horizontal="center" vertical="center" wrapText="1"/>
    </xf>
    <xf numFmtId="3" fontId="11" fillId="0" borderId="40" xfId="29" applyNumberFormat="1" applyFont="1" applyBorder="1" applyAlignment="1">
      <alignment horizontal="center" vertical="center" wrapText="1"/>
    </xf>
    <xf numFmtId="0" fontId="11" fillId="0" borderId="61" xfId="29" applyFont="1" applyBorder="1" applyAlignment="1">
      <alignment horizontal="center" vertical="center" wrapText="1"/>
    </xf>
    <xf numFmtId="0" fontId="11" fillId="0" borderId="5" xfId="29" applyFont="1" applyBorder="1" applyAlignment="1">
      <alignment horizontal="center" vertical="center" wrapText="1"/>
    </xf>
    <xf numFmtId="0" fontId="11" fillId="0" borderId="178" xfId="29" applyFont="1" applyBorder="1" applyAlignment="1">
      <alignment horizontal="center" vertical="center" wrapText="1"/>
    </xf>
    <xf numFmtId="3" fontId="11" fillId="0" borderId="158" xfId="29" applyNumberFormat="1" applyFont="1" applyBorder="1" applyAlignment="1">
      <alignment horizontal="center" vertical="center" wrapText="1"/>
    </xf>
    <xf numFmtId="3" fontId="11" fillId="0" borderId="47" xfId="29" applyNumberFormat="1" applyFont="1" applyBorder="1" applyAlignment="1">
      <alignment horizontal="center" vertical="center" textRotation="90" wrapText="1"/>
    </xf>
    <xf numFmtId="3" fontId="11" fillId="0" borderId="32" xfId="29" applyNumberFormat="1" applyFont="1" applyBorder="1" applyAlignment="1">
      <alignment horizontal="center" vertical="center" textRotation="90" wrapText="1"/>
    </xf>
    <xf numFmtId="3" fontId="11" fillId="0" borderId="193" xfId="29" applyNumberFormat="1" applyFont="1" applyBorder="1" applyAlignment="1">
      <alignment horizontal="center" vertical="center" wrapText="1"/>
    </xf>
    <xf numFmtId="14" fontId="11" fillId="0" borderId="48" xfId="29" applyNumberFormat="1" applyFont="1" applyBorder="1" applyAlignment="1">
      <alignment horizontal="center" vertical="center" wrapText="1"/>
    </xf>
    <xf numFmtId="3" fontId="11" fillId="0" borderId="194" xfId="29" applyNumberFormat="1" applyFont="1" applyBorder="1" applyAlignment="1">
      <alignment horizontal="center" vertical="center" wrapText="1"/>
    </xf>
    <xf numFmtId="3" fontId="11" fillId="0" borderId="7" xfId="29" applyNumberFormat="1" applyFont="1" applyBorder="1" applyAlignment="1">
      <alignment horizontal="center" vertical="center" wrapText="1"/>
    </xf>
  </cellXfs>
  <cellStyles count="59">
    <cellStyle name="Ezres 2" xfId="1" xr:uid="{00000000-0005-0000-0000-000000000000}"/>
    <cellStyle name="Ezres 3" xfId="2" xr:uid="{00000000-0005-0000-0000-000001000000}"/>
    <cellStyle name="Ezres 4" xfId="3" xr:uid="{00000000-0005-0000-0000-000002000000}"/>
    <cellStyle name="Ezres 4 2" xfId="4" xr:uid="{00000000-0005-0000-0000-000003000000}"/>
    <cellStyle name="Ezres 4 3" xfId="5" xr:uid="{00000000-0005-0000-0000-000004000000}"/>
    <cellStyle name="Ezres 4 4" xfId="44" xr:uid="{00000000-0005-0000-0000-000005000000}"/>
    <cellStyle name="Ezres 4 4 2" xfId="52" xr:uid="{00000000-0005-0000-0000-000006000000}"/>
    <cellStyle name="Ezres 4 4 2 2" xfId="58" xr:uid="{6684C04E-7D80-41E5-AD8F-3B0CBD1AACE4}"/>
    <cellStyle name="Ezres 5" xfId="6" xr:uid="{00000000-0005-0000-0000-000007000000}"/>
    <cellStyle name="Normál" xfId="0" builtinId="0"/>
    <cellStyle name="Normál 10" xfId="7" xr:uid="{00000000-0005-0000-0000-000009000000}"/>
    <cellStyle name="Normál 10 2" xfId="37" xr:uid="{00000000-0005-0000-0000-00000A000000}"/>
    <cellStyle name="Normál 10 3" xfId="49" xr:uid="{00000000-0005-0000-0000-00000B000000}"/>
    <cellStyle name="Normál 11" xfId="38" xr:uid="{00000000-0005-0000-0000-00000C000000}"/>
    <cellStyle name="Normál 11 2" xfId="39" xr:uid="{00000000-0005-0000-0000-00000D000000}"/>
    <cellStyle name="Normál 12" xfId="40" xr:uid="{00000000-0005-0000-0000-00000E000000}"/>
    <cellStyle name="Normál 13" xfId="45" xr:uid="{00000000-0005-0000-0000-00000F000000}"/>
    <cellStyle name="Normál 14" xfId="48" xr:uid="{00000000-0005-0000-0000-000010000000}"/>
    <cellStyle name="Normál 14 2" xfId="51" xr:uid="{00000000-0005-0000-0000-000011000000}"/>
    <cellStyle name="Normál 14 2 2" xfId="53" xr:uid="{00000000-0005-0000-0000-000012000000}"/>
    <cellStyle name="Normál 15" xfId="50" xr:uid="{00000000-0005-0000-0000-000013000000}"/>
    <cellStyle name="Normál 2" xfId="8" xr:uid="{00000000-0005-0000-0000-000014000000}"/>
    <cellStyle name="Normál 3" xfId="9" xr:uid="{00000000-0005-0000-0000-000015000000}"/>
    <cellStyle name="Normál 4" xfId="10" xr:uid="{00000000-0005-0000-0000-000016000000}"/>
    <cellStyle name="Normál 5" xfId="11" xr:uid="{00000000-0005-0000-0000-000017000000}"/>
    <cellStyle name="Normál 6" xfId="12" xr:uid="{00000000-0005-0000-0000-000018000000}"/>
    <cellStyle name="Normál 6 2" xfId="13" xr:uid="{00000000-0005-0000-0000-000019000000}"/>
    <cellStyle name="Normál 6 3" xfId="14" xr:uid="{00000000-0005-0000-0000-00001A000000}"/>
    <cellStyle name="Normál 6 3 2" xfId="15" xr:uid="{00000000-0005-0000-0000-00001B000000}"/>
    <cellStyle name="Normál 6 3 2 2" xfId="16" xr:uid="{00000000-0005-0000-0000-00001C000000}"/>
    <cellStyle name="Normál 6 3 2 3" xfId="17" xr:uid="{00000000-0005-0000-0000-00001D000000}"/>
    <cellStyle name="Normál 6 3 2 3 2" xfId="41" xr:uid="{00000000-0005-0000-0000-00001E000000}"/>
    <cellStyle name="Normál 6 3 2 3 3" xfId="47" xr:uid="{00000000-0005-0000-0000-00001F000000}"/>
    <cellStyle name="Normál 6 3 2 4" xfId="42" xr:uid="{00000000-0005-0000-0000-000020000000}"/>
    <cellStyle name="Normál 6 3 2 5" xfId="43" xr:uid="{00000000-0005-0000-0000-000021000000}"/>
    <cellStyle name="Normál 6 3 2 6" xfId="54" xr:uid="{00000000-0005-0000-0000-000022000000}"/>
    <cellStyle name="Normál 7" xfId="18" xr:uid="{00000000-0005-0000-0000-000023000000}"/>
    <cellStyle name="Normál 8" xfId="19" xr:uid="{00000000-0005-0000-0000-000024000000}"/>
    <cellStyle name="Normál 8 2" xfId="20" xr:uid="{00000000-0005-0000-0000-000025000000}"/>
    <cellStyle name="Normál 8 2 2" xfId="21" xr:uid="{00000000-0005-0000-0000-000026000000}"/>
    <cellStyle name="Normál 8 2 3" xfId="22" xr:uid="{00000000-0005-0000-0000-000027000000}"/>
    <cellStyle name="Normál 8 3" xfId="46" xr:uid="{00000000-0005-0000-0000-000028000000}"/>
    <cellStyle name="Normál 9" xfId="23" xr:uid="{00000000-0005-0000-0000-000029000000}"/>
    <cellStyle name="Normál 9 2" xfId="24" xr:uid="{00000000-0005-0000-0000-00002A000000}"/>
    <cellStyle name="Normál 9 3" xfId="25" xr:uid="{00000000-0005-0000-0000-00002B000000}"/>
    <cellStyle name="Normál_2007.évi konc. összefoglaló bevétel" xfId="26" xr:uid="{00000000-0005-0000-0000-00002C000000}"/>
    <cellStyle name="Normál_2007.évi konc. összefoglaló bevétel 2" xfId="27" xr:uid="{00000000-0005-0000-0000-00002D000000}"/>
    <cellStyle name="Normál_Beruházási tábla 2007" xfId="28" xr:uid="{00000000-0005-0000-0000-00002E000000}"/>
    <cellStyle name="Normál_EU-s tábla kv-hez_EU projektek tábla" xfId="29" xr:uid="{00000000-0005-0000-0000-00002F000000}"/>
    <cellStyle name="Normál_Hitel tábla 2012 terv" xfId="56" xr:uid="{D680423B-7BDB-4A76-96BD-5DC0F87BA7F5}"/>
    <cellStyle name="Normál_Hitel tábla 2012 terv (2)" xfId="57" xr:uid="{922D22EF-A809-4B56-B964-078BE4B0464C}"/>
    <cellStyle name="Normál_hiteltörl költségvetés 2014" xfId="55" xr:uid="{1C2F4C74-034F-4861-A25D-24B3242B0ABB}"/>
    <cellStyle name="Normál_Intézményi bevétel-kiadás" xfId="30" xr:uid="{00000000-0005-0000-0000-000030000000}"/>
    <cellStyle name="Normál_Városfejlesztési Iroda - 2008. kv. tervezés" xfId="31" xr:uid="{00000000-0005-0000-0000-000031000000}"/>
    <cellStyle name="Normál_Városfejlesztési Iroda - 2008. kv. tervezés_2014.évi eredeti előirányzat 2" xfId="32" xr:uid="{00000000-0005-0000-0000-000032000000}"/>
    <cellStyle name="Százalék" xfId="33" builtinId="5"/>
    <cellStyle name="Százalék 2" xfId="34" xr:uid="{00000000-0005-0000-0000-000034000000}"/>
    <cellStyle name="Százalék 3" xfId="35" xr:uid="{00000000-0005-0000-0000-000035000000}"/>
    <cellStyle name="Százalék 3 2" xfId="36" xr:uid="{00000000-0005-0000-0000-000036000000}"/>
  </cellStyles>
  <dxfs count="0"/>
  <tableStyles count="0" defaultTableStyle="TableStyleMedium2" defaultPivotStyle="PivotStyleLight16"/>
  <colors>
    <mruColors>
      <color rgb="FF080808"/>
      <color rgb="FF8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72"/>
  <sheetViews>
    <sheetView view="pageBreakPreview" topLeftCell="A56" zoomScaleNormal="100" zoomScaleSheetLayoutView="100" workbookViewId="0">
      <selection activeCell="F43" sqref="F43"/>
    </sheetView>
  </sheetViews>
  <sheetFormatPr defaultColWidth="9.28515625" defaultRowHeight="17.25" x14ac:dyDescent="0.35"/>
  <cols>
    <col min="1" max="1" width="3.7109375" style="50" customWidth="1"/>
    <col min="2" max="5" width="5.7109375" style="52" customWidth="1"/>
    <col min="6" max="6" width="59.7109375" style="16" customWidth="1"/>
    <col min="7" max="9" width="13.7109375" style="2" customWidth="1"/>
    <col min="10" max="11" width="15.7109375" style="106" customWidth="1"/>
    <col min="12" max="12" width="15.7109375" style="1037" customWidth="1"/>
    <col min="13" max="16384" width="9.28515625" style="16"/>
  </cols>
  <sheetData>
    <row r="1" spans="1:12" x14ac:dyDescent="0.35">
      <c r="B1" s="1795" t="s">
        <v>1004</v>
      </c>
      <c r="C1" s="1795"/>
      <c r="D1" s="1795"/>
      <c r="E1" s="1795"/>
      <c r="F1" s="1795"/>
      <c r="G1" s="16"/>
      <c r="H1" s="16"/>
      <c r="I1" s="16"/>
      <c r="J1" s="105"/>
      <c r="K1" s="105"/>
    </row>
    <row r="2" spans="1:12" s="1" customFormat="1" ht="25.15" customHeight="1" x14ac:dyDescent="0.3">
      <c r="A2" s="50"/>
      <c r="B2" s="1796" t="s">
        <v>137</v>
      </c>
      <c r="C2" s="1796"/>
      <c r="D2" s="1796"/>
      <c r="E2" s="1796"/>
      <c r="F2" s="1796"/>
      <c r="G2" s="1796"/>
      <c r="H2" s="1796"/>
      <c r="I2" s="1796"/>
      <c r="J2" s="1796"/>
      <c r="K2" s="1796"/>
      <c r="L2" s="1796"/>
    </row>
    <row r="3" spans="1:12" s="1" customFormat="1" ht="25.15" customHeight="1" x14ac:dyDescent="0.3">
      <c r="A3" s="50"/>
      <c r="B3" s="1796" t="s">
        <v>1005</v>
      </c>
      <c r="C3" s="1796"/>
      <c r="D3" s="1796"/>
      <c r="E3" s="1796"/>
      <c r="F3" s="1796"/>
      <c r="G3" s="1796"/>
      <c r="H3" s="1796"/>
      <c r="I3" s="1796"/>
      <c r="J3" s="1796"/>
      <c r="K3" s="1796"/>
      <c r="L3" s="1796"/>
    </row>
    <row r="4" spans="1:12" s="233" customFormat="1" ht="15" x14ac:dyDescent="0.3">
      <c r="A4" s="50"/>
      <c r="B4" s="232"/>
      <c r="C4" s="232"/>
      <c r="D4" s="232"/>
      <c r="E4" s="232"/>
      <c r="F4" s="232"/>
      <c r="G4" s="158"/>
      <c r="H4" s="158"/>
      <c r="I4" s="97"/>
      <c r="J4" s="98"/>
      <c r="K4" s="98"/>
      <c r="L4" s="98" t="s">
        <v>0</v>
      </c>
    </row>
    <row r="5" spans="1:12" s="236" customFormat="1" ht="15" thickBot="1" x14ac:dyDescent="0.35">
      <c r="A5" s="50"/>
      <c r="B5" s="234" t="s">
        <v>1</v>
      </c>
      <c r="C5" s="234" t="s">
        <v>3</v>
      </c>
      <c r="D5" s="234" t="s">
        <v>2</v>
      </c>
      <c r="E5" s="234" t="s">
        <v>4</v>
      </c>
      <c r="F5" s="234" t="s">
        <v>5</v>
      </c>
      <c r="G5" s="235" t="s">
        <v>15</v>
      </c>
      <c r="H5" s="235" t="s">
        <v>16</v>
      </c>
      <c r="I5" s="235" t="s">
        <v>17</v>
      </c>
      <c r="J5" s="235" t="s">
        <v>32</v>
      </c>
      <c r="K5" s="17" t="s">
        <v>28</v>
      </c>
      <c r="L5" s="1228" t="s">
        <v>23</v>
      </c>
    </row>
    <row r="6" spans="1:12" s="20" customFormat="1" ht="80.099999999999994" customHeight="1" thickBot="1" x14ac:dyDescent="0.35">
      <c r="A6" s="239"/>
      <c r="B6" s="127" t="s">
        <v>18</v>
      </c>
      <c r="C6" s="128" t="s">
        <v>19</v>
      </c>
      <c r="D6" s="126" t="s">
        <v>339</v>
      </c>
      <c r="E6" s="126" t="s">
        <v>340</v>
      </c>
      <c r="F6" s="129" t="s">
        <v>6</v>
      </c>
      <c r="G6" s="130" t="s">
        <v>522</v>
      </c>
      <c r="H6" s="108" t="s">
        <v>523</v>
      </c>
      <c r="I6" s="1199" t="s">
        <v>545</v>
      </c>
      <c r="J6" s="894" t="s">
        <v>801</v>
      </c>
      <c r="K6" s="1386" t="s">
        <v>920</v>
      </c>
      <c r="L6" s="1593" t="s">
        <v>971</v>
      </c>
    </row>
    <row r="7" spans="1:12" s="76" customFormat="1" ht="36" customHeight="1" x14ac:dyDescent="0.35">
      <c r="A7" s="239">
        <v>1</v>
      </c>
      <c r="B7" s="112"/>
      <c r="C7" s="73"/>
      <c r="D7" s="74">
        <v>1</v>
      </c>
      <c r="E7" s="74"/>
      <c r="F7" s="75" t="s">
        <v>109</v>
      </c>
      <c r="G7" s="131">
        <f>SUM(G8,G21,G33,G39,G42,G20,G38)</f>
        <v>24945646</v>
      </c>
      <c r="H7" s="131">
        <f>SUM(H8,H21,H33,H39,H42,H20,H38)</f>
        <v>22639410</v>
      </c>
      <c r="I7" s="131">
        <f>SUM(I8,I21,I33,I39,I42,I20,I38)</f>
        <v>33712776</v>
      </c>
      <c r="J7" s="895">
        <f>SUM(J8,J21,J33,J39,J42,J20,J38)</f>
        <v>26826816</v>
      </c>
      <c r="K7" s="1229">
        <f t="shared" ref="K7:L7" si="0">SUM(K8,K21,K33,K39,K42,K20,K38)</f>
        <v>26024686</v>
      </c>
      <c r="L7" s="1594">
        <f t="shared" si="0"/>
        <v>14480086</v>
      </c>
    </row>
    <row r="8" spans="1:12" s="76" customFormat="1" ht="36" customHeight="1" x14ac:dyDescent="0.35">
      <c r="A8" s="239">
        <v>2</v>
      </c>
      <c r="B8" s="113">
        <v>18</v>
      </c>
      <c r="C8" s="1595"/>
      <c r="D8" s="1596"/>
      <c r="E8" s="1596">
        <v>1</v>
      </c>
      <c r="F8" s="1595" t="s">
        <v>138</v>
      </c>
      <c r="G8" s="1597">
        <f t="shared" ref="G8:L8" si="1">SUM(G9,G18:G18)</f>
        <v>6793994</v>
      </c>
      <c r="H8" s="1597">
        <f t="shared" si="1"/>
        <v>6909755</v>
      </c>
      <c r="I8" s="1597">
        <f t="shared" si="1"/>
        <v>7999614</v>
      </c>
      <c r="J8" s="896">
        <f t="shared" si="1"/>
        <v>8407420</v>
      </c>
      <c r="K8" s="1598">
        <f t="shared" si="1"/>
        <v>8599666</v>
      </c>
      <c r="L8" s="1599">
        <f t="shared" si="1"/>
        <v>5063248</v>
      </c>
    </row>
    <row r="9" spans="1:12" s="53" customFormat="1" x14ac:dyDescent="0.35">
      <c r="A9" s="239">
        <v>3</v>
      </c>
      <c r="B9" s="46"/>
      <c r="C9" s="71"/>
      <c r="D9" s="52"/>
      <c r="E9" s="52"/>
      <c r="F9" s="1600" t="s">
        <v>139</v>
      </c>
      <c r="G9" s="1601">
        <f>SUM(G10:G17)</f>
        <v>5600725</v>
      </c>
      <c r="H9" s="1601">
        <f>SUM(H10:H17)</f>
        <v>6055286</v>
      </c>
      <c r="I9" s="1601">
        <f>SUM(I10:I17)</f>
        <v>6825509</v>
      </c>
      <c r="J9" s="897">
        <f>SUM(J10:J17)</f>
        <v>6886393</v>
      </c>
      <c r="K9" s="1602">
        <f t="shared" ref="K9:L9" si="2">SUM(K10:K17)</f>
        <v>7046936</v>
      </c>
      <c r="L9" s="908">
        <f t="shared" si="2"/>
        <v>3732262</v>
      </c>
    </row>
    <row r="10" spans="1:12" ht="17.100000000000001" customHeight="1" x14ac:dyDescent="0.35">
      <c r="A10" s="239">
        <v>4</v>
      </c>
      <c r="B10" s="47"/>
      <c r="C10" s="1603"/>
      <c r="D10" s="1603"/>
      <c r="E10" s="1603"/>
      <c r="F10" s="1604" t="s">
        <v>453</v>
      </c>
      <c r="G10" s="2">
        <v>1223867</v>
      </c>
      <c r="H10" s="2">
        <v>1216983</v>
      </c>
      <c r="I10" s="2">
        <v>1263768</v>
      </c>
      <c r="J10" s="898">
        <v>1358062</v>
      </c>
      <c r="K10" s="106">
        <v>1358062</v>
      </c>
      <c r="L10" s="1605">
        <v>706192</v>
      </c>
    </row>
    <row r="11" spans="1:12" ht="32.25" customHeight="1" x14ac:dyDescent="0.3">
      <c r="A11" s="239">
        <v>5</v>
      </c>
      <c r="B11" s="47"/>
      <c r="C11" s="1603"/>
      <c r="D11" s="1603"/>
      <c r="E11" s="1603"/>
      <c r="F11" s="1604" t="s">
        <v>454</v>
      </c>
      <c r="G11" s="160">
        <v>1409859</v>
      </c>
      <c r="H11" s="160">
        <v>1366131</v>
      </c>
      <c r="I11" s="160">
        <v>1575246</v>
      </c>
      <c r="J11" s="899">
        <v>2022488</v>
      </c>
      <c r="K11" s="472">
        <v>2022488</v>
      </c>
      <c r="L11" s="1606">
        <v>1051694</v>
      </c>
    </row>
    <row r="12" spans="1:12" ht="33.75" customHeight="1" x14ac:dyDescent="0.3">
      <c r="A12" s="239">
        <v>6</v>
      </c>
      <c r="B12" s="47"/>
      <c r="C12" s="1603"/>
      <c r="D12" s="1603"/>
      <c r="E12" s="1603"/>
      <c r="F12" s="1604" t="s">
        <v>455</v>
      </c>
      <c r="G12" s="160">
        <v>1624155</v>
      </c>
      <c r="H12" s="160">
        <v>1409957</v>
      </c>
      <c r="I12" s="160">
        <v>1831922</v>
      </c>
      <c r="J12" s="899">
        <v>1836205</v>
      </c>
      <c r="K12" s="472">
        <v>1959640</v>
      </c>
      <c r="L12" s="1606">
        <v>1078261</v>
      </c>
    </row>
    <row r="13" spans="1:12" ht="32.25" customHeight="1" x14ac:dyDescent="0.35">
      <c r="A13" s="239">
        <v>7</v>
      </c>
      <c r="B13" s="47"/>
      <c r="C13" s="1603"/>
      <c r="D13" s="1603"/>
      <c r="E13" s="1603"/>
      <c r="F13" s="1604" t="s">
        <v>458</v>
      </c>
      <c r="G13" s="2">
        <v>756978</v>
      </c>
      <c r="H13" s="2">
        <v>707499</v>
      </c>
      <c r="I13" s="2">
        <v>731430</v>
      </c>
      <c r="J13" s="898">
        <v>872006</v>
      </c>
      <c r="K13" s="106">
        <v>872006</v>
      </c>
      <c r="L13" s="1605">
        <v>453443</v>
      </c>
    </row>
    <row r="14" spans="1:12" ht="17.100000000000001" customHeight="1" x14ac:dyDescent="0.35">
      <c r="A14" s="239">
        <v>8</v>
      </c>
      <c r="B14" s="47"/>
      <c r="C14" s="1603"/>
      <c r="D14" s="1603"/>
      <c r="E14" s="1603"/>
      <c r="F14" s="1604" t="s">
        <v>456</v>
      </c>
      <c r="G14" s="2">
        <v>492051</v>
      </c>
      <c r="H14" s="2">
        <f>1348087-569075</f>
        <v>779012</v>
      </c>
      <c r="I14" s="2">
        <v>782440</v>
      </c>
      <c r="J14" s="898">
        <v>793912</v>
      </c>
      <c r="K14" s="106">
        <v>809060</v>
      </c>
      <c r="L14" s="1605">
        <v>420712</v>
      </c>
    </row>
    <row r="15" spans="1:12" ht="36" customHeight="1" x14ac:dyDescent="0.35">
      <c r="A15" s="239">
        <v>9</v>
      </c>
      <c r="B15" s="47"/>
      <c r="C15" s="1603"/>
      <c r="D15" s="1603"/>
      <c r="E15" s="1603"/>
      <c r="F15" s="1604" t="s">
        <v>140</v>
      </c>
      <c r="G15" s="160">
        <v>53240</v>
      </c>
      <c r="H15" s="2">
        <v>6629</v>
      </c>
      <c r="I15" s="2">
        <v>71628</v>
      </c>
      <c r="J15" s="898">
        <v>3720</v>
      </c>
      <c r="K15" s="106">
        <v>25680</v>
      </c>
      <c r="L15" s="1605">
        <v>21960</v>
      </c>
    </row>
    <row r="16" spans="1:12" ht="31.5" customHeight="1" x14ac:dyDescent="0.35">
      <c r="A16" s="239">
        <v>10</v>
      </c>
      <c r="B16" s="47"/>
      <c r="C16" s="1603"/>
      <c r="D16" s="1603"/>
      <c r="E16" s="1603"/>
      <c r="F16" s="1604" t="s">
        <v>500</v>
      </c>
      <c r="G16" s="160"/>
      <c r="H16" s="2">
        <v>569075</v>
      </c>
      <c r="I16" s="2">
        <v>569075</v>
      </c>
      <c r="J16" s="899"/>
      <c r="K16" s="472"/>
      <c r="L16" s="1605"/>
    </row>
    <row r="17" spans="1:12" x14ac:dyDescent="0.35">
      <c r="A17" s="239">
        <v>11</v>
      </c>
      <c r="B17" s="46"/>
      <c r="C17" s="1603"/>
      <c r="D17" s="1603"/>
      <c r="E17" s="1603"/>
      <c r="F17" s="1604" t="s">
        <v>457</v>
      </c>
      <c r="G17" s="2">
        <v>40575</v>
      </c>
      <c r="J17" s="898"/>
      <c r="L17" s="1605"/>
    </row>
    <row r="18" spans="1:12" s="53" customFormat="1" x14ac:dyDescent="0.35">
      <c r="A18" s="239">
        <v>12</v>
      </c>
      <c r="B18" s="46"/>
      <c r="C18" s="1607"/>
      <c r="D18" s="1603"/>
      <c r="E18" s="1603"/>
      <c r="F18" s="1608" t="s">
        <v>141</v>
      </c>
      <c r="G18" s="1601">
        <v>1193269</v>
      </c>
      <c r="H18" s="1601">
        <v>854469</v>
      </c>
      <c r="I18" s="1601">
        <v>1174105</v>
      </c>
      <c r="J18" s="897">
        <v>1521027</v>
      </c>
      <c r="K18" s="1609">
        <v>1552730</v>
      </c>
      <c r="L18" s="1173">
        <f>1330987-1</f>
        <v>1330986</v>
      </c>
    </row>
    <row r="19" spans="1:12" ht="16.5" customHeight="1" x14ac:dyDescent="0.35">
      <c r="A19" s="239">
        <v>13</v>
      </c>
      <c r="B19" s="46"/>
      <c r="C19" s="1603"/>
      <c r="D19" s="1603"/>
      <c r="E19" s="1603"/>
      <c r="F19" s="1604" t="s">
        <v>142</v>
      </c>
      <c r="G19" s="2">
        <v>294456</v>
      </c>
      <c r="H19" s="2">
        <v>260000</v>
      </c>
      <c r="I19" s="2">
        <v>295289</v>
      </c>
      <c r="J19" s="898">
        <v>325200</v>
      </c>
      <c r="K19" s="106">
        <v>339864</v>
      </c>
      <c r="L19" s="1605">
        <v>179498</v>
      </c>
    </row>
    <row r="20" spans="1:12" ht="36" customHeight="1" x14ac:dyDescent="0.35">
      <c r="A20" s="239">
        <v>14</v>
      </c>
      <c r="B20" s="114" t="s">
        <v>311</v>
      </c>
      <c r="C20" s="1603"/>
      <c r="D20" s="1603"/>
      <c r="E20" s="1610">
        <v>1</v>
      </c>
      <c r="F20" s="1595" t="s">
        <v>143</v>
      </c>
      <c r="G20" s="1601">
        <v>333704</v>
      </c>
      <c r="H20" s="1601">
        <v>80024</v>
      </c>
      <c r="I20" s="1601">
        <v>287279</v>
      </c>
      <c r="J20" s="897">
        <v>32938</v>
      </c>
      <c r="K20" s="1611">
        <v>95419</v>
      </c>
      <c r="L20" s="1173">
        <f>'3.Inbe '!K112</f>
        <v>62114</v>
      </c>
    </row>
    <row r="21" spans="1:12" s="53" customFormat="1" ht="36" customHeight="1" x14ac:dyDescent="0.35">
      <c r="A21" s="239">
        <v>15</v>
      </c>
      <c r="B21" s="46">
        <v>18</v>
      </c>
      <c r="C21" s="71"/>
      <c r="D21" s="52"/>
      <c r="E21" s="52">
        <v>2</v>
      </c>
      <c r="F21" s="53" t="s">
        <v>144</v>
      </c>
      <c r="G21" s="1601">
        <f>SUM(G22,G29:G32)</f>
        <v>10626844</v>
      </c>
      <c r="H21" s="1601">
        <f>SUM(H22,H29:H32)</f>
        <v>10042100</v>
      </c>
      <c r="I21" s="1601">
        <f>SUM(I22,I29:I32)</f>
        <v>15107943</v>
      </c>
      <c r="J21" s="897">
        <f>SUM(J22,J29:J32)</f>
        <v>13625150</v>
      </c>
      <c r="K21" s="1602">
        <f t="shared" ref="K21:L21" si="3">SUM(K22,K29:K32)</f>
        <v>13629500</v>
      </c>
      <c r="L21" s="908">
        <f t="shared" si="3"/>
        <v>7150769</v>
      </c>
    </row>
    <row r="22" spans="1:12" s="53" customFormat="1" x14ac:dyDescent="0.35">
      <c r="A22" s="239">
        <v>16</v>
      </c>
      <c r="B22" s="46"/>
      <c r="C22" s="71"/>
      <c r="D22" s="52"/>
      <c r="E22" s="52"/>
      <c r="F22" s="1612" t="s">
        <v>145</v>
      </c>
      <c r="G22" s="1609">
        <f>SUM(G23:G28)</f>
        <v>10613389</v>
      </c>
      <c r="H22" s="1609">
        <f>SUM(H23:H28)</f>
        <v>10037000</v>
      </c>
      <c r="I22" s="1609">
        <f>SUM(I23:I28)</f>
        <v>15080210</v>
      </c>
      <c r="J22" s="900">
        <f>SUM(J23:J28)</f>
        <v>13625000</v>
      </c>
      <c r="K22" s="1602">
        <f t="shared" ref="K22:L22" si="4">SUM(K23:K28)</f>
        <v>13625000</v>
      </c>
      <c r="L22" s="908">
        <f t="shared" si="4"/>
        <v>7145207</v>
      </c>
    </row>
    <row r="23" spans="1:12" ht="16.5" customHeight="1" x14ac:dyDescent="0.35">
      <c r="A23" s="239">
        <v>17</v>
      </c>
      <c r="B23" s="46"/>
      <c r="F23" s="1604" t="s">
        <v>104</v>
      </c>
      <c r="G23" s="2">
        <v>1356360</v>
      </c>
      <c r="H23" s="2">
        <v>1310000</v>
      </c>
      <c r="I23" s="2">
        <v>1373659</v>
      </c>
      <c r="J23" s="898">
        <v>1310000</v>
      </c>
      <c r="K23" s="106">
        <v>1310000</v>
      </c>
      <c r="L23" s="1605">
        <v>631178</v>
      </c>
    </row>
    <row r="24" spans="1:12" x14ac:dyDescent="0.35">
      <c r="A24" s="239">
        <v>18</v>
      </c>
      <c r="B24" s="46"/>
      <c r="F24" s="1604" t="s">
        <v>107</v>
      </c>
      <c r="G24" s="2">
        <v>45221</v>
      </c>
      <c r="H24" s="2">
        <v>36000</v>
      </c>
      <c r="I24" s="2">
        <v>57941</v>
      </c>
      <c r="J24" s="898">
        <v>45000</v>
      </c>
      <c r="K24" s="106">
        <v>45000</v>
      </c>
      <c r="L24" s="1605">
        <v>18616</v>
      </c>
    </row>
    <row r="25" spans="1:12" x14ac:dyDescent="0.35">
      <c r="A25" s="239">
        <v>19</v>
      </c>
      <c r="B25" s="46"/>
      <c r="F25" s="1604" t="s">
        <v>106</v>
      </c>
      <c r="G25" s="2">
        <v>150187</v>
      </c>
      <c r="H25" s="2">
        <v>145000</v>
      </c>
      <c r="I25" s="2">
        <v>153455</v>
      </c>
      <c r="J25" s="898">
        <v>145000</v>
      </c>
      <c r="K25" s="106">
        <v>145000</v>
      </c>
      <c r="L25" s="1605">
        <v>79360</v>
      </c>
    </row>
    <row r="26" spans="1:12" x14ac:dyDescent="0.35">
      <c r="A26" s="239">
        <v>20</v>
      </c>
      <c r="B26" s="46"/>
      <c r="F26" s="1604" t="s">
        <v>105</v>
      </c>
      <c r="G26" s="2">
        <v>117120</v>
      </c>
      <c r="H26" s="2">
        <v>95000</v>
      </c>
      <c r="I26" s="2">
        <v>127207</v>
      </c>
      <c r="J26" s="898">
        <v>110000</v>
      </c>
      <c r="K26" s="106">
        <v>110000</v>
      </c>
      <c r="L26" s="1605">
        <v>68732</v>
      </c>
    </row>
    <row r="27" spans="1:12" x14ac:dyDescent="0.35">
      <c r="A27" s="239">
        <v>21</v>
      </c>
      <c r="B27" s="46"/>
      <c r="F27" s="1604" t="s">
        <v>103</v>
      </c>
      <c r="G27" s="2">
        <v>8924834</v>
      </c>
      <c r="H27" s="2">
        <v>8440000</v>
      </c>
      <c r="I27" s="2">
        <v>13330454</v>
      </c>
      <c r="J27" s="898">
        <v>12000000</v>
      </c>
      <c r="K27" s="106">
        <v>12000000</v>
      </c>
      <c r="L27" s="1605">
        <v>6325095</v>
      </c>
    </row>
    <row r="28" spans="1:12" x14ac:dyDescent="0.35">
      <c r="A28" s="239">
        <v>22</v>
      </c>
      <c r="B28" s="46"/>
      <c r="F28" s="1604" t="s">
        <v>146</v>
      </c>
      <c r="G28" s="2">
        <v>19667</v>
      </c>
      <c r="H28" s="2">
        <v>11000</v>
      </c>
      <c r="I28" s="2">
        <v>37494</v>
      </c>
      <c r="J28" s="898">
        <v>15000</v>
      </c>
      <c r="K28" s="106">
        <v>15000</v>
      </c>
      <c r="L28" s="1605">
        <f>27333-4620-350-137</f>
        <v>22226</v>
      </c>
    </row>
    <row r="29" spans="1:12" s="53" customFormat="1" ht="33.75" x14ac:dyDescent="0.35">
      <c r="A29" s="239">
        <v>23</v>
      </c>
      <c r="B29" s="46"/>
      <c r="C29" s="71"/>
      <c r="D29" s="52"/>
      <c r="E29" s="52"/>
      <c r="F29" s="1612" t="s">
        <v>147</v>
      </c>
      <c r="G29" s="1609">
        <v>13260</v>
      </c>
      <c r="H29" s="1609">
        <v>5100</v>
      </c>
      <c r="I29" s="1609">
        <v>13599</v>
      </c>
      <c r="J29" s="900">
        <v>150</v>
      </c>
      <c r="K29" s="1602">
        <v>150</v>
      </c>
      <c r="L29" s="1173">
        <v>137</v>
      </c>
    </row>
    <row r="30" spans="1:12" s="53" customFormat="1" x14ac:dyDescent="0.35">
      <c r="A30" s="239">
        <v>24</v>
      </c>
      <c r="B30" s="46"/>
      <c r="C30" s="71"/>
      <c r="D30" s="52"/>
      <c r="E30" s="52"/>
      <c r="F30" s="1612" t="s">
        <v>525</v>
      </c>
      <c r="G30" s="1609"/>
      <c r="H30" s="1609"/>
      <c r="I30" s="1609">
        <v>6524</v>
      </c>
      <c r="J30" s="900"/>
      <c r="K30" s="1602">
        <v>4000</v>
      </c>
      <c r="L30" s="1605">
        <v>4620</v>
      </c>
    </row>
    <row r="31" spans="1:12" s="53" customFormat="1" x14ac:dyDescent="0.35">
      <c r="A31" s="239">
        <v>25</v>
      </c>
      <c r="B31" s="46"/>
      <c r="C31" s="71"/>
      <c r="D31" s="52"/>
      <c r="E31" s="52"/>
      <c r="F31" s="1612" t="s">
        <v>526</v>
      </c>
      <c r="G31" s="1609"/>
      <c r="H31" s="1609"/>
      <c r="I31" s="1609">
        <v>7600</v>
      </c>
      <c r="J31" s="900"/>
      <c r="K31" s="1602">
        <v>350</v>
      </c>
      <c r="L31" s="1605">
        <v>350</v>
      </c>
    </row>
    <row r="32" spans="1:12" s="53" customFormat="1" x14ac:dyDescent="0.35">
      <c r="A32" s="239">
        <v>26</v>
      </c>
      <c r="B32" s="46"/>
      <c r="C32" s="71"/>
      <c r="D32" s="52"/>
      <c r="E32" s="52"/>
      <c r="F32" s="1612" t="s">
        <v>527</v>
      </c>
      <c r="G32" s="1609">
        <v>195</v>
      </c>
      <c r="H32" s="1609"/>
      <c r="I32" s="1609">
        <v>10</v>
      </c>
      <c r="J32" s="900"/>
      <c r="K32" s="1602"/>
      <c r="L32" s="1605">
        <v>455</v>
      </c>
    </row>
    <row r="33" spans="1:12" s="53" customFormat="1" ht="36" customHeight="1" x14ac:dyDescent="0.35">
      <c r="A33" s="239">
        <v>27</v>
      </c>
      <c r="B33" s="46">
        <v>18</v>
      </c>
      <c r="C33" s="71"/>
      <c r="D33" s="52"/>
      <c r="E33" s="52">
        <v>3</v>
      </c>
      <c r="F33" s="53" t="s">
        <v>112</v>
      </c>
      <c r="G33" s="1601">
        <f>SUM(G34:G37)</f>
        <v>4164227</v>
      </c>
      <c r="H33" s="1601">
        <f>SUM(H34:H37)</f>
        <v>4184512</v>
      </c>
      <c r="I33" s="1601">
        <f>SUM(I34:I37)</f>
        <v>7382152</v>
      </c>
      <c r="J33" s="897">
        <f>SUM(J34:J37)</f>
        <v>3494801</v>
      </c>
      <c r="K33" s="1602">
        <f t="shared" ref="K33:L33" si="5">SUM(K34:K37)</f>
        <v>2270597</v>
      </c>
      <c r="L33" s="908">
        <f t="shared" si="5"/>
        <v>1164515</v>
      </c>
    </row>
    <row r="34" spans="1:12" ht="16.5" customHeight="1" x14ac:dyDescent="0.35">
      <c r="A34" s="239">
        <v>28</v>
      </c>
      <c r="B34" s="46"/>
      <c r="F34" s="1604" t="s">
        <v>241</v>
      </c>
      <c r="G34" s="2">
        <v>408337</v>
      </c>
      <c r="H34" s="2">
        <v>360273</v>
      </c>
      <c r="I34" s="2">
        <v>651630</v>
      </c>
      <c r="J34" s="898">
        <v>412241</v>
      </c>
      <c r="K34" s="106">
        <v>492506</v>
      </c>
      <c r="L34" s="1605">
        <v>323318</v>
      </c>
    </row>
    <row r="35" spans="1:12" ht="16.5" customHeight="1" x14ac:dyDescent="0.35">
      <c r="A35" s="239">
        <v>29</v>
      </c>
      <c r="B35" s="46"/>
      <c r="F35" s="1604" t="s">
        <v>834</v>
      </c>
      <c r="G35" s="2">
        <v>238577</v>
      </c>
      <c r="H35" s="2">
        <v>526923</v>
      </c>
      <c r="I35" s="2">
        <v>1646737</v>
      </c>
      <c r="J35" s="898">
        <v>1723717</v>
      </c>
      <c r="K35" s="106">
        <v>306327</v>
      </c>
      <c r="L35" s="1605">
        <v>109858</v>
      </c>
    </row>
    <row r="36" spans="1:12" ht="16.5" customHeight="1" x14ac:dyDescent="0.35">
      <c r="A36" s="239">
        <v>30</v>
      </c>
      <c r="B36" s="46"/>
      <c r="F36" s="1604" t="s">
        <v>242</v>
      </c>
      <c r="G36" s="2">
        <v>2386724</v>
      </c>
      <c r="H36" s="2">
        <v>2793379</v>
      </c>
      <c r="I36" s="2">
        <v>3212029</v>
      </c>
      <c r="J36" s="898">
        <v>716355</v>
      </c>
      <c r="K36" s="106">
        <v>751855</v>
      </c>
      <c r="L36" s="1613">
        <v>216092</v>
      </c>
    </row>
    <row r="37" spans="1:12" ht="16.5" customHeight="1" x14ac:dyDescent="0.35">
      <c r="A37" s="239">
        <v>31</v>
      </c>
      <c r="B37" s="46"/>
      <c r="F37" s="1604" t="s">
        <v>781</v>
      </c>
      <c r="G37" s="2">
        <v>1130589</v>
      </c>
      <c r="H37" s="2">
        <v>503937</v>
      </c>
      <c r="I37" s="2">
        <v>1871756</v>
      </c>
      <c r="J37" s="898">
        <v>642488</v>
      </c>
      <c r="K37" s="106">
        <v>719909</v>
      </c>
      <c r="L37" s="1605">
        <v>515247</v>
      </c>
    </row>
    <row r="38" spans="1:12" s="53" customFormat="1" ht="36" customHeight="1" x14ac:dyDescent="0.35">
      <c r="A38" s="239">
        <v>32</v>
      </c>
      <c r="B38" s="115" t="s">
        <v>311</v>
      </c>
      <c r="C38" s="71"/>
      <c r="D38" s="52"/>
      <c r="E38" s="52">
        <v>3</v>
      </c>
      <c r="F38" s="53" t="s">
        <v>148</v>
      </c>
      <c r="G38" s="1601">
        <v>1113418</v>
      </c>
      <c r="H38" s="1601">
        <v>916787</v>
      </c>
      <c r="I38" s="1601">
        <v>1596147</v>
      </c>
      <c r="J38" s="897">
        <v>1095969</v>
      </c>
      <c r="K38" s="1611">
        <v>1187487</v>
      </c>
      <c r="L38" s="1173">
        <f>'3.Inbe '!J112</f>
        <v>803251</v>
      </c>
    </row>
    <row r="39" spans="1:12" s="53" customFormat="1" ht="36" customHeight="1" x14ac:dyDescent="0.35">
      <c r="A39" s="239">
        <v>33</v>
      </c>
      <c r="B39" s="46">
        <v>18</v>
      </c>
      <c r="C39" s="71"/>
      <c r="D39" s="52"/>
      <c r="E39" s="52">
        <v>4</v>
      </c>
      <c r="F39" s="53" t="s">
        <v>149</v>
      </c>
      <c r="G39" s="1601">
        <v>1525737</v>
      </c>
      <c r="H39" s="1601">
        <v>220740</v>
      </c>
      <c r="I39" s="1601">
        <v>934001</v>
      </c>
      <c r="J39" s="897">
        <v>127555</v>
      </c>
      <c r="K39" s="1611">
        <v>180985</v>
      </c>
      <c r="L39" s="1173">
        <v>211786</v>
      </c>
    </row>
    <row r="40" spans="1:12" s="53" customFormat="1" ht="16.5" customHeight="1" x14ac:dyDescent="0.35">
      <c r="A40" s="239">
        <v>34</v>
      </c>
      <c r="B40" s="46"/>
      <c r="C40" s="71"/>
      <c r="D40" s="52"/>
      <c r="E40" s="52"/>
      <c r="F40" s="1604" t="s">
        <v>517</v>
      </c>
      <c r="G40" s="2">
        <v>4235</v>
      </c>
      <c r="H40" s="2"/>
      <c r="I40" s="2"/>
      <c r="J40" s="898"/>
      <c r="K40" s="106"/>
      <c r="L40" s="1173"/>
    </row>
    <row r="41" spans="1:12" s="53" customFormat="1" ht="16.5" customHeight="1" x14ac:dyDescent="0.35">
      <c r="A41" s="239">
        <v>35</v>
      </c>
      <c r="B41" s="46"/>
      <c r="C41" s="71"/>
      <c r="D41" s="52"/>
      <c r="E41" s="52"/>
      <c r="F41" s="1604" t="s">
        <v>518</v>
      </c>
      <c r="G41" s="2"/>
      <c r="H41" s="2">
        <v>3000</v>
      </c>
      <c r="I41" s="2">
        <v>0</v>
      </c>
      <c r="J41" s="898"/>
      <c r="K41" s="106"/>
      <c r="L41" s="1173"/>
    </row>
    <row r="42" spans="1:12" s="53" customFormat="1" ht="36" customHeight="1" x14ac:dyDescent="0.35">
      <c r="A42" s="239">
        <v>36</v>
      </c>
      <c r="B42" s="116" t="s">
        <v>311</v>
      </c>
      <c r="C42" s="77"/>
      <c r="D42" s="77"/>
      <c r="E42" s="78">
        <v>4</v>
      </c>
      <c r="F42" s="79" t="s">
        <v>150</v>
      </c>
      <c r="G42" s="132">
        <v>387722</v>
      </c>
      <c r="H42" s="132">
        <v>285492</v>
      </c>
      <c r="I42" s="132">
        <v>405640</v>
      </c>
      <c r="J42" s="901">
        <f>66977-23994</f>
        <v>42983</v>
      </c>
      <c r="K42" s="1611">
        <v>61032</v>
      </c>
      <c r="L42" s="1173">
        <f>'3.Inbe '!L112</f>
        <v>24403</v>
      </c>
    </row>
    <row r="43" spans="1:12" s="76" customFormat="1" ht="36" customHeight="1" x14ac:dyDescent="0.35">
      <c r="A43" s="239">
        <v>37</v>
      </c>
      <c r="B43" s="117"/>
      <c r="C43" s="80"/>
      <c r="D43" s="81">
        <v>2</v>
      </c>
      <c r="E43" s="81"/>
      <c r="F43" s="82" t="s">
        <v>110</v>
      </c>
      <c r="G43" s="133">
        <f>SUM(G44,G47:G48,G50:G52)</f>
        <v>19881360</v>
      </c>
      <c r="H43" s="133">
        <f>SUM(H44,H47:H48,H50:H52)</f>
        <v>6311912</v>
      </c>
      <c r="I43" s="185">
        <f>SUM(I44,I47:I48,I50:I52)</f>
        <v>11786876</v>
      </c>
      <c r="J43" s="133">
        <f>SUM(J44,J47:J48,J50:J52)</f>
        <v>4031558</v>
      </c>
      <c r="K43" s="1230">
        <f t="shared" ref="K43:L43" si="6">SUM(K44,K47:K48,K50:K52)</f>
        <v>4185248</v>
      </c>
      <c r="L43" s="1614">
        <f t="shared" si="6"/>
        <v>3769276</v>
      </c>
    </row>
    <row r="44" spans="1:12" s="53" customFormat="1" ht="36" customHeight="1" x14ac:dyDescent="0.35">
      <c r="A44" s="239">
        <v>38</v>
      </c>
      <c r="B44" s="46"/>
      <c r="C44" s="71"/>
      <c r="D44" s="52"/>
      <c r="E44" s="52">
        <v>5</v>
      </c>
      <c r="F44" s="53" t="s">
        <v>151</v>
      </c>
      <c r="G44" s="1601">
        <f>SUM(G45,G46)</f>
        <v>3252624</v>
      </c>
      <c r="H44" s="1601">
        <f>SUM(H45,H46)</f>
        <v>1313210</v>
      </c>
      <c r="I44" s="1601">
        <f>SUM(I45,I46)</f>
        <v>2689454</v>
      </c>
      <c r="J44" s="897">
        <f>SUM(J45,J46)</f>
        <v>2594724</v>
      </c>
      <c r="K44" s="1602">
        <f t="shared" ref="K44:L44" si="7">SUM(K45,K46)</f>
        <v>2594724</v>
      </c>
      <c r="L44" s="908">
        <f t="shared" si="7"/>
        <v>2594724</v>
      </c>
    </row>
    <row r="45" spans="1:12" x14ac:dyDescent="0.35">
      <c r="A45" s="239">
        <v>39</v>
      </c>
      <c r="B45" s="46">
        <v>18</v>
      </c>
      <c r="F45" s="1592" t="s">
        <v>152</v>
      </c>
      <c r="J45" s="898"/>
      <c r="L45" s="1605"/>
    </row>
    <row r="46" spans="1:12" x14ac:dyDescent="0.35">
      <c r="A46" s="239">
        <v>40</v>
      </c>
      <c r="B46" s="46">
        <v>18</v>
      </c>
      <c r="C46" s="1603"/>
      <c r="D46" s="1603"/>
      <c r="E46" s="1603"/>
      <c r="F46" s="1592" t="s">
        <v>153</v>
      </c>
      <c r="G46" s="2">
        <v>3252624</v>
      </c>
      <c r="H46" s="2">
        <v>1313210</v>
      </c>
      <c r="I46" s="2">
        <v>2689454</v>
      </c>
      <c r="J46" s="898">
        <v>2594724</v>
      </c>
      <c r="K46" s="106">
        <v>2594724</v>
      </c>
      <c r="L46" s="1605">
        <v>2594724</v>
      </c>
    </row>
    <row r="47" spans="1:12" s="53" customFormat="1" ht="36" customHeight="1" x14ac:dyDescent="0.35">
      <c r="A47" s="239">
        <v>41</v>
      </c>
      <c r="B47" s="116" t="s">
        <v>311</v>
      </c>
      <c r="C47" s="1607"/>
      <c r="D47" s="1607"/>
      <c r="E47" s="1603">
        <v>5</v>
      </c>
      <c r="F47" s="1608" t="s">
        <v>154</v>
      </c>
      <c r="G47" s="1601">
        <v>67600</v>
      </c>
      <c r="H47" s="1601">
        <v>2741</v>
      </c>
      <c r="I47" s="1601">
        <v>69526</v>
      </c>
      <c r="J47" s="897"/>
      <c r="K47" s="1611"/>
      <c r="L47" s="1173">
        <f>'3.Inbe '!N112</f>
        <v>0</v>
      </c>
    </row>
    <row r="48" spans="1:12" s="53" customFormat="1" ht="36" customHeight="1" x14ac:dyDescent="0.35">
      <c r="A48" s="239">
        <v>42</v>
      </c>
      <c r="B48" s="46">
        <v>18</v>
      </c>
      <c r="C48" s="71"/>
      <c r="D48" s="52"/>
      <c r="E48" s="52">
        <v>6</v>
      </c>
      <c r="F48" s="53" t="s">
        <v>155</v>
      </c>
      <c r="G48" s="1601">
        <f>SUM(G49:G49)</f>
        <v>335724</v>
      </c>
      <c r="H48" s="1601">
        <f>SUM(H49:H49)</f>
        <v>750000</v>
      </c>
      <c r="I48" s="1601">
        <f>SUM(I49:I49)</f>
        <v>579073</v>
      </c>
      <c r="J48" s="897">
        <f>SUM(J49:J49)</f>
        <v>388700</v>
      </c>
      <c r="K48" s="1602">
        <f t="shared" ref="K48:L48" si="8">SUM(K49:K49)</f>
        <v>396690</v>
      </c>
      <c r="L48" s="908">
        <f t="shared" si="8"/>
        <v>25880</v>
      </c>
    </row>
    <row r="49" spans="1:12" x14ac:dyDescent="0.35">
      <c r="A49" s="239">
        <v>43</v>
      </c>
      <c r="B49" s="46"/>
      <c r="F49" s="1604" t="s">
        <v>156</v>
      </c>
      <c r="G49" s="2">
        <v>335724</v>
      </c>
      <c r="H49" s="2">
        <v>750000</v>
      </c>
      <c r="I49" s="2">
        <v>579073</v>
      </c>
      <c r="J49" s="898">
        <v>388700</v>
      </c>
      <c r="K49" s="106">
        <v>396690</v>
      </c>
      <c r="L49" s="1605">
        <f>25879+1</f>
        <v>25880</v>
      </c>
    </row>
    <row r="50" spans="1:12" ht="36" customHeight="1" x14ac:dyDescent="0.35">
      <c r="A50" s="239">
        <v>44</v>
      </c>
      <c r="B50" s="46"/>
      <c r="E50" s="52">
        <v>6</v>
      </c>
      <c r="F50" s="1608" t="s">
        <v>157</v>
      </c>
      <c r="G50" s="1601">
        <v>4000</v>
      </c>
      <c r="H50" s="1601"/>
      <c r="I50" s="1601">
        <v>886</v>
      </c>
      <c r="J50" s="897"/>
      <c r="K50" s="1611"/>
      <c r="L50" s="1605">
        <f>'3.Inbe '!M112</f>
        <v>30</v>
      </c>
    </row>
    <row r="51" spans="1:12" s="53" customFormat="1" ht="36" customHeight="1" x14ac:dyDescent="0.35">
      <c r="A51" s="239">
        <v>45</v>
      </c>
      <c r="B51" s="46">
        <v>18</v>
      </c>
      <c r="C51" s="71"/>
      <c r="D51" s="52"/>
      <c r="E51" s="52">
        <v>7</v>
      </c>
      <c r="F51" s="53" t="s">
        <v>158</v>
      </c>
      <c r="G51" s="1601">
        <v>16072292</v>
      </c>
      <c r="H51" s="1601">
        <v>4234039</v>
      </c>
      <c r="I51" s="1601">
        <v>8351717</v>
      </c>
      <c r="J51" s="897">
        <v>1024140</v>
      </c>
      <c r="K51" s="1611">
        <v>1169840</v>
      </c>
      <c r="L51" s="1173">
        <v>1148642</v>
      </c>
    </row>
    <row r="52" spans="1:12" s="53" customFormat="1" ht="36" customHeight="1" x14ac:dyDescent="0.35">
      <c r="A52" s="239">
        <v>46</v>
      </c>
      <c r="B52" s="116" t="s">
        <v>311</v>
      </c>
      <c r="C52" s="1607"/>
      <c r="D52" s="1607"/>
      <c r="E52" s="1603">
        <v>7</v>
      </c>
      <c r="F52" s="1615" t="s">
        <v>159</v>
      </c>
      <c r="G52" s="1601">
        <v>149120</v>
      </c>
      <c r="H52" s="1601">
        <v>11922</v>
      </c>
      <c r="I52" s="1601">
        <v>96220</v>
      </c>
      <c r="J52" s="897">
        <v>23994</v>
      </c>
      <c r="K52" s="1611">
        <v>23994</v>
      </c>
      <c r="L52" s="1173">
        <f>'3.Inbe '!O112</f>
        <v>0</v>
      </c>
    </row>
    <row r="53" spans="1:12" s="15" customFormat="1" ht="36" customHeight="1" x14ac:dyDescent="0.3">
      <c r="A53" s="239">
        <v>47</v>
      </c>
      <c r="B53" s="14">
        <v>18</v>
      </c>
      <c r="C53" s="83"/>
      <c r="D53" s="84"/>
      <c r="E53" s="84"/>
      <c r="F53" s="186" t="s">
        <v>160</v>
      </c>
      <c r="G53" s="18">
        <f>SUM(G54:G54)</f>
        <v>0</v>
      </c>
      <c r="H53" s="18">
        <f>SUM(H54:H54)</f>
        <v>0</v>
      </c>
      <c r="I53" s="18">
        <f>SUM(I54:I54)</f>
        <v>28</v>
      </c>
      <c r="J53" s="902">
        <f>SUM(J54:J54)</f>
        <v>0</v>
      </c>
      <c r="K53" s="1231">
        <f t="shared" ref="K53:L53" si="9">SUM(K54:K54)</f>
        <v>0</v>
      </c>
      <c r="L53" s="1616">
        <f t="shared" si="9"/>
        <v>14</v>
      </c>
    </row>
    <row r="54" spans="1:12" ht="33.75" x14ac:dyDescent="0.35">
      <c r="A54" s="239">
        <v>48</v>
      </c>
      <c r="B54" s="46"/>
      <c r="C54" s="85"/>
      <c r="D54" s="85"/>
      <c r="E54" s="85"/>
      <c r="F54" s="187" t="s">
        <v>218</v>
      </c>
      <c r="G54" s="19"/>
      <c r="H54" s="19"/>
      <c r="I54" s="19">
        <v>28</v>
      </c>
      <c r="J54" s="903"/>
      <c r="L54" s="1605">
        <v>14</v>
      </c>
    </row>
    <row r="55" spans="1:12" s="15" customFormat="1" ht="40.15" customHeight="1" thickBot="1" x14ac:dyDescent="0.35">
      <c r="A55" s="239">
        <v>49</v>
      </c>
      <c r="B55" s="118"/>
      <c r="C55" s="86"/>
      <c r="D55" s="87"/>
      <c r="E55" s="87"/>
      <c r="F55" s="88" t="s">
        <v>161</v>
      </c>
      <c r="G55" s="134">
        <f>SUM(G7,G43,G53)</f>
        <v>44827006</v>
      </c>
      <c r="H55" s="134">
        <f>SUM(H7,H43,H53)</f>
        <v>28951322</v>
      </c>
      <c r="I55" s="134">
        <f>SUM(I7,I43,I53)</f>
        <v>45499680</v>
      </c>
      <c r="J55" s="904">
        <f>SUM(J7,J43,J53)</f>
        <v>30858374</v>
      </c>
      <c r="K55" s="1232">
        <f t="shared" ref="K55:L55" si="10">SUM(K7,K43,K53)</f>
        <v>30209934</v>
      </c>
      <c r="L55" s="1617">
        <f t="shared" si="10"/>
        <v>18249376</v>
      </c>
    </row>
    <row r="56" spans="1:12" s="15" customFormat="1" ht="40.15" customHeight="1" thickTop="1" thickBot="1" x14ac:dyDescent="0.35">
      <c r="A56" s="239">
        <v>50</v>
      </c>
      <c r="B56" s="119"/>
      <c r="C56" s="89"/>
      <c r="D56" s="90"/>
      <c r="E56" s="90"/>
      <c r="F56" s="91" t="s">
        <v>162</v>
      </c>
      <c r="G56" s="280">
        <f>+G55-'2.Onki'!G38</f>
        <v>2318382</v>
      </c>
      <c r="H56" s="280">
        <f>+H55-'2.Onki'!H38</f>
        <v>-20218282</v>
      </c>
      <c r="I56" s="280">
        <f>+I55-'2.Onki'!I38</f>
        <v>-6554468</v>
      </c>
      <c r="J56" s="905">
        <f>+J55-'2.Onki'!J38</f>
        <v>-12231660</v>
      </c>
      <c r="K56" s="1387">
        <f>+K55-'2.Onki'!K38</f>
        <v>-16148157</v>
      </c>
      <c r="L56" s="909">
        <f>+L55-'2.Onki'!L38</f>
        <v>193287</v>
      </c>
    </row>
    <row r="57" spans="1:12" s="15" customFormat="1" ht="36" customHeight="1" x14ac:dyDescent="0.3">
      <c r="A57" s="239">
        <v>51</v>
      </c>
      <c r="B57" s="14"/>
      <c r="C57" s="1385"/>
      <c r="D57" s="13"/>
      <c r="E57" s="13"/>
      <c r="F57" s="15" t="s">
        <v>163</v>
      </c>
      <c r="G57" s="1618">
        <f t="shared" ref="G57:L57" si="11">SUM(G59,G68)+G58</f>
        <v>21096688</v>
      </c>
      <c r="H57" s="1618">
        <f t="shared" si="11"/>
        <v>20651277</v>
      </c>
      <c r="I57" s="1618">
        <f t="shared" si="11"/>
        <v>23797191</v>
      </c>
      <c r="J57" s="906">
        <f t="shared" si="11"/>
        <v>12689397</v>
      </c>
      <c r="K57" s="1619">
        <f t="shared" si="11"/>
        <v>16709413</v>
      </c>
      <c r="L57" s="1620">
        <f t="shared" si="11"/>
        <v>16713108</v>
      </c>
    </row>
    <row r="58" spans="1:12" s="15" customFormat="1" ht="36" customHeight="1" x14ac:dyDescent="0.3">
      <c r="A58" s="239">
        <v>52</v>
      </c>
      <c r="B58" s="14"/>
      <c r="C58" s="1385"/>
      <c r="D58" s="13">
        <v>1</v>
      </c>
      <c r="E58" s="13">
        <v>9</v>
      </c>
      <c r="F58" s="15" t="s">
        <v>221</v>
      </c>
      <c r="G58" s="1618">
        <v>307291</v>
      </c>
      <c r="H58" s="1618"/>
      <c r="I58" s="1618">
        <v>378732</v>
      </c>
      <c r="J58" s="906"/>
      <c r="K58" s="473">
        <v>103519</v>
      </c>
      <c r="L58" s="1621">
        <v>107214</v>
      </c>
    </row>
    <row r="59" spans="1:12" s="15" customFormat="1" ht="33" customHeight="1" x14ac:dyDescent="0.3">
      <c r="A59" s="239">
        <v>53</v>
      </c>
      <c r="B59" s="120"/>
      <c r="C59" s="83"/>
      <c r="D59" s="84"/>
      <c r="E59" s="84"/>
      <c r="F59" s="92" t="s">
        <v>243</v>
      </c>
      <c r="G59" s="18">
        <f>SUM(G60,G64)</f>
        <v>20752528</v>
      </c>
      <c r="H59" s="18">
        <f>SUM(H60,H64)</f>
        <v>20126255</v>
      </c>
      <c r="I59" s="18">
        <f>SUM(I60,I64)</f>
        <v>22898752</v>
      </c>
      <c r="J59" s="902">
        <f>SUM(J60,J64)</f>
        <v>12689397</v>
      </c>
      <c r="K59" s="1231">
        <f t="shared" ref="K59:L59" si="12">SUM(K60,K64)</f>
        <v>16605894</v>
      </c>
      <c r="L59" s="1616">
        <f t="shared" si="12"/>
        <v>16605894</v>
      </c>
    </row>
    <row r="60" spans="1:12" s="53" customFormat="1" ht="24" customHeight="1" x14ac:dyDescent="0.35">
      <c r="A60" s="239">
        <v>54</v>
      </c>
      <c r="B60" s="46"/>
      <c r="C60" s="71"/>
      <c r="D60" s="52">
        <v>1</v>
      </c>
      <c r="E60" s="52">
        <v>8</v>
      </c>
      <c r="F60" s="53" t="s">
        <v>782</v>
      </c>
      <c r="G60" s="1601">
        <f>SUM(G61:G63)</f>
        <v>5745192</v>
      </c>
      <c r="H60" s="1601">
        <f>SUM(H61:H63)</f>
        <v>5112488</v>
      </c>
      <c r="I60" s="1601">
        <f>SUM(I61:I63)</f>
        <v>7764718</v>
      </c>
      <c r="J60" s="897">
        <f>SUM(J61:J63)</f>
        <v>6572145</v>
      </c>
      <c r="K60" s="1602">
        <f t="shared" ref="K60:L60" si="13">SUM(K61:K63)</f>
        <v>10243449</v>
      </c>
      <c r="L60" s="908">
        <f t="shared" si="13"/>
        <v>10243449</v>
      </c>
    </row>
    <row r="61" spans="1:12" x14ac:dyDescent="0.35">
      <c r="A61" s="239">
        <v>55</v>
      </c>
      <c r="B61" s="114" t="s">
        <v>273</v>
      </c>
      <c r="F61" s="1604" t="s">
        <v>164</v>
      </c>
      <c r="G61" s="2">
        <v>899446</v>
      </c>
      <c r="H61" s="2">
        <v>514533</v>
      </c>
      <c r="I61" s="2">
        <v>944483</v>
      </c>
      <c r="J61" s="898">
        <f>430762-116782</f>
        <v>313980</v>
      </c>
      <c r="K61" s="106">
        <v>1044828</v>
      </c>
      <c r="L61" s="1605">
        <v>1044828</v>
      </c>
    </row>
    <row r="62" spans="1:12" x14ac:dyDescent="0.35">
      <c r="A62" s="239">
        <v>56</v>
      </c>
      <c r="B62" s="46">
        <v>17</v>
      </c>
      <c r="F62" s="1604" t="s">
        <v>165</v>
      </c>
      <c r="G62" s="2">
        <v>696995</v>
      </c>
      <c r="H62" s="2">
        <v>204269</v>
      </c>
      <c r="I62" s="2">
        <v>657003</v>
      </c>
      <c r="J62" s="898">
        <v>10712</v>
      </c>
      <c r="K62" s="106">
        <v>625428</v>
      </c>
      <c r="L62" s="1605">
        <v>625428</v>
      </c>
    </row>
    <row r="63" spans="1:12" x14ac:dyDescent="0.35">
      <c r="A63" s="239">
        <v>57</v>
      </c>
      <c r="B63" s="46">
        <v>18</v>
      </c>
      <c r="F63" s="1604" t="s">
        <v>101</v>
      </c>
      <c r="G63" s="2">
        <v>4148751</v>
      </c>
      <c r="H63" s="2">
        <v>4393686</v>
      </c>
      <c r="I63" s="2">
        <v>6163232</v>
      </c>
      <c r="J63" s="898">
        <v>6247453</v>
      </c>
      <c r="K63" s="106">
        <v>8573193</v>
      </c>
      <c r="L63" s="1605">
        <v>8573193</v>
      </c>
    </row>
    <row r="64" spans="1:12" s="53" customFormat="1" ht="24" customHeight="1" x14ac:dyDescent="0.35">
      <c r="A64" s="239">
        <v>58</v>
      </c>
      <c r="B64" s="46"/>
      <c r="C64" s="71"/>
      <c r="D64" s="52">
        <v>2</v>
      </c>
      <c r="E64" s="52">
        <v>11</v>
      </c>
      <c r="F64" s="53" t="s">
        <v>219</v>
      </c>
      <c r="G64" s="1601">
        <f>SUM(G65:G67)</f>
        <v>15007336</v>
      </c>
      <c r="H64" s="1601">
        <f>SUM(H65:H67)</f>
        <v>15013767</v>
      </c>
      <c r="I64" s="1601">
        <f>SUM(I65:I67)</f>
        <v>15134034</v>
      </c>
      <c r="J64" s="897">
        <f>SUM(J65:J67)</f>
        <v>6117252</v>
      </c>
      <c r="K64" s="1602">
        <f t="shared" ref="K64:L64" si="14">SUM(K65:K67)</f>
        <v>6362445</v>
      </c>
      <c r="L64" s="908">
        <f t="shared" si="14"/>
        <v>6362445</v>
      </c>
    </row>
    <row r="65" spans="1:12" s="53" customFormat="1" x14ac:dyDescent="0.35">
      <c r="A65" s="239">
        <v>59</v>
      </c>
      <c r="B65" s="115" t="s">
        <v>273</v>
      </c>
      <c r="C65" s="52"/>
      <c r="D65" s="52"/>
      <c r="E65" s="52"/>
      <c r="F65" s="1622" t="s">
        <v>164</v>
      </c>
      <c r="G65" s="2">
        <v>178511</v>
      </c>
      <c r="H65" s="2">
        <v>218963</v>
      </c>
      <c r="I65" s="2">
        <v>302812</v>
      </c>
      <c r="J65" s="898">
        <v>116782</v>
      </c>
      <c r="K65" s="106">
        <v>215702</v>
      </c>
      <c r="L65" s="1605">
        <v>215702</v>
      </c>
    </row>
    <row r="66" spans="1:12" s="53" customFormat="1" x14ac:dyDescent="0.35">
      <c r="A66" s="239">
        <v>60</v>
      </c>
      <c r="B66" s="115" t="s">
        <v>257</v>
      </c>
      <c r="C66" s="52"/>
      <c r="D66" s="52"/>
      <c r="E66" s="52"/>
      <c r="F66" s="1604" t="s">
        <v>165</v>
      </c>
      <c r="G66" s="2">
        <v>35711</v>
      </c>
      <c r="H66" s="2">
        <v>54678</v>
      </c>
      <c r="I66" s="2">
        <v>65678</v>
      </c>
      <c r="J66" s="898"/>
      <c r="K66" s="106">
        <v>75275</v>
      </c>
      <c r="L66" s="1605">
        <v>75275</v>
      </c>
    </row>
    <row r="67" spans="1:12" s="53" customFormat="1" x14ac:dyDescent="0.35">
      <c r="A67" s="239">
        <v>61</v>
      </c>
      <c r="B67" s="46">
        <v>18</v>
      </c>
      <c r="C67" s="52"/>
      <c r="D67" s="52"/>
      <c r="E67" s="52"/>
      <c r="F67" s="1622" t="s">
        <v>101</v>
      </c>
      <c r="G67" s="2">
        <v>14793114</v>
      </c>
      <c r="H67" s="2">
        <v>14740126</v>
      </c>
      <c r="I67" s="2">
        <v>14765544</v>
      </c>
      <c r="J67" s="898">
        <v>6000470</v>
      </c>
      <c r="K67" s="106">
        <v>6071468</v>
      </c>
      <c r="L67" s="1605">
        <v>6071468</v>
      </c>
    </row>
    <row r="68" spans="1:12" s="15" customFormat="1" ht="30" customHeight="1" x14ac:dyDescent="0.3">
      <c r="A68" s="239">
        <v>62</v>
      </c>
      <c r="B68" s="120"/>
      <c r="C68" s="83"/>
      <c r="D68" s="84"/>
      <c r="E68" s="84"/>
      <c r="F68" s="92" t="s">
        <v>244</v>
      </c>
      <c r="G68" s="18">
        <f>SUM(G69:G71)</f>
        <v>36869</v>
      </c>
      <c r="H68" s="18">
        <f>SUM(H69:H71)</f>
        <v>525022</v>
      </c>
      <c r="I68" s="18">
        <f>SUM(I69:I71)</f>
        <v>519707</v>
      </c>
      <c r="J68" s="902">
        <f>SUM(J69:J71)</f>
        <v>0</v>
      </c>
      <c r="K68" s="1231">
        <f t="shared" ref="K68:L68" si="15">SUM(K69:K71)</f>
        <v>0</v>
      </c>
      <c r="L68" s="1616">
        <f t="shared" si="15"/>
        <v>0</v>
      </c>
    </row>
    <row r="69" spans="1:12" s="53" customFormat="1" ht="24" customHeight="1" x14ac:dyDescent="0.35">
      <c r="A69" s="239">
        <v>63</v>
      </c>
      <c r="B69" s="46">
        <v>18</v>
      </c>
      <c r="C69" s="71"/>
      <c r="D69" s="52">
        <v>2</v>
      </c>
      <c r="E69" s="52">
        <v>10</v>
      </c>
      <c r="F69" s="53" t="s">
        <v>166</v>
      </c>
      <c r="G69" s="1601"/>
      <c r="H69" s="1601"/>
      <c r="I69" s="1601"/>
      <c r="J69" s="897"/>
      <c r="K69" s="1611"/>
      <c r="L69" s="1173"/>
    </row>
    <row r="70" spans="1:12" x14ac:dyDescent="0.35">
      <c r="A70" s="239">
        <v>64</v>
      </c>
      <c r="B70" s="46"/>
      <c r="F70" s="1604" t="s">
        <v>166</v>
      </c>
      <c r="J70" s="898"/>
      <c r="L70" s="1605"/>
    </row>
    <row r="71" spans="1:12" x14ac:dyDescent="0.35">
      <c r="A71" s="239">
        <v>65</v>
      </c>
      <c r="B71" s="46"/>
      <c r="F71" s="93" t="s">
        <v>167</v>
      </c>
      <c r="G71" s="19">
        <v>36869</v>
      </c>
      <c r="H71" s="19">
        <v>525022</v>
      </c>
      <c r="I71" s="19">
        <v>519707</v>
      </c>
      <c r="J71" s="898"/>
      <c r="L71" s="1605"/>
    </row>
    <row r="72" spans="1:12" s="15" customFormat="1" ht="36" customHeight="1" thickBot="1" x14ac:dyDescent="0.35">
      <c r="A72" s="239">
        <v>66</v>
      </c>
      <c r="B72" s="121"/>
      <c r="C72" s="94"/>
      <c r="D72" s="95"/>
      <c r="E72" s="95"/>
      <c r="F72" s="96" t="s">
        <v>168</v>
      </c>
      <c r="G72" s="135">
        <f>SUM(G55,G57)</f>
        <v>65923694</v>
      </c>
      <c r="H72" s="135">
        <f>SUM(H55,H57)</f>
        <v>49602599</v>
      </c>
      <c r="I72" s="135">
        <f>SUM(I55,I57)</f>
        <v>69296871</v>
      </c>
      <c r="J72" s="907">
        <f>SUM(J55,J57)</f>
        <v>43547771</v>
      </c>
      <c r="K72" s="1624">
        <f t="shared" ref="K72:L72" si="16">SUM(K55,K57)</f>
        <v>46919347</v>
      </c>
      <c r="L72" s="1623">
        <f t="shared" si="16"/>
        <v>34962484</v>
      </c>
    </row>
  </sheetData>
  <mergeCells count="3">
    <mergeCell ref="B1:F1"/>
    <mergeCell ref="B2:L2"/>
    <mergeCell ref="B3:L3"/>
  </mergeCells>
  <printOptions horizontalCentered="1"/>
  <pageMargins left="0.19685039370078741" right="0.19685039370078741" top="0.59055118110236227" bottom="0.59055118110236227" header="0.51181102362204722" footer="0.51181102362204722"/>
  <pageSetup paperSize="9" scale="58" fitToHeight="2" orientation="portrait" r:id="rId1"/>
  <headerFooter alignWithMargins="0">
    <oddFooter>&amp;C- &amp;P -</oddFooter>
  </headerFooter>
  <rowBreaks count="1" manualBreakCount="1">
    <brk id="50" max="11"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40"/>
  <sheetViews>
    <sheetView view="pageBreakPreview" topLeftCell="A11" zoomScaleNormal="100" zoomScaleSheetLayoutView="100" workbookViewId="0">
      <selection activeCell="A3" sqref="A3:P3"/>
    </sheetView>
  </sheetViews>
  <sheetFormatPr defaultColWidth="9.140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4" width="14.85546875" style="241" customWidth="1"/>
    <col min="15" max="15" width="15.7109375" style="229" customWidth="1"/>
    <col min="16" max="16" width="13.85546875" style="241" customWidth="1"/>
    <col min="17" max="16384" width="9.140625" style="142"/>
  </cols>
  <sheetData>
    <row r="1" spans="1:256" ht="18" customHeight="1" x14ac:dyDescent="0.3">
      <c r="B1" s="727" t="s">
        <v>1020</v>
      </c>
      <c r="C1" s="727"/>
      <c r="D1" s="727"/>
      <c r="E1" s="1507"/>
      <c r="F1" s="1507"/>
      <c r="G1" s="1507"/>
      <c r="H1" s="1508"/>
      <c r="I1" s="1932"/>
      <c r="J1" s="1932"/>
      <c r="K1" s="1932"/>
      <c r="L1" s="1932"/>
      <c r="M1" s="1932"/>
      <c r="N1" s="1932"/>
      <c r="O1" s="1932"/>
      <c r="P1" s="1932"/>
      <c r="Q1" s="1509"/>
      <c r="R1" s="1509"/>
      <c r="S1" s="1509"/>
      <c r="T1" s="1509"/>
      <c r="U1" s="1509"/>
      <c r="V1" s="1509"/>
      <c r="W1" s="1509"/>
      <c r="X1" s="1509"/>
      <c r="Y1" s="1509"/>
      <c r="Z1" s="1509"/>
      <c r="AA1" s="1509"/>
      <c r="AB1" s="1509"/>
      <c r="AC1" s="1509"/>
      <c r="AD1" s="1509"/>
      <c r="AE1" s="1509"/>
      <c r="AF1" s="1509"/>
      <c r="AG1" s="1509"/>
      <c r="AH1" s="1509"/>
      <c r="AI1" s="1509"/>
      <c r="AJ1" s="1509"/>
      <c r="AK1" s="1509"/>
      <c r="AL1" s="1509"/>
      <c r="AM1" s="1509"/>
      <c r="AN1" s="1509"/>
      <c r="AO1" s="1509"/>
      <c r="AP1" s="1509"/>
      <c r="AQ1" s="1509"/>
      <c r="AR1" s="1509"/>
      <c r="AS1" s="1509"/>
      <c r="AT1" s="1509"/>
      <c r="AU1" s="1509"/>
      <c r="AV1" s="1509"/>
      <c r="AW1" s="1509"/>
      <c r="AX1" s="1509"/>
      <c r="AY1" s="1509"/>
      <c r="AZ1" s="1509"/>
      <c r="BA1" s="1509"/>
      <c r="BB1" s="1509"/>
      <c r="BC1" s="1509"/>
      <c r="BD1" s="1509"/>
      <c r="BE1" s="1509"/>
      <c r="BF1" s="1509"/>
      <c r="BG1" s="1509"/>
      <c r="BH1" s="1509"/>
      <c r="BI1" s="1509"/>
      <c r="BJ1" s="1509"/>
      <c r="BK1" s="1509"/>
      <c r="BL1" s="1509"/>
      <c r="BM1" s="1509"/>
      <c r="BN1" s="1509"/>
      <c r="BO1" s="1509"/>
      <c r="BP1" s="1509"/>
      <c r="BQ1" s="1509"/>
      <c r="BR1" s="1509"/>
      <c r="BS1" s="1509"/>
      <c r="BT1" s="1509"/>
      <c r="BU1" s="1509"/>
      <c r="BV1" s="1509"/>
      <c r="BW1" s="1509"/>
      <c r="BX1" s="1509"/>
      <c r="BY1" s="1509"/>
      <c r="BZ1" s="1509"/>
      <c r="CA1" s="1509"/>
      <c r="CB1" s="1509"/>
      <c r="CC1" s="1509"/>
      <c r="CD1" s="1509"/>
      <c r="CE1" s="1509"/>
      <c r="CF1" s="1509"/>
      <c r="CG1" s="1509"/>
      <c r="CH1" s="1509"/>
      <c r="CI1" s="1509"/>
      <c r="CJ1" s="1509"/>
      <c r="CK1" s="1509"/>
      <c r="CL1" s="1509"/>
      <c r="CM1" s="1509"/>
      <c r="CN1" s="1509"/>
      <c r="CO1" s="1509"/>
      <c r="CP1" s="1509"/>
      <c r="CQ1" s="1509"/>
      <c r="CR1" s="1509"/>
      <c r="CS1" s="1509"/>
      <c r="CT1" s="1509"/>
      <c r="CU1" s="1509"/>
      <c r="CV1" s="1509"/>
      <c r="CW1" s="1509"/>
      <c r="CX1" s="1509"/>
      <c r="CY1" s="1509"/>
      <c r="CZ1" s="1509"/>
      <c r="DA1" s="1509"/>
      <c r="DB1" s="1509"/>
      <c r="DC1" s="1509"/>
      <c r="DD1" s="1509"/>
      <c r="DE1" s="1509"/>
      <c r="DF1" s="1509"/>
      <c r="DG1" s="1509"/>
      <c r="DH1" s="1509"/>
      <c r="DI1" s="1509"/>
      <c r="DJ1" s="1509"/>
      <c r="DK1" s="1509"/>
      <c r="DL1" s="1509"/>
      <c r="DM1" s="1509"/>
      <c r="DN1" s="1509"/>
      <c r="DO1" s="1509"/>
      <c r="DP1" s="1509"/>
      <c r="DQ1" s="1509"/>
      <c r="DR1" s="1509"/>
      <c r="DS1" s="1509"/>
      <c r="DT1" s="1509"/>
      <c r="DU1" s="1509"/>
      <c r="DV1" s="1509"/>
      <c r="DW1" s="1509"/>
      <c r="DX1" s="1509"/>
      <c r="DY1" s="1509"/>
      <c r="DZ1" s="1509"/>
      <c r="EA1" s="1509"/>
      <c r="EB1" s="1509"/>
      <c r="EC1" s="1509"/>
      <c r="ED1" s="1509"/>
      <c r="EE1" s="1509"/>
      <c r="EF1" s="1509"/>
      <c r="EG1" s="1509"/>
      <c r="EH1" s="1509"/>
      <c r="EI1" s="1509"/>
      <c r="EJ1" s="1509"/>
      <c r="EK1" s="1509"/>
      <c r="EL1" s="1509"/>
      <c r="EM1" s="1509"/>
      <c r="EN1" s="1509"/>
      <c r="EO1" s="1509"/>
      <c r="EP1" s="1509"/>
      <c r="EQ1" s="1509"/>
      <c r="ER1" s="1509"/>
      <c r="ES1" s="1509"/>
      <c r="ET1" s="1509"/>
      <c r="EU1" s="1509"/>
      <c r="EV1" s="1509"/>
      <c r="EW1" s="1509"/>
      <c r="EX1" s="1509"/>
      <c r="EY1" s="1509"/>
      <c r="EZ1" s="1509"/>
      <c r="FA1" s="1509"/>
      <c r="FB1" s="1509"/>
      <c r="FC1" s="1509"/>
      <c r="FD1" s="1509"/>
      <c r="FE1" s="1509"/>
      <c r="FF1" s="1509"/>
      <c r="FG1" s="1509"/>
      <c r="FH1" s="1509"/>
      <c r="FI1" s="1509"/>
      <c r="FJ1" s="1509"/>
      <c r="FK1" s="1509"/>
      <c r="FL1" s="1509"/>
      <c r="FM1" s="1509"/>
      <c r="FN1" s="1509"/>
      <c r="FO1" s="1509"/>
      <c r="FP1" s="1509"/>
      <c r="FQ1" s="1509"/>
      <c r="FR1" s="1509"/>
      <c r="FS1" s="1509"/>
      <c r="FT1" s="1509"/>
      <c r="FU1" s="1509"/>
      <c r="FV1" s="1509"/>
      <c r="FW1" s="1509"/>
      <c r="FX1" s="1509"/>
      <c r="FY1" s="1509"/>
      <c r="FZ1" s="1509"/>
      <c r="GA1" s="1509"/>
      <c r="GB1" s="1509"/>
      <c r="GC1" s="1509"/>
      <c r="GD1" s="1509"/>
      <c r="GE1" s="1509"/>
      <c r="GF1" s="1509"/>
      <c r="GG1" s="1509"/>
      <c r="GH1" s="1509"/>
      <c r="GI1" s="1509"/>
      <c r="GJ1" s="1509"/>
      <c r="GK1" s="1509"/>
      <c r="GL1" s="1509"/>
      <c r="GM1" s="1509"/>
      <c r="GN1" s="1509"/>
      <c r="GO1" s="1509"/>
      <c r="GP1" s="1509"/>
      <c r="GQ1" s="1509"/>
      <c r="GR1" s="1509"/>
      <c r="GS1" s="1509"/>
      <c r="GT1" s="1509"/>
      <c r="GU1" s="1509"/>
      <c r="GV1" s="1509"/>
      <c r="GW1" s="1509"/>
      <c r="GX1" s="1509"/>
      <c r="GY1" s="1509"/>
      <c r="GZ1" s="1509"/>
      <c r="HA1" s="1509"/>
      <c r="HB1" s="1509"/>
      <c r="HC1" s="1509"/>
      <c r="HD1" s="1509"/>
      <c r="HE1" s="1509"/>
      <c r="HF1" s="1509"/>
      <c r="HG1" s="1509"/>
      <c r="HH1" s="1509"/>
      <c r="HI1" s="1509"/>
      <c r="HJ1" s="1509"/>
      <c r="HK1" s="1509"/>
      <c r="HL1" s="1509"/>
      <c r="HM1" s="1509"/>
      <c r="HN1" s="1509"/>
      <c r="HO1" s="1509"/>
      <c r="HP1" s="1509"/>
      <c r="HQ1" s="1509"/>
      <c r="HR1" s="1509"/>
      <c r="HS1" s="1509"/>
      <c r="HT1" s="1509"/>
      <c r="HU1" s="1509"/>
      <c r="HV1" s="1509"/>
      <c r="HW1" s="1509"/>
      <c r="HX1" s="1509"/>
      <c r="HY1" s="1509"/>
      <c r="HZ1" s="1509"/>
      <c r="IA1" s="1509"/>
      <c r="IB1" s="1509"/>
      <c r="IC1" s="1509"/>
      <c r="ID1" s="1509"/>
      <c r="IE1" s="1509"/>
      <c r="IF1" s="1509"/>
      <c r="IG1" s="1509"/>
      <c r="IH1" s="1509"/>
      <c r="II1" s="1509"/>
      <c r="IJ1" s="1509"/>
      <c r="IK1" s="1509"/>
      <c r="IL1" s="1509"/>
      <c r="IM1" s="1509"/>
      <c r="IN1" s="1509"/>
      <c r="IO1" s="1509"/>
      <c r="IP1" s="1509"/>
    </row>
    <row r="2" spans="1:256" ht="24.75" customHeight="1" x14ac:dyDescent="0.35">
      <c r="A2" s="1933" t="s">
        <v>14</v>
      </c>
      <c r="B2" s="1933"/>
      <c r="C2" s="1933"/>
      <c r="D2" s="1933"/>
      <c r="E2" s="1933"/>
      <c r="F2" s="1933"/>
      <c r="G2" s="1933"/>
      <c r="H2" s="1933"/>
      <c r="I2" s="1933"/>
      <c r="J2" s="1933"/>
      <c r="K2" s="1933"/>
      <c r="L2" s="1933"/>
      <c r="M2" s="1933"/>
      <c r="N2" s="1933"/>
      <c r="O2" s="1933"/>
      <c r="P2" s="1933"/>
    </row>
    <row r="3" spans="1:256" ht="24.75" customHeight="1" x14ac:dyDescent="0.35">
      <c r="A3" s="1982" t="s">
        <v>1021</v>
      </c>
      <c r="B3" s="1982"/>
      <c r="C3" s="1982"/>
      <c r="D3" s="1982"/>
      <c r="E3" s="1982"/>
      <c r="F3" s="1982"/>
      <c r="G3" s="1982"/>
      <c r="H3" s="1982"/>
      <c r="I3" s="1982"/>
      <c r="J3" s="1982"/>
      <c r="K3" s="1982"/>
      <c r="L3" s="1982"/>
      <c r="M3" s="1982"/>
      <c r="N3" s="1982"/>
      <c r="O3" s="1982"/>
      <c r="P3" s="1982"/>
    </row>
    <row r="4" spans="1:256" s="207" customFormat="1" ht="18" customHeight="1" x14ac:dyDescent="0.3">
      <c r="A4" s="209"/>
      <c r="B4" s="209"/>
      <c r="C4" s="209"/>
      <c r="E4" s="206"/>
      <c r="F4" s="206"/>
      <c r="G4" s="206"/>
      <c r="H4" s="247"/>
      <c r="I4" s="206"/>
      <c r="J4" s="206"/>
      <c r="K4" s="206"/>
      <c r="L4" s="206"/>
      <c r="M4" s="206"/>
      <c r="N4" s="206"/>
      <c r="O4" s="248"/>
      <c r="P4" s="208" t="s">
        <v>0</v>
      </c>
    </row>
    <row r="5" spans="1:256" s="236" customFormat="1" ht="18" customHeight="1" thickBot="1" x14ac:dyDescent="0.35">
      <c r="A5" s="249"/>
      <c r="B5" s="250" t="s">
        <v>1</v>
      </c>
      <c r="C5" s="251" t="s">
        <v>3</v>
      </c>
      <c r="D5" s="251" t="s">
        <v>2</v>
      </c>
      <c r="E5" s="251" t="s">
        <v>4</v>
      </c>
      <c r="F5" s="251" t="s">
        <v>5</v>
      </c>
      <c r="G5" s="251" t="s">
        <v>15</v>
      </c>
      <c r="H5" s="251" t="s">
        <v>16</v>
      </c>
      <c r="I5" s="251" t="s">
        <v>17</v>
      </c>
      <c r="J5" s="251" t="s">
        <v>32</v>
      </c>
      <c r="K5" s="251" t="s">
        <v>28</v>
      </c>
      <c r="L5" s="251" t="s">
        <v>23</v>
      </c>
      <c r="M5" s="251" t="s">
        <v>33</v>
      </c>
      <c r="N5" s="251" t="s">
        <v>34</v>
      </c>
      <c r="O5" s="251" t="s">
        <v>126</v>
      </c>
      <c r="P5" s="251" t="s">
        <v>127</v>
      </c>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249"/>
      <c r="BH5" s="249"/>
      <c r="BI5" s="249"/>
      <c r="BJ5" s="249"/>
      <c r="BK5" s="249"/>
      <c r="BL5" s="249"/>
      <c r="BM5" s="249"/>
      <c r="BN5" s="249"/>
      <c r="BO5" s="249"/>
      <c r="BP5" s="249"/>
      <c r="BQ5" s="249"/>
      <c r="BR5" s="249"/>
      <c r="BS5" s="249"/>
      <c r="BT5" s="249"/>
      <c r="BU5" s="249"/>
      <c r="BV5" s="249"/>
      <c r="BW5" s="249"/>
      <c r="BX5" s="249"/>
      <c r="BY5" s="249"/>
      <c r="BZ5" s="249"/>
      <c r="CA5" s="249"/>
      <c r="CB5" s="249"/>
      <c r="CC5" s="249"/>
      <c r="CD5" s="249"/>
      <c r="CE5" s="249"/>
      <c r="CF5" s="249"/>
      <c r="CG5" s="249"/>
      <c r="CH5" s="249"/>
      <c r="CI5" s="249"/>
      <c r="CJ5" s="249"/>
      <c r="CK5" s="249"/>
      <c r="CL5" s="249"/>
      <c r="CM5" s="249"/>
      <c r="CN5" s="249"/>
      <c r="CO5" s="249"/>
      <c r="CP5" s="249"/>
      <c r="CQ5" s="249"/>
      <c r="CR5" s="249"/>
      <c r="CS5" s="249"/>
      <c r="CT5" s="249"/>
      <c r="CU5" s="249"/>
      <c r="CV5" s="249"/>
      <c r="CW5" s="249"/>
      <c r="CX5" s="249"/>
      <c r="CY5" s="249"/>
      <c r="CZ5" s="249"/>
      <c r="DA5" s="249"/>
      <c r="DB5" s="249"/>
      <c r="DC5" s="249"/>
      <c r="DD5" s="249"/>
      <c r="DE5" s="249"/>
      <c r="DF5" s="249"/>
      <c r="DG5" s="249"/>
      <c r="DH5" s="249"/>
      <c r="DI5" s="249"/>
      <c r="DJ5" s="249"/>
      <c r="DK5" s="249"/>
      <c r="DL5" s="249"/>
      <c r="DM5" s="249"/>
      <c r="DN5" s="249"/>
      <c r="DO5" s="249"/>
      <c r="DP5" s="249"/>
      <c r="DQ5" s="249"/>
      <c r="DR5" s="249"/>
      <c r="DS5" s="249"/>
      <c r="DT5" s="249"/>
      <c r="DU5" s="249"/>
      <c r="DV5" s="249"/>
      <c r="DW5" s="249"/>
      <c r="DX5" s="249"/>
      <c r="DY5" s="249"/>
      <c r="DZ5" s="249"/>
      <c r="EA5" s="249"/>
      <c r="EB5" s="249"/>
      <c r="EC5" s="249"/>
      <c r="ED5" s="249"/>
      <c r="EE5" s="249"/>
      <c r="EF5" s="249"/>
      <c r="EG5" s="249"/>
      <c r="EH5" s="249"/>
      <c r="EI5" s="249"/>
      <c r="EJ5" s="249"/>
      <c r="EK5" s="249"/>
      <c r="EL5" s="249"/>
      <c r="EM5" s="249"/>
      <c r="EN5" s="249"/>
      <c r="EO5" s="249"/>
      <c r="EP5" s="249"/>
      <c r="EQ5" s="249"/>
      <c r="ER5" s="249"/>
      <c r="ES5" s="249"/>
      <c r="ET5" s="249"/>
      <c r="EU5" s="249"/>
      <c r="EV5" s="249"/>
      <c r="EW5" s="249"/>
      <c r="EX5" s="249"/>
      <c r="EY5" s="249"/>
      <c r="EZ5" s="249"/>
      <c r="FA5" s="249"/>
      <c r="FB5" s="249"/>
      <c r="FC5" s="249"/>
      <c r="FD5" s="249"/>
      <c r="FE5" s="249"/>
      <c r="FF5" s="249"/>
      <c r="FG5" s="249"/>
      <c r="FH5" s="249"/>
      <c r="FI5" s="249"/>
      <c r="FJ5" s="249"/>
      <c r="FK5" s="249"/>
      <c r="FL5" s="249"/>
      <c r="FM5" s="249"/>
      <c r="FN5" s="249"/>
      <c r="FO5" s="249"/>
      <c r="FP5" s="249"/>
      <c r="FQ5" s="249"/>
      <c r="FR5" s="249"/>
      <c r="FS5" s="249"/>
      <c r="FT5" s="249"/>
      <c r="FU5" s="249"/>
      <c r="FV5" s="249"/>
      <c r="FW5" s="249"/>
      <c r="FX5" s="249"/>
      <c r="FY5" s="249"/>
      <c r="FZ5" s="249"/>
      <c r="GA5" s="249"/>
      <c r="GB5" s="249"/>
      <c r="GC5" s="249"/>
      <c r="GD5" s="249"/>
      <c r="GE5" s="249"/>
      <c r="GF5" s="249"/>
      <c r="GG5" s="249"/>
      <c r="GH5" s="249"/>
      <c r="GI5" s="249"/>
      <c r="GJ5" s="249"/>
      <c r="GK5" s="249"/>
      <c r="GL5" s="249"/>
      <c r="GM5" s="249"/>
      <c r="GN5" s="249"/>
      <c r="GO5" s="249"/>
      <c r="GP5" s="249"/>
      <c r="GQ5" s="249"/>
      <c r="GR5" s="249"/>
      <c r="GS5" s="249"/>
      <c r="GT5" s="249"/>
      <c r="GU5" s="249"/>
      <c r="GV5" s="249"/>
      <c r="GW5" s="249"/>
      <c r="GX5" s="249"/>
      <c r="GY5" s="249"/>
      <c r="GZ5" s="249"/>
      <c r="HA5" s="249"/>
      <c r="HB5" s="249"/>
      <c r="HC5" s="249"/>
      <c r="HD5" s="249"/>
      <c r="HE5" s="249"/>
      <c r="HF5" s="249"/>
      <c r="HG5" s="249"/>
      <c r="HH5" s="249"/>
      <c r="HI5" s="249"/>
      <c r="HJ5" s="249"/>
      <c r="HK5" s="249"/>
      <c r="HL5" s="249"/>
      <c r="HM5" s="249"/>
      <c r="HN5" s="249"/>
      <c r="HO5" s="249"/>
      <c r="HP5" s="249"/>
      <c r="HQ5" s="249"/>
      <c r="HR5" s="249"/>
      <c r="HS5" s="249"/>
      <c r="HT5" s="249"/>
      <c r="HU5" s="249"/>
      <c r="HV5" s="249"/>
      <c r="HW5" s="249"/>
      <c r="HX5" s="249"/>
      <c r="HY5" s="249"/>
      <c r="HZ5" s="249"/>
      <c r="IA5" s="249"/>
      <c r="IB5" s="249"/>
      <c r="IC5" s="249"/>
      <c r="ID5" s="249"/>
      <c r="IE5" s="249"/>
      <c r="IF5" s="249"/>
      <c r="IG5" s="249"/>
      <c r="IH5" s="249"/>
      <c r="II5" s="249"/>
      <c r="IJ5" s="249"/>
      <c r="IK5" s="249"/>
      <c r="IL5" s="249"/>
      <c r="IM5" s="249"/>
      <c r="IN5" s="249"/>
      <c r="IO5" s="249"/>
      <c r="IP5" s="249"/>
    </row>
    <row r="6" spans="1:256" ht="22.5" customHeight="1" x14ac:dyDescent="0.3">
      <c r="B6" s="1976" t="s">
        <v>18</v>
      </c>
      <c r="C6" s="1972" t="s">
        <v>19</v>
      </c>
      <c r="D6" s="1983" t="s">
        <v>6</v>
      </c>
      <c r="E6" s="1979" t="s">
        <v>521</v>
      </c>
      <c r="F6" s="1979" t="s">
        <v>550</v>
      </c>
      <c r="G6" s="1986" t="s">
        <v>957</v>
      </c>
      <c r="H6" s="1959" t="s">
        <v>20</v>
      </c>
      <c r="I6" s="1989" t="s">
        <v>524</v>
      </c>
      <c r="J6" s="1979"/>
      <c r="K6" s="1979"/>
      <c r="L6" s="1979"/>
      <c r="M6" s="1979"/>
      <c r="N6" s="1979"/>
      <c r="O6" s="1990"/>
      <c r="P6" s="1991" t="s">
        <v>551</v>
      </c>
      <c r="Q6" s="1975"/>
      <c r="R6" s="1975"/>
    </row>
    <row r="7" spans="1:256" ht="33" customHeight="1" x14ac:dyDescent="0.3">
      <c r="B7" s="1977"/>
      <c r="C7" s="1973"/>
      <c r="D7" s="1984"/>
      <c r="E7" s="1980"/>
      <c r="F7" s="1980"/>
      <c r="G7" s="1987"/>
      <c r="H7" s="1960"/>
      <c r="I7" s="1994" t="s">
        <v>333</v>
      </c>
      <c r="J7" s="1995"/>
      <c r="K7" s="1996"/>
      <c r="L7" s="1996"/>
      <c r="M7" s="1997" t="s">
        <v>129</v>
      </c>
      <c r="N7" s="1997"/>
      <c r="O7" s="1967" t="s">
        <v>102</v>
      </c>
      <c r="P7" s="1992"/>
    </row>
    <row r="8" spans="1:256" ht="53.25" customHeight="1" thickBot="1" x14ac:dyDescent="0.35">
      <c r="B8" s="1978"/>
      <c r="C8" s="1974"/>
      <c r="D8" s="1985"/>
      <c r="E8" s="1981"/>
      <c r="F8" s="1981"/>
      <c r="G8" s="1988"/>
      <c r="H8" s="1961"/>
      <c r="I8" s="258" t="s">
        <v>36</v>
      </c>
      <c r="J8" s="212" t="s">
        <v>331</v>
      </c>
      <c r="K8" s="213" t="s">
        <v>38</v>
      </c>
      <c r="L8" s="213" t="s">
        <v>332</v>
      </c>
      <c r="M8" s="212" t="s">
        <v>193</v>
      </c>
      <c r="N8" s="212" t="s">
        <v>130</v>
      </c>
      <c r="O8" s="1968"/>
      <c r="P8" s="1993"/>
    </row>
    <row r="9" spans="1:256" s="216" customFormat="1" ht="22.5" customHeight="1" x14ac:dyDescent="0.35">
      <c r="A9" s="228">
        <v>1</v>
      </c>
      <c r="B9" s="214">
        <v>18</v>
      </c>
      <c r="C9" s="225" t="s">
        <v>14</v>
      </c>
      <c r="D9" s="253"/>
      <c r="E9" s="149"/>
      <c r="F9" s="147"/>
      <c r="G9" s="148"/>
      <c r="H9" s="262"/>
      <c r="I9" s="259"/>
      <c r="J9" s="231"/>
      <c r="K9" s="231"/>
      <c r="L9" s="231"/>
      <c r="M9" s="231"/>
      <c r="N9" s="231"/>
      <c r="O9" s="215"/>
      <c r="P9" s="217"/>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2"/>
      <c r="CN9" s="142"/>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2"/>
      <c r="EG9" s="142"/>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2"/>
      <c r="IT9" s="142"/>
      <c r="IU9" s="142"/>
      <c r="IV9" s="142"/>
    </row>
    <row r="10" spans="1:256" s="216" customFormat="1" ht="22.5" customHeight="1" x14ac:dyDescent="0.35">
      <c r="A10" s="228">
        <v>2</v>
      </c>
      <c r="B10" s="223"/>
      <c r="C10" s="159">
        <v>2</v>
      </c>
      <c r="D10" s="218" t="s">
        <v>958</v>
      </c>
      <c r="E10" s="151">
        <f>F10+G10+O12+P11</f>
        <v>9280000</v>
      </c>
      <c r="F10" s="219">
        <f>324476+484396+427002+450929+50000+2832016</f>
        <v>4568819</v>
      </c>
      <c r="G10" s="152">
        <v>35972</v>
      </c>
      <c r="H10" s="263" t="s">
        <v>24</v>
      </c>
      <c r="I10" s="276"/>
      <c r="J10" s="272"/>
      <c r="K10" s="256"/>
      <c r="L10" s="256"/>
      <c r="M10" s="256"/>
      <c r="N10" s="256"/>
      <c r="O10" s="224"/>
      <c r="P10" s="220"/>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spans="1:256" s="1516" customFormat="1" ht="18" customHeight="1" x14ac:dyDescent="0.35">
      <c r="A11" s="228">
        <v>3</v>
      </c>
      <c r="B11" s="1510"/>
      <c r="C11" s="1511"/>
      <c r="D11" s="1512" t="s">
        <v>252</v>
      </c>
      <c r="E11" s="151"/>
      <c r="F11" s="219"/>
      <c r="G11" s="152"/>
      <c r="H11" s="1513"/>
      <c r="I11" s="276"/>
      <c r="J11" s="272"/>
      <c r="K11" s="256">
        <v>1888</v>
      </c>
      <c r="L11" s="256"/>
      <c r="M11" s="256">
        <v>4673321</v>
      </c>
      <c r="N11" s="256"/>
      <c r="O11" s="254">
        <f>SUM(I11:N11)</f>
        <v>4675209</v>
      </c>
      <c r="P11" s="1514"/>
      <c r="Q11" s="1515"/>
    </row>
    <row r="12" spans="1:256" s="1516" customFormat="1" ht="18" customHeight="1" x14ac:dyDescent="0.35">
      <c r="A12" s="228">
        <v>4</v>
      </c>
      <c r="B12" s="1510"/>
      <c r="C12" s="1511"/>
      <c r="D12" s="923" t="s">
        <v>921</v>
      </c>
      <c r="E12" s="151"/>
      <c r="F12" s="219"/>
      <c r="G12" s="152"/>
      <c r="H12" s="1513"/>
      <c r="I12" s="373"/>
      <c r="J12" s="384"/>
      <c r="K12" s="384">
        <v>1888</v>
      </c>
      <c r="L12" s="384"/>
      <c r="M12" s="384">
        <v>4673321</v>
      </c>
      <c r="N12" s="384"/>
      <c r="O12" s="224">
        <f>SUM(I12:N12)</f>
        <v>4675209</v>
      </c>
      <c r="P12" s="1524"/>
      <c r="Q12" s="1515"/>
    </row>
    <row r="13" spans="1:256" s="1516" customFormat="1" ht="18" customHeight="1" x14ac:dyDescent="0.35">
      <c r="A13" s="228">
        <v>5</v>
      </c>
      <c r="B13" s="1510"/>
      <c r="C13" s="1511"/>
      <c r="D13" s="920" t="s">
        <v>973</v>
      </c>
      <c r="E13" s="151"/>
      <c r="F13" s="219"/>
      <c r="G13" s="152"/>
      <c r="H13" s="1513"/>
      <c r="I13" s="1190"/>
      <c r="J13" s="1532"/>
      <c r="K13" s="1752">
        <v>100</v>
      </c>
      <c r="L13" s="1752"/>
      <c r="M13" s="1752">
        <v>0</v>
      </c>
      <c r="N13" s="1530"/>
      <c r="O13" s="1531">
        <f t="shared" ref="O13" si="0">SUM(I13:N13)</f>
        <v>100</v>
      </c>
      <c r="P13" s="1524"/>
      <c r="Q13" s="1515"/>
    </row>
    <row r="14" spans="1:256" s="216" customFormat="1" ht="22.5" customHeight="1" x14ac:dyDescent="0.35">
      <c r="A14" s="228">
        <v>6</v>
      </c>
      <c r="B14" s="223"/>
      <c r="C14" s="159">
        <v>4</v>
      </c>
      <c r="D14" s="1517" t="s">
        <v>959</v>
      </c>
      <c r="E14" s="151">
        <f>F14+G14+O16+P15</f>
        <v>66111</v>
      </c>
      <c r="F14" s="219">
        <v>35789</v>
      </c>
      <c r="G14" s="152">
        <v>25052</v>
      </c>
      <c r="H14" s="263" t="s">
        <v>24</v>
      </c>
      <c r="I14" s="276"/>
      <c r="J14" s="272"/>
      <c r="K14" s="256"/>
      <c r="L14" s="256"/>
      <c r="M14" s="256"/>
      <c r="N14" s="256"/>
      <c r="O14" s="254"/>
      <c r="P14" s="220"/>
      <c r="Q14" s="142"/>
      <c r="R14" s="142"/>
      <c r="S14" s="142"/>
      <c r="T14" s="142"/>
      <c r="U14" s="142"/>
      <c r="V14" s="142"/>
      <c r="W14" s="142"/>
      <c r="X14" s="142"/>
      <c r="Y14" s="142"/>
      <c r="Z14" s="142"/>
      <c r="AA14" s="142"/>
      <c r="AB14" s="142"/>
      <c r="AC14" s="142"/>
      <c r="AD14" s="142"/>
      <c r="AE14" s="142"/>
      <c r="AF14" s="142"/>
      <c r="AG14" s="142"/>
      <c r="AH14" s="142"/>
      <c r="AI14" s="142"/>
      <c r="AJ14" s="142"/>
      <c r="AK14" s="142"/>
      <c r="AL14" s="142"/>
      <c r="AM14" s="142"/>
      <c r="AN14" s="142"/>
      <c r="AO14" s="142"/>
      <c r="AP14" s="142"/>
      <c r="AQ14" s="142"/>
      <c r="AR14" s="142"/>
      <c r="AS14" s="142"/>
      <c r="AT14" s="142"/>
      <c r="AU14" s="142"/>
      <c r="AV14" s="142"/>
      <c r="AW14" s="142"/>
      <c r="AX14" s="142"/>
      <c r="AY14" s="142"/>
      <c r="AZ14" s="142"/>
      <c r="BA14" s="142"/>
      <c r="BB14" s="142"/>
      <c r="BC14" s="142"/>
      <c r="BD14" s="142"/>
      <c r="BE14" s="142"/>
      <c r="BF14" s="142"/>
      <c r="BG14" s="142"/>
      <c r="BH14" s="142"/>
      <c r="BI14" s="142"/>
      <c r="BJ14" s="142"/>
      <c r="BK14" s="142"/>
      <c r="BL14" s="142"/>
      <c r="BM14" s="142"/>
      <c r="BN14" s="142"/>
      <c r="BO14" s="142"/>
      <c r="BP14" s="142"/>
      <c r="BQ14" s="142"/>
      <c r="BR14" s="142"/>
      <c r="BS14" s="142"/>
      <c r="BT14" s="142"/>
      <c r="BU14" s="142"/>
      <c r="BV14" s="142"/>
      <c r="BW14" s="142"/>
      <c r="BX14" s="142"/>
      <c r="BY14" s="142"/>
      <c r="BZ14" s="142"/>
      <c r="CA14" s="142"/>
      <c r="CB14" s="142"/>
      <c r="CC14" s="142"/>
      <c r="CD14" s="142"/>
      <c r="CE14" s="142"/>
      <c r="CF14" s="142"/>
      <c r="CG14" s="142"/>
      <c r="CH14" s="142"/>
      <c r="CI14" s="142"/>
      <c r="CJ14" s="142"/>
      <c r="CK14" s="142"/>
      <c r="CL14" s="142"/>
      <c r="CM14" s="142"/>
      <c r="CN14" s="142"/>
      <c r="CO14" s="142"/>
      <c r="CP14" s="142"/>
      <c r="CQ14" s="142"/>
      <c r="CR14" s="142"/>
      <c r="CS14" s="142"/>
      <c r="CT14" s="142"/>
      <c r="CU14" s="142"/>
      <c r="CV14" s="142"/>
      <c r="CW14" s="142"/>
      <c r="CX14" s="142"/>
      <c r="CY14" s="142"/>
      <c r="CZ14" s="142"/>
      <c r="DA14" s="142"/>
      <c r="DB14" s="142"/>
      <c r="DC14" s="142"/>
      <c r="DD14" s="142"/>
      <c r="DE14" s="142"/>
      <c r="DF14" s="142"/>
      <c r="DG14" s="142"/>
      <c r="DH14" s="142"/>
      <c r="DI14" s="142"/>
      <c r="DJ14" s="142"/>
      <c r="DK14" s="142"/>
      <c r="DL14" s="142"/>
      <c r="DM14" s="142"/>
      <c r="DN14" s="142"/>
      <c r="DO14" s="142"/>
      <c r="DP14" s="142"/>
      <c r="DQ14" s="142"/>
      <c r="DR14" s="142"/>
      <c r="DS14" s="142"/>
      <c r="DT14" s="142"/>
      <c r="DU14" s="142"/>
      <c r="DV14" s="142"/>
      <c r="DW14" s="142"/>
      <c r="DX14" s="142"/>
      <c r="DY14" s="142"/>
      <c r="DZ14" s="142"/>
      <c r="EA14" s="142"/>
      <c r="EB14" s="142"/>
      <c r="EC14" s="142"/>
      <c r="ED14" s="142"/>
      <c r="EE14" s="142"/>
      <c r="EF14" s="142"/>
      <c r="EG14" s="142"/>
      <c r="EH14" s="142"/>
      <c r="EI14" s="142"/>
      <c r="EJ14" s="142"/>
      <c r="EK14" s="142"/>
      <c r="EL14" s="142"/>
      <c r="EM14" s="142"/>
      <c r="EN14" s="142"/>
      <c r="EO14" s="142"/>
      <c r="EP14" s="142"/>
      <c r="EQ14" s="142"/>
      <c r="ER14" s="142"/>
      <c r="ES14" s="142"/>
      <c r="ET14" s="142"/>
      <c r="EU14" s="142"/>
      <c r="EV14" s="142"/>
      <c r="EW14" s="142"/>
      <c r="EX14" s="142"/>
      <c r="EY14" s="142"/>
      <c r="EZ14" s="142"/>
      <c r="FA14" s="142"/>
      <c r="FB14" s="142"/>
      <c r="FC14" s="142"/>
      <c r="FD14" s="142"/>
      <c r="FE14" s="142"/>
      <c r="FF14" s="142"/>
      <c r="FG14" s="142"/>
      <c r="FH14" s="142"/>
      <c r="FI14" s="142"/>
      <c r="FJ14" s="142"/>
      <c r="FK14" s="142"/>
      <c r="FL14" s="142"/>
      <c r="FM14" s="142"/>
      <c r="FN14" s="142"/>
      <c r="FO14" s="142"/>
      <c r="FP14" s="142"/>
      <c r="FQ14" s="142"/>
      <c r="FR14" s="142"/>
      <c r="FS14" s="142"/>
      <c r="FT14" s="142"/>
      <c r="FU14" s="142"/>
      <c r="FV14" s="142"/>
      <c r="FW14" s="142"/>
      <c r="FX14" s="142"/>
      <c r="FY14" s="142"/>
      <c r="FZ14" s="142"/>
      <c r="GA14" s="142"/>
      <c r="GB14" s="142"/>
      <c r="GC14" s="142"/>
      <c r="GD14" s="142"/>
      <c r="GE14" s="142"/>
      <c r="GF14" s="142"/>
      <c r="GG14" s="142"/>
      <c r="GH14" s="142"/>
      <c r="GI14" s="142"/>
      <c r="GJ14" s="142"/>
      <c r="GK14" s="142"/>
      <c r="GL14" s="142"/>
      <c r="GM14" s="142"/>
      <c r="GN14" s="142"/>
      <c r="GO14" s="142"/>
      <c r="GP14" s="142"/>
      <c r="GQ14" s="142"/>
      <c r="GR14" s="142"/>
      <c r="GS14" s="142"/>
      <c r="GT14" s="142"/>
      <c r="GU14" s="142"/>
      <c r="GV14" s="142"/>
      <c r="GW14" s="142"/>
      <c r="GX14" s="142"/>
      <c r="GY14" s="142"/>
      <c r="GZ14" s="142"/>
      <c r="HA14" s="142"/>
      <c r="HB14" s="142"/>
      <c r="HC14" s="142"/>
      <c r="HD14" s="142"/>
      <c r="HE14" s="142"/>
      <c r="HF14" s="142"/>
      <c r="HG14" s="142"/>
      <c r="HH14" s="142"/>
      <c r="HI14" s="142"/>
      <c r="HJ14" s="142"/>
      <c r="HK14" s="142"/>
      <c r="HL14" s="142"/>
      <c r="HM14" s="142"/>
      <c r="HN14" s="142"/>
      <c r="HO14" s="142"/>
      <c r="HP14" s="142"/>
      <c r="HQ14" s="142"/>
      <c r="HR14" s="142"/>
      <c r="HS14" s="142"/>
      <c r="HT14" s="142"/>
      <c r="HU14" s="142"/>
      <c r="HV14" s="142"/>
      <c r="HW14" s="142"/>
      <c r="HX14" s="142"/>
      <c r="HY14" s="142"/>
      <c r="HZ14" s="142"/>
      <c r="IA14" s="142"/>
      <c r="IB14" s="142"/>
      <c r="IC14" s="142"/>
      <c r="ID14" s="142"/>
      <c r="IE14" s="142"/>
      <c r="IF14" s="142"/>
      <c r="IG14" s="142"/>
      <c r="IH14" s="142"/>
      <c r="II14" s="142"/>
      <c r="IJ14" s="142"/>
      <c r="IK14" s="142"/>
      <c r="IL14" s="142"/>
      <c r="IM14" s="142"/>
      <c r="IN14" s="142"/>
      <c r="IO14" s="142"/>
      <c r="IP14" s="142"/>
      <c r="IQ14" s="142"/>
      <c r="IR14" s="142"/>
      <c r="IS14" s="142"/>
      <c r="IT14" s="142"/>
      <c r="IU14" s="142"/>
      <c r="IV14" s="142"/>
    </row>
    <row r="15" spans="1:256" s="216" customFormat="1" ht="18" customHeight="1" x14ac:dyDescent="0.35">
      <c r="A15" s="228">
        <v>7</v>
      </c>
      <c r="B15" s="223"/>
      <c r="C15" s="143"/>
      <c r="D15" s="257" t="s">
        <v>252</v>
      </c>
      <c r="E15" s="151"/>
      <c r="F15" s="219"/>
      <c r="G15" s="152"/>
      <c r="H15" s="263"/>
      <c r="I15" s="276"/>
      <c r="J15" s="272"/>
      <c r="K15" s="256">
        <v>5270</v>
      </c>
      <c r="L15" s="256"/>
      <c r="M15" s="256"/>
      <c r="N15" s="256"/>
      <c r="O15" s="254">
        <f>SUM(I15:N15)</f>
        <v>5270</v>
      </c>
      <c r="P15" s="220"/>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142"/>
      <c r="DW15" s="142"/>
      <c r="DX15" s="142"/>
      <c r="DY15" s="142"/>
      <c r="DZ15" s="142"/>
      <c r="EA15" s="142"/>
      <c r="EB15" s="142"/>
      <c r="EC15" s="142"/>
      <c r="ED15" s="142"/>
      <c r="EE15" s="142"/>
      <c r="EF15" s="142"/>
      <c r="EG15" s="142"/>
      <c r="EH15" s="142"/>
      <c r="EI15" s="142"/>
      <c r="EJ15" s="142"/>
      <c r="EK15" s="142"/>
      <c r="EL15" s="142"/>
      <c r="EM15" s="142"/>
      <c r="EN15" s="142"/>
      <c r="EO15" s="142"/>
      <c r="EP15" s="142"/>
      <c r="EQ15" s="142"/>
      <c r="ER15" s="142"/>
      <c r="ES15" s="142"/>
      <c r="ET15" s="142"/>
      <c r="EU15" s="142"/>
      <c r="EV15" s="142"/>
      <c r="EW15" s="142"/>
      <c r="EX15" s="142"/>
      <c r="EY15" s="142"/>
      <c r="EZ15" s="142"/>
      <c r="FA15" s="142"/>
      <c r="FB15" s="142"/>
      <c r="FC15" s="142"/>
      <c r="FD15" s="142"/>
      <c r="FE15" s="142"/>
      <c r="FF15" s="142"/>
      <c r="FG15" s="142"/>
      <c r="FH15" s="142"/>
      <c r="FI15" s="142"/>
      <c r="FJ15" s="142"/>
      <c r="FK15" s="142"/>
      <c r="FL15" s="142"/>
      <c r="FM15" s="142"/>
      <c r="FN15" s="142"/>
      <c r="FO15" s="142"/>
      <c r="FP15" s="142"/>
      <c r="FQ15" s="142"/>
      <c r="FR15" s="142"/>
      <c r="FS15" s="142"/>
      <c r="FT15" s="142"/>
      <c r="FU15" s="142"/>
      <c r="FV15" s="142"/>
      <c r="FW15" s="142"/>
      <c r="FX15" s="142"/>
      <c r="FY15" s="142"/>
      <c r="FZ15" s="142"/>
      <c r="GA15" s="142"/>
      <c r="GB15" s="142"/>
      <c r="GC15" s="142"/>
      <c r="GD15" s="142"/>
      <c r="GE15" s="142"/>
      <c r="GF15" s="142"/>
      <c r="GG15" s="142"/>
      <c r="GH15" s="142"/>
      <c r="GI15" s="142"/>
      <c r="GJ15" s="142"/>
      <c r="GK15" s="142"/>
      <c r="GL15" s="142"/>
      <c r="GM15" s="142"/>
      <c r="GN15" s="142"/>
      <c r="GO15" s="142"/>
      <c r="GP15" s="142"/>
      <c r="GQ15" s="142"/>
      <c r="GR15" s="142"/>
      <c r="GS15" s="142"/>
      <c r="GT15" s="142"/>
      <c r="GU15" s="142"/>
      <c r="GV15" s="142"/>
      <c r="GW15" s="142"/>
      <c r="GX15" s="142"/>
      <c r="GY15" s="142"/>
      <c r="GZ15" s="142"/>
      <c r="HA15" s="142"/>
      <c r="HB15" s="142"/>
      <c r="HC15" s="142"/>
      <c r="HD15" s="142"/>
      <c r="HE15" s="142"/>
      <c r="HF15" s="142"/>
      <c r="HG15" s="142"/>
      <c r="HH15" s="142"/>
      <c r="HI15" s="142"/>
      <c r="HJ15" s="142"/>
      <c r="HK15" s="142"/>
      <c r="HL15" s="142"/>
      <c r="HM15" s="142"/>
      <c r="HN15" s="142"/>
      <c r="HO15" s="142"/>
      <c r="HP15" s="142"/>
      <c r="HQ15" s="142"/>
      <c r="HR15" s="142"/>
      <c r="HS15" s="142"/>
      <c r="HT15" s="142"/>
      <c r="HU15" s="142"/>
      <c r="HV15" s="142"/>
      <c r="HW15" s="142"/>
      <c r="HX15" s="142"/>
      <c r="HY15" s="142"/>
      <c r="HZ15" s="142"/>
      <c r="IA15" s="142"/>
      <c r="IB15" s="142"/>
      <c r="IC15" s="142"/>
      <c r="ID15" s="142"/>
      <c r="IE15" s="142"/>
      <c r="IF15" s="142"/>
      <c r="IG15" s="142"/>
      <c r="IH15" s="142"/>
      <c r="II15" s="142"/>
      <c r="IJ15" s="142"/>
      <c r="IK15" s="142"/>
      <c r="IL15" s="142"/>
      <c r="IM15" s="142"/>
      <c r="IN15" s="142"/>
      <c r="IO15" s="142"/>
      <c r="IP15" s="142"/>
      <c r="IQ15" s="142"/>
      <c r="IR15" s="142"/>
      <c r="IS15" s="142"/>
      <c r="IT15" s="142"/>
      <c r="IU15" s="142"/>
      <c r="IV15" s="142"/>
    </row>
    <row r="16" spans="1:256" s="216" customFormat="1" ht="18" customHeight="1" x14ac:dyDescent="0.35">
      <c r="A16" s="228">
        <v>8</v>
      </c>
      <c r="B16" s="223"/>
      <c r="C16" s="143"/>
      <c r="D16" s="923" t="s">
        <v>921</v>
      </c>
      <c r="E16" s="151"/>
      <c r="F16" s="219"/>
      <c r="G16" s="152"/>
      <c r="H16" s="263"/>
      <c r="I16" s="276"/>
      <c r="J16" s="272"/>
      <c r="K16" s="384">
        <v>5270</v>
      </c>
      <c r="L16" s="256"/>
      <c r="M16" s="256"/>
      <c r="N16" s="256"/>
      <c r="O16" s="224">
        <f>SUM(I16:N16)</f>
        <v>5270</v>
      </c>
      <c r="P16" s="220"/>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2"/>
      <c r="DW16" s="142"/>
      <c r="DX16" s="142"/>
      <c r="DY16" s="142"/>
      <c r="DZ16" s="142"/>
      <c r="EA16" s="142"/>
      <c r="EB16" s="142"/>
      <c r="EC16" s="142"/>
      <c r="ED16" s="142"/>
      <c r="EE16" s="142"/>
      <c r="EF16" s="142"/>
      <c r="EG16" s="142"/>
      <c r="EH16" s="142"/>
      <c r="EI16" s="142"/>
      <c r="EJ16" s="142"/>
      <c r="EK16" s="142"/>
      <c r="EL16" s="142"/>
      <c r="EM16" s="142"/>
      <c r="EN16" s="142"/>
      <c r="EO16" s="142"/>
      <c r="EP16" s="142"/>
      <c r="EQ16" s="142"/>
      <c r="ER16" s="142"/>
      <c r="ES16" s="142"/>
      <c r="ET16" s="142"/>
      <c r="EU16" s="142"/>
      <c r="EV16" s="142"/>
      <c r="EW16" s="142"/>
      <c r="EX16" s="142"/>
      <c r="EY16" s="142"/>
      <c r="EZ16" s="142"/>
      <c r="FA16" s="142"/>
      <c r="FB16" s="142"/>
      <c r="FC16" s="142"/>
      <c r="FD16" s="142"/>
      <c r="FE16" s="142"/>
      <c r="FF16" s="142"/>
      <c r="FG16" s="142"/>
      <c r="FH16" s="142"/>
      <c r="FI16" s="142"/>
      <c r="FJ16" s="142"/>
      <c r="FK16" s="142"/>
      <c r="FL16" s="142"/>
      <c r="FM16" s="142"/>
      <c r="FN16" s="142"/>
      <c r="FO16" s="142"/>
      <c r="FP16" s="142"/>
      <c r="FQ16" s="142"/>
      <c r="FR16" s="142"/>
      <c r="FS16" s="142"/>
      <c r="FT16" s="142"/>
      <c r="FU16" s="142"/>
      <c r="FV16" s="142"/>
      <c r="FW16" s="142"/>
      <c r="FX16" s="142"/>
      <c r="FY16" s="142"/>
      <c r="FZ16" s="142"/>
      <c r="GA16" s="142"/>
      <c r="GB16" s="142"/>
      <c r="GC16" s="142"/>
      <c r="GD16" s="142"/>
      <c r="GE16" s="142"/>
      <c r="GF16" s="142"/>
      <c r="GG16" s="142"/>
      <c r="GH16" s="142"/>
      <c r="GI16" s="142"/>
      <c r="GJ16" s="142"/>
      <c r="GK16" s="142"/>
      <c r="GL16" s="142"/>
      <c r="GM16" s="142"/>
      <c r="GN16" s="142"/>
      <c r="GO16" s="142"/>
      <c r="GP16" s="142"/>
      <c r="GQ16" s="142"/>
      <c r="GR16" s="142"/>
      <c r="GS16" s="142"/>
      <c r="GT16" s="142"/>
      <c r="GU16" s="142"/>
      <c r="GV16" s="142"/>
      <c r="GW16" s="142"/>
      <c r="GX16" s="142"/>
      <c r="GY16" s="142"/>
      <c r="GZ16" s="142"/>
      <c r="HA16" s="142"/>
      <c r="HB16" s="142"/>
      <c r="HC16" s="142"/>
      <c r="HD16" s="142"/>
      <c r="HE16" s="142"/>
      <c r="HF16" s="142"/>
      <c r="HG16" s="142"/>
      <c r="HH16" s="142"/>
      <c r="HI16" s="142"/>
      <c r="HJ16" s="142"/>
      <c r="HK16" s="142"/>
      <c r="HL16" s="142"/>
      <c r="HM16" s="142"/>
      <c r="HN16" s="142"/>
      <c r="HO16" s="142"/>
      <c r="HP16" s="142"/>
      <c r="HQ16" s="142"/>
      <c r="HR16" s="142"/>
      <c r="HS16" s="142"/>
      <c r="HT16" s="142"/>
      <c r="HU16" s="142"/>
      <c r="HV16" s="142"/>
      <c r="HW16" s="142"/>
      <c r="HX16" s="142"/>
      <c r="HY16" s="142"/>
      <c r="HZ16" s="142"/>
      <c r="IA16" s="142"/>
      <c r="IB16" s="142"/>
      <c r="IC16" s="142"/>
      <c r="ID16" s="142"/>
      <c r="IE16" s="142"/>
      <c r="IF16" s="142"/>
      <c r="IG16" s="142"/>
      <c r="IH16" s="142"/>
      <c r="II16" s="142"/>
      <c r="IJ16" s="142"/>
      <c r="IK16" s="142"/>
      <c r="IL16" s="142"/>
      <c r="IM16" s="142"/>
      <c r="IN16" s="142"/>
      <c r="IO16" s="142"/>
      <c r="IP16" s="142"/>
      <c r="IQ16" s="142"/>
      <c r="IR16" s="142"/>
      <c r="IS16" s="142"/>
      <c r="IT16" s="142"/>
      <c r="IU16" s="142"/>
      <c r="IV16" s="142"/>
    </row>
    <row r="17" spans="1:256" s="216" customFormat="1" ht="18" customHeight="1" x14ac:dyDescent="0.35">
      <c r="A17" s="228">
        <v>9</v>
      </c>
      <c r="B17" s="223"/>
      <c r="C17" s="143"/>
      <c r="D17" s="920" t="s">
        <v>973</v>
      </c>
      <c r="E17" s="151"/>
      <c r="F17" s="219"/>
      <c r="G17" s="152"/>
      <c r="H17" s="263"/>
      <c r="I17" s="276"/>
      <c r="J17" s="272"/>
      <c r="K17" s="1752">
        <v>0</v>
      </c>
      <c r="L17" s="256"/>
      <c r="M17" s="256"/>
      <c r="N17" s="256"/>
      <c r="O17" s="1531">
        <f t="shared" ref="O17" si="1">SUM(I17:N17)</f>
        <v>0</v>
      </c>
      <c r="P17" s="220"/>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2"/>
      <c r="GE17" s="142"/>
      <c r="GF17" s="142"/>
      <c r="GG17" s="142"/>
      <c r="GH17" s="142"/>
      <c r="GI17" s="142"/>
      <c r="GJ17" s="142"/>
      <c r="GK17" s="142"/>
      <c r="GL17" s="142"/>
      <c r="GM17" s="142"/>
      <c r="GN17" s="142"/>
      <c r="GO17" s="142"/>
      <c r="GP17" s="142"/>
      <c r="GQ17" s="142"/>
      <c r="GR17" s="142"/>
      <c r="GS17" s="142"/>
      <c r="GT17" s="142"/>
      <c r="GU17" s="142"/>
      <c r="GV17" s="142"/>
      <c r="GW17" s="142"/>
      <c r="GX17" s="142"/>
      <c r="GY17" s="142"/>
      <c r="GZ17" s="142"/>
      <c r="HA17" s="142"/>
      <c r="HB17" s="142"/>
      <c r="HC17" s="142"/>
      <c r="HD17" s="142"/>
      <c r="HE17" s="142"/>
      <c r="HF17" s="142"/>
      <c r="HG17" s="142"/>
      <c r="HH17" s="142"/>
      <c r="HI17" s="142"/>
      <c r="HJ17" s="142"/>
      <c r="HK17" s="142"/>
      <c r="HL17" s="142"/>
      <c r="HM17" s="142"/>
      <c r="HN17" s="142"/>
      <c r="HO17" s="142"/>
      <c r="HP17" s="142"/>
      <c r="HQ17" s="142"/>
      <c r="HR17" s="142"/>
      <c r="HS17" s="142"/>
      <c r="HT17" s="142"/>
      <c r="HU17" s="142"/>
      <c r="HV17" s="142"/>
      <c r="HW17" s="142"/>
      <c r="HX17" s="142"/>
      <c r="HY17" s="142"/>
      <c r="HZ17" s="142"/>
      <c r="IA17" s="142"/>
      <c r="IB17" s="142"/>
      <c r="IC17" s="142"/>
      <c r="ID17" s="142"/>
      <c r="IE17" s="142"/>
      <c r="IF17" s="142"/>
      <c r="IG17" s="142"/>
      <c r="IH17" s="142"/>
      <c r="II17" s="142"/>
      <c r="IJ17" s="142"/>
      <c r="IK17" s="142"/>
      <c r="IL17" s="142"/>
      <c r="IM17" s="142"/>
      <c r="IN17" s="142"/>
      <c r="IO17" s="142"/>
      <c r="IP17" s="142"/>
      <c r="IQ17" s="142"/>
      <c r="IR17" s="142"/>
      <c r="IS17" s="142"/>
      <c r="IT17" s="142"/>
      <c r="IU17" s="142"/>
      <c r="IV17" s="142"/>
    </row>
    <row r="18" spans="1:256" s="216" customFormat="1" ht="37.5" customHeight="1" x14ac:dyDescent="0.35">
      <c r="A18" s="228">
        <v>10</v>
      </c>
      <c r="B18" s="223"/>
      <c r="C18" s="1518">
        <v>8</v>
      </c>
      <c r="D18" s="1519" t="s">
        <v>960</v>
      </c>
      <c r="E18" s="151">
        <f>F18+G18+O20+P19</f>
        <v>5336000</v>
      </c>
      <c r="F18" s="219">
        <f>22482+1024536</f>
        <v>1047018</v>
      </c>
      <c r="G18" s="152">
        <v>3172042</v>
      </c>
      <c r="H18" s="263" t="s">
        <v>24</v>
      </c>
      <c r="I18" s="276"/>
      <c r="J18" s="272"/>
      <c r="K18" s="256"/>
      <c r="L18" s="256"/>
      <c r="M18" s="256"/>
      <c r="N18" s="256"/>
      <c r="O18" s="254"/>
      <c r="P18" s="220"/>
      <c r="Q18" s="142"/>
      <c r="R18" s="142"/>
      <c r="S18" s="142"/>
      <c r="T18" s="142"/>
      <c r="U18" s="142"/>
      <c r="V18" s="142"/>
      <c r="W18" s="142"/>
      <c r="X18" s="142"/>
      <c r="Y18" s="142"/>
      <c r="Z18" s="142"/>
      <c r="AA18" s="142"/>
      <c r="AB18" s="142"/>
      <c r="AC18" s="142"/>
      <c r="AD18" s="142"/>
      <c r="AE18" s="142"/>
      <c r="AF18" s="142"/>
      <c r="AG18" s="142"/>
      <c r="AH18" s="142"/>
      <c r="AI18" s="142"/>
      <c r="AJ18" s="142"/>
      <c r="AK18" s="142"/>
      <c r="AL18" s="142"/>
      <c r="AM18" s="142"/>
      <c r="AN18" s="142"/>
      <c r="AO18" s="142"/>
      <c r="AP18" s="142"/>
      <c r="AQ18" s="142"/>
      <c r="AR18" s="142"/>
      <c r="AS18" s="142"/>
      <c r="AT18" s="142"/>
      <c r="AU18" s="142"/>
      <c r="AV18" s="142"/>
      <c r="AW18" s="142"/>
      <c r="AX18" s="142"/>
      <c r="AY18" s="142"/>
      <c r="AZ18" s="142"/>
      <c r="BA18" s="142"/>
      <c r="BB18" s="142"/>
      <c r="BC18" s="142"/>
      <c r="BD18" s="142"/>
      <c r="BE18" s="142"/>
      <c r="BF18" s="142"/>
      <c r="BG18" s="142"/>
      <c r="BH18" s="142"/>
      <c r="BI18" s="142"/>
      <c r="BJ18" s="142"/>
      <c r="BK18" s="142"/>
      <c r="BL18" s="142"/>
      <c r="BM18" s="142"/>
      <c r="BN18" s="142"/>
      <c r="BO18" s="142"/>
      <c r="BP18" s="142"/>
      <c r="BQ18" s="142"/>
      <c r="BR18" s="142"/>
      <c r="BS18" s="142"/>
      <c r="BT18" s="142"/>
      <c r="BU18" s="142"/>
      <c r="BV18" s="142"/>
      <c r="BW18" s="142"/>
      <c r="BX18" s="142"/>
      <c r="BY18" s="142"/>
      <c r="BZ18" s="142"/>
      <c r="CA18" s="142"/>
      <c r="CB18" s="142"/>
      <c r="CC18" s="142"/>
      <c r="CD18" s="142"/>
      <c r="CE18" s="142"/>
      <c r="CF18" s="142"/>
      <c r="CG18" s="142"/>
      <c r="CH18" s="142"/>
      <c r="CI18" s="142"/>
      <c r="CJ18" s="142"/>
      <c r="CK18" s="142"/>
      <c r="CL18" s="142"/>
      <c r="CM18" s="142"/>
      <c r="CN18" s="142"/>
      <c r="CO18" s="142"/>
      <c r="CP18" s="142"/>
      <c r="CQ18" s="142"/>
      <c r="CR18" s="142"/>
      <c r="CS18" s="142"/>
      <c r="CT18" s="142"/>
      <c r="CU18" s="142"/>
      <c r="CV18" s="142"/>
      <c r="CW18" s="142"/>
      <c r="CX18" s="142"/>
      <c r="CY18" s="142"/>
      <c r="CZ18" s="142"/>
      <c r="DA18" s="142"/>
      <c r="DB18" s="142"/>
      <c r="DC18" s="142"/>
      <c r="DD18" s="142"/>
      <c r="DE18" s="142"/>
      <c r="DF18" s="142"/>
      <c r="DG18" s="142"/>
      <c r="DH18" s="142"/>
      <c r="DI18" s="142"/>
      <c r="DJ18" s="142"/>
      <c r="DK18" s="142"/>
      <c r="DL18" s="142"/>
      <c r="DM18" s="142"/>
      <c r="DN18" s="142"/>
      <c r="DO18" s="142"/>
      <c r="DP18" s="142"/>
      <c r="DQ18" s="142"/>
      <c r="DR18" s="142"/>
      <c r="DS18" s="142"/>
      <c r="DT18" s="142"/>
      <c r="DU18" s="142"/>
      <c r="DV18" s="142"/>
      <c r="DW18" s="142"/>
      <c r="DX18" s="142"/>
      <c r="DY18" s="142"/>
      <c r="DZ18" s="142"/>
      <c r="EA18" s="142"/>
      <c r="EB18" s="142"/>
      <c r="EC18" s="142"/>
      <c r="ED18" s="142"/>
      <c r="EE18" s="142"/>
      <c r="EF18" s="142"/>
      <c r="EG18" s="142"/>
      <c r="EH18" s="142"/>
      <c r="EI18" s="142"/>
      <c r="EJ18" s="142"/>
      <c r="EK18" s="142"/>
      <c r="EL18" s="142"/>
      <c r="EM18" s="142"/>
      <c r="EN18" s="142"/>
      <c r="EO18" s="142"/>
      <c r="EP18" s="142"/>
      <c r="EQ18" s="142"/>
      <c r="ER18" s="142"/>
      <c r="ES18" s="142"/>
      <c r="ET18" s="142"/>
      <c r="EU18" s="142"/>
      <c r="EV18" s="142"/>
      <c r="EW18" s="142"/>
      <c r="EX18" s="142"/>
      <c r="EY18" s="142"/>
      <c r="EZ18" s="142"/>
      <c r="FA18" s="142"/>
      <c r="FB18" s="142"/>
      <c r="FC18" s="142"/>
      <c r="FD18" s="142"/>
      <c r="FE18" s="142"/>
      <c r="FF18" s="142"/>
      <c r="FG18" s="142"/>
      <c r="FH18" s="142"/>
      <c r="FI18" s="142"/>
      <c r="FJ18" s="142"/>
      <c r="FK18" s="142"/>
      <c r="FL18" s="142"/>
      <c r="FM18" s="142"/>
      <c r="FN18" s="142"/>
      <c r="FO18" s="142"/>
      <c r="FP18" s="142"/>
      <c r="FQ18" s="142"/>
      <c r="FR18" s="142"/>
      <c r="FS18" s="142"/>
      <c r="FT18" s="142"/>
      <c r="FU18" s="142"/>
      <c r="FV18" s="142"/>
      <c r="FW18" s="142"/>
      <c r="FX18" s="142"/>
      <c r="FY18" s="142"/>
      <c r="FZ18" s="142"/>
      <c r="GA18" s="142"/>
      <c r="GB18" s="142"/>
      <c r="GC18" s="142"/>
      <c r="GD18" s="142"/>
      <c r="GE18" s="142"/>
      <c r="GF18" s="142"/>
      <c r="GG18" s="142"/>
      <c r="GH18" s="142"/>
      <c r="GI18" s="142"/>
      <c r="GJ18" s="142"/>
      <c r="GK18" s="142"/>
      <c r="GL18" s="142"/>
      <c r="GM18" s="142"/>
      <c r="GN18" s="142"/>
      <c r="GO18" s="142"/>
      <c r="GP18" s="142"/>
      <c r="GQ18" s="142"/>
      <c r="GR18" s="142"/>
      <c r="GS18" s="142"/>
      <c r="GT18" s="142"/>
      <c r="GU18" s="142"/>
      <c r="GV18" s="142"/>
      <c r="GW18" s="142"/>
      <c r="GX18" s="142"/>
      <c r="GY18" s="142"/>
      <c r="GZ18" s="142"/>
      <c r="HA18" s="142"/>
      <c r="HB18" s="142"/>
      <c r="HC18" s="142"/>
      <c r="HD18" s="142"/>
      <c r="HE18" s="142"/>
      <c r="HF18" s="142"/>
      <c r="HG18" s="142"/>
      <c r="HH18" s="142"/>
      <c r="HI18" s="142"/>
      <c r="HJ18" s="142"/>
      <c r="HK18" s="142"/>
      <c r="HL18" s="142"/>
      <c r="HM18" s="142"/>
      <c r="HN18" s="142"/>
      <c r="HO18" s="142"/>
      <c r="HP18" s="142"/>
      <c r="HQ18" s="142"/>
      <c r="HR18" s="142"/>
      <c r="HS18" s="142"/>
      <c r="HT18" s="142"/>
      <c r="HU18" s="142"/>
      <c r="HV18" s="142"/>
      <c r="HW18" s="142"/>
      <c r="HX18" s="142"/>
      <c r="HY18" s="142"/>
      <c r="HZ18" s="142"/>
      <c r="IA18" s="142"/>
      <c r="IB18" s="142"/>
      <c r="IC18" s="142"/>
      <c r="ID18" s="142"/>
      <c r="IE18" s="142"/>
      <c r="IF18" s="142"/>
      <c r="IG18" s="142"/>
      <c r="IH18" s="142"/>
      <c r="II18" s="142"/>
      <c r="IJ18" s="142"/>
      <c r="IK18" s="142"/>
      <c r="IL18" s="142"/>
      <c r="IM18" s="142"/>
      <c r="IN18" s="142"/>
      <c r="IO18" s="142"/>
      <c r="IP18" s="142"/>
      <c r="IQ18" s="142"/>
      <c r="IR18" s="142"/>
      <c r="IS18" s="142"/>
      <c r="IT18" s="142"/>
      <c r="IU18" s="142"/>
      <c r="IV18" s="142"/>
    </row>
    <row r="19" spans="1:256" s="216" customFormat="1" ht="18" customHeight="1" x14ac:dyDescent="0.35">
      <c r="A19" s="228">
        <v>11</v>
      </c>
      <c r="B19" s="223"/>
      <c r="C19" s="143"/>
      <c r="D19" s="257" t="s">
        <v>252</v>
      </c>
      <c r="E19" s="151"/>
      <c r="F19" s="219"/>
      <c r="G19" s="152"/>
      <c r="H19" s="263"/>
      <c r="I19" s="276"/>
      <c r="J19" s="272"/>
      <c r="K19" s="256">
        <v>32831</v>
      </c>
      <c r="L19" s="256"/>
      <c r="M19" s="256">
        <v>1084109</v>
      </c>
      <c r="N19" s="256"/>
      <c r="O19" s="254">
        <f>SUM(I19:N19)</f>
        <v>1116940</v>
      </c>
      <c r="P19" s="220"/>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2"/>
      <c r="GE19" s="142"/>
      <c r="GF19" s="142"/>
      <c r="GG19" s="142"/>
      <c r="GH19" s="142"/>
      <c r="GI19" s="142"/>
      <c r="GJ19" s="142"/>
      <c r="GK19" s="142"/>
      <c r="GL19" s="142"/>
      <c r="GM19" s="142"/>
      <c r="GN19" s="142"/>
      <c r="GO19" s="142"/>
      <c r="GP19" s="142"/>
      <c r="GQ19" s="142"/>
      <c r="GR19" s="142"/>
      <c r="GS19" s="142"/>
      <c r="GT19" s="142"/>
      <c r="GU19" s="142"/>
      <c r="GV19" s="142"/>
      <c r="GW19" s="142"/>
      <c r="GX19" s="142"/>
      <c r="GY19" s="142"/>
      <c r="GZ19" s="142"/>
      <c r="HA19" s="142"/>
      <c r="HB19" s="142"/>
      <c r="HC19" s="142"/>
      <c r="HD19" s="142"/>
      <c r="HE19" s="142"/>
      <c r="HF19" s="142"/>
      <c r="HG19" s="142"/>
      <c r="HH19" s="142"/>
      <c r="HI19" s="142"/>
      <c r="HJ19" s="142"/>
      <c r="HK19" s="142"/>
      <c r="HL19" s="142"/>
      <c r="HM19" s="142"/>
      <c r="HN19" s="142"/>
      <c r="HO19" s="142"/>
      <c r="HP19" s="142"/>
      <c r="HQ19" s="142"/>
      <c r="HR19" s="142"/>
      <c r="HS19" s="142"/>
      <c r="HT19" s="142"/>
      <c r="HU19" s="142"/>
      <c r="HV19" s="142"/>
      <c r="HW19" s="142"/>
      <c r="HX19" s="142"/>
      <c r="HY19" s="142"/>
      <c r="HZ19" s="142"/>
      <c r="IA19" s="142"/>
      <c r="IB19" s="142"/>
      <c r="IC19" s="142"/>
      <c r="ID19" s="142"/>
      <c r="IE19" s="142"/>
      <c r="IF19" s="142"/>
      <c r="IG19" s="142"/>
      <c r="IH19" s="142"/>
      <c r="II19" s="142"/>
      <c r="IJ19" s="142"/>
      <c r="IK19" s="142"/>
      <c r="IL19" s="142"/>
      <c r="IM19" s="142"/>
      <c r="IN19" s="142"/>
      <c r="IO19" s="142"/>
      <c r="IP19" s="142"/>
      <c r="IQ19" s="142"/>
      <c r="IR19" s="142"/>
      <c r="IS19" s="142"/>
      <c r="IT19" s="142"/>
      <c r="IU19" s="142"/>
      <c r="IV19" s="142"/>
    </row>
    <row r="20" spans="1:256" s="216" customFormat="1" ht="18" customHeight="1" x14ac:dyDescent="0.35">
      <c r="A20" s="228">
        <v>12</v>
      </c>
      <c r="B20" s="223"/>
      <c r="C20" s="143"/>
      <c r="D20" s="923" t="s">
        <v>921</v>
      </c>
      <c r="E20" s="151"/>
      <c r="F20" s="219"/>
      <c r="G20" s="152"/>
      <c r="H20" s="263"/>
      <c r="I20" s="260"/>
      <c r="J20" s="921"/>
      <c r="K20" s="384">
        <v>32831</v>
      </c>
      <c r="L20" s="384"/>
      <c r="M20" s="384">
        <v>1084109</v>
      </c>
      <c r="N20" s="384"/>
      <c r="O20" s="224">
        <f>SUM(I20:N20)</f>
        <v>1116940</v>
      </c>
      <c r="P20" s="220"/>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s="216" customFormat="1" ht="18" customHeight="1" x14ac:dyDescent="0.35">
      <c r="A21" s="228">
        <v>13</v>
      </c>
      <c r="B21" s="223"/>
      <c r="C21" s="143"/>
      <c r="D21" s="920" t="s">
        <v>973</v>
      </c>
      <c r="E21" s="151"/>
      <c r="F21" s="219"/>
      <c r="G21" s="152"/>
      <c r="H21" s="263"/>
      <c r="I21" s="276"/>
      <c r="J21" s="272"/>
      <c r="K21" s="1752">
        <v>1814</v>
      </c>
      <c r="L21" s="1752"/>
      <c r="M21" s="1752">
        <v>107730</v>
      </c>
      <c r="N21" s="256"/>
      <c r="O21" s="1531">
        <f t="shared" ref="O21" si="2">SUM(I21:N21)</f>
        <v>109544</v>
      </c>
      <c r="P21" s="220"/>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c r="HE21" s="142"/>
      <c r="HF21" s="142"/>
      <c r="HG21" s="142"/>
      <c r="HH21" s="142"/>
      <c r="HI21" s="142"/>
      <c r="HJ21" s="142"/>
      <c r="HK21" s="142"/>
      <c r="HL21" s="142"/>
      <c r="HM21" s="142"/>
      <c r="HN21" s="142"/>
      <c r="HO21" s="142"/>
      <c r="HP21" s="142"/>
      <c r="HQ21" s="142"/>
      <c r="HR21" s="142"/>
      <c r="HS21" s="142"/>
      <c r="HT21" s="142"/>
      <c r="HU21" s="142"/>
      <c r="HV21" s="142"/>
      <c r="HW21" s="142"/>
      <c r="HX21" s="142"/>
      <c r="HY21" s="142"/>
      <c r="HZ21" s="142"/>
      <c r="IA21" s="142"/>
      <c r="IB21" s="142"/>
      <c r="IC21" s="142"/>
      <c r="ID21" s="142"/>
      <c r="IE21" s="142"/>
      <c r="IF21" s="142"/>
      <c r="IG21" s="142"/>
      <c r="IH21" s="142"/>
      <c r="II21" s="142"/>
      <c r="IJ21" s="142"/>
      <c r="IK21" s="142"/>
      <c r="IL21" s="142"/>
      <c r="IM21" s="142"/>
      <c r="IN21" s="142"/>
      <c r="IO21" s="142"/>
      <c r="IP21" s="142"/>
      <c r="IQ21" s="142"/>
      <c r="IR21" s="142"/>
      <c r="IS21" s="142"/>
      <c r="IT21" s="142"/>
      <c r="IU21" s="142"/>
      <c r="IV21" s="142"/>
    </row>
    <row r="22" spans="1:256" s="216" customFormat="1" ht="87" customHeight="1" x14ac:dyDescent="0.35">
      <c r="A22" s="228">
        <v>14</v>
      </c>
      <c r="B22" s="223"/>
      <c r="C22" s="143">
        <v>9</v>
      </c>
      <c r="D22" s="1519" t="s">
        <v>961</v>
      </c>
      <c r="E22" s="151">
        <f>F22+G22+O24+P23</f>
        <v>17000</v>
      </c>
      <c r="F22" s="219"/>
      <c r="G22" s="152"/>
      <c r="H22" s="263" t="s">
        <v>24</v>
      </c>
      <c r="I22" s="276"/>
      <c r="J22" s="272"/>
      <c r="K22" s="256"/>
      <c r="L22" s="256"/>
      <c r="M22" s="256"/>
      <c r="N22" s="256"/>
      <c r="O22" s="254"/>
      <c r="P22" s="220"/>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c r="HS22" s="142"/>
      <c r="HT22" s="142"/>
      <c r="HU22" s="142"/>
      <c r="HV22" s="142"/>
      <c r="HW22" s="142"/>
      <c r="HX22" s="142"/>
      <c r="HY22" s="142"/>
      <c r="HZ22" s="142"/>
      <c r="IA22" s="142"/>
      <c r="IB22" s="142"/>
      <c r="IC22" s="142"/>
      <c r="ID22" s="142"/>
      <c r="IE22" s="142"/>
      <c r="IF22" s="142"/>
      <c r="IG22" s="142"/>
      <c r="IH22" s="142"/>
      <c r="II22" s="142"/>
      <c r="IJ22" s="142"/>
      <c r="IK22" s="142"/>
      <c r="IL22" s="142"/>
      <c r="IM22" s="142"/>
      <c r="IN22" s="142"/>
      <c r="IO22" s="142"/>
      <c r="IP22" s="142"/>
      <c r="IQ22" s="142"/>
      <c r="IR22" s="142"/>
      <c r="IS22" s="142"/>
      <c r="IT22" s="142"/>
      <c r="IU22" s="142"/>
      <c r="IV22" s="142"/>
    </row>
    <row r="23" spans="1:256" s="216" customFormat="1" ht="18" customHeight="1" x14ac:dyDescent="0.35">
      <c r="A23" s="228">
        <v>15</v>
      </c>
      <c r="B23" s="223"/>
      <c r="C23" s="143"/>
      <c r="D23" s="257" t="s">
        <v>252</v>
      </c>
      <c r="E23" s="151"/>
      <c r="F23" s="219"/>
      <c r="G23" s="152"/>
      <c r="H23" s="263"/>
      <c r="I23" s="276"/>
      <c r="J23" s="272"/>
      <c r="K23" s="256"/>
      <c r="L23" s="256"/>
      <c r="M23" s="256">
        <v>17000</v>
      </c>
      <c r="N23" s="256"/>
      <c r="O23" s="254">
        <f>SUM(I23:N23)</f>
        <v>17000</v>
      </c>
      <c r="P23" s="220"/>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2"/>
      <c r="GE23" s="142"/>
      <c r="GF23" s="142"/>
      <c r="GG23" s="142"/>
      <c r="GH23" s="142"/>
      <c r="GI23" s="142"/>
      <c r="GJ23" s="142"/>
      <c r="GK23" s="142"/>
      <c r="GL23" s="142"/>
      <c r="GM23" s="142"/>
      <c r="GN23" s="142"/>
      <c r="GO23" s="142"/>
      <c r="GP23" s="142"/>
      <c r="GQ23" s="142"/>
      <c r="GR23" s="142"/>
      <c r="GS23" s="142"/>
      <c r="GT23" s="142"/>
      <c r="GU23" s="142"/>
      <c r="GV23" s="142"/>
      <c r="GW23" s="142"/>
      <c r="GX23" s="142"/>
      <c r="GY23" s="142"/>
      <c r="GZ23" s="142"/>
      <c r="HA23" s="142"/>
      <c r="HB23" s="142"/>
      <c r="HC23" s="142"/>
      <c r="HD23" s="142"/>
      <c r="HE23" s="142"/>
      <c r="HF23" s="142"/>
      <c r="HG23" s="142"/>
      <c r="HH23" s="142"/>
      <c r="HI23" s="142"/>
      <c r="HJ23" s="142"/>
      <c r="HK23" s="142"/>
      <c r="HL23" s="142"/>
      <c r="HM23" s="142"/>
      <c r="HN23" s="142"/>
      <c r="HO23" s="142"/>
      <c r="HP23" s="142"/>
      <c r="HQ23" s="142"/>
      <c r="HR23" s="142"/>
      <c r="HS23" s="142"/>
      <c r="HT23" s="142"/>
      <c r="HU23" s="142"/>
      <c r="HV23" s="142"/>
      <c r="HW23" s="142"/>
      <c r="HX23" s="142"/>
      <c r="HY23" s="142"/>
      <c r="HZ23" s="142"/>
      <c r="IA23" s="142"/>
      <c r="IB23" s="142"/>
      <c r="IC23" s="142"/>
      <c r="ID23" s="142"/>
      <c r="IE23" s="142"/>
      <c r="IF23" s="142"/>
      <c r="IG23" s="142"/>
      <c r="IH23" s="142"/>
      <c r="II23" s="142"/>
      <c r="IJ23" s="142"/>
      <c r="IK23" s="142"/>
      <c r="IL23" s="142"/>
      <c r="IM23" s="142"/>
      <c r="IN23" s="142"/>
      <c r="IO23" s="142"/>
      <c r="IP23" s="142"/>
      <c r="IQ23" s="142"/>
      <c r="IR23" s="142"/>
      <c r="IS23" s="142"/>
      <c r="IT23" s="142"/>
      <c r="IU23" s="142"/>
      <c r="IV23" s="142"/>
    </row>
    <row r="24" spans="1:256" s="216" customFormat="1" ht="18" customHeight="1" x14ac:dyDescent="0.35">
      <c r="A24" s="228">
        <v>16</v>
      </c>
      <c r="B24" s="223"/>
      <c r="C24" s="143"/>
      <c r="D24" s="923" t="s">
        <v>921</v>
      </c>
      <c r="E24" s="151"/>
      <c r="F24" s="219"/>
      <c r="G24" s="152"/>
      <c r="H24" s="263"/>
      <c r="I24" s="276"/>
      <c r="J24" s="272"/>
      <c r="K24" s="256"/>
      <c r="L24" s="256"/>
      <c r="M24" s="384">
        <v>17000</v>
      </c>
      <c r="N24" s="256"/>
      <c r="O24" s="224">
        <f>SUM(I24:N24)</f>
        <v>17000</v>
      </c>
      <c r="P24" s="220"/>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c r="EU24" s="142"/>
      <c r="EV24" s="142"/>
      <c r="EW24" s="142"/>
      <c r="EX24" s="142"/>
      <c r="EY24" s="142"/>
      <c r="EZ24" s="142"/>
      <c r="FA24" s="142"/>
      <c r="FB24" s="142"/>
      <c r="FC24" s="142"/>
      <c r="FD24" s="142"/>
      <c r="FE24" s="142"/>
      <c r="FF24" s="142"/>
      <c r="FG24" s="142"/>
      <c r="FH24" s="142"/>
      <c r="FI24" s="142"/>
      <c r="FJ24" s="142"/>
      <c r="FK24" s="142"/>
      <c r="FL24" s="142"/>
      <c r="FM24" s="142"/>
      <c r="FN24" s="142"/>
      <c r="FO24" s="142"/>
      <c r="FP24" s="142"/>
      <c r="FQ24" s="142"/>
      <c r="FR24" s="142"/>
      <c r="FS24" s="142"/>
      <c r="FT24" s="142"/>
      <c r="FU24" s="142"/>
      <c r="FV24" s="142"/>
      <c r="FW24" s="142"/>
      <c r="FX24" s="142"/>
      <c r="FY24" s="142"/>
      <c r="FZ24" s="142"/>
      <c r="GA24" s="142"/>
      <c r="GB24" s="142"/>
      <c r="GC24" s="142"/>
      <c r="GD24" s="142"/>
      <c r="GE24" s="142"/>
      <c r="GF24" s="142"/>
      <c r="GG24" s="142"/>
      <c r="GH24" s="142"/>
      <c r="GI24" s="142"/>
      <c r="GJ24" s="142"/>
      <c r="GK24" s="142"/>
      <c r="GL24" s="142"/>
      <c r="GM24" s="142"/>
      <c r="GN24" s="142"/>
      <c r="GO24" s="142"/>
      <c r="GP24" s="142"/>
      <c r="GQ24" s="142"/>
      <c r="GR24" s="142"/>
      <c r="GS24" s="142"/>
      <c r="GT24" s="142"/>
      <c r="GU24" s="142"/>
      <c r="GV24" s="142"/>
      <c r="GW24" s="142"/>
      <c r="GX24" s="142"/>
      <c r="GY24" s="142"/>
      <c r="GZ24" s="142"/>
      <c r="HA24" s="142"/>
      <c r="HB24" s="142"/>
      <c r="HC24" s="142"/>
      <c r="HD24" s="142"/>
      <c r="HE24" s="142"/>
      <c r="HF24" s="142"/>
      <c r="HG24" s="142"/>
      <c r="HH24" s="142"/>
      <c r="HI24" s="142"/>
      <c r="HJ24" s="142"/>
      <c r="HK24" s="142"/>
      <c r="HL24" s="142"/>
      <c r="HM24" s="142"/>
      <c r="HN24" s="142"/>
      <c r="HO24" s="142"/>
      <c r="HP24" s="142"/>
      <c r="HQ24" s="142"/>
      <c r="HR24" s="142"/>
      <c r="HS24" s="142"/>
      <c r="HT24" s="142"/>
      <c r="HU24" s="142"/>
      <c r="HV24" s="142"/>
      <c r="HW24" s="142"/>
      <c r="HX24" s="142"/>
      <c r="HY24" s="142"/>
      <c r="HZ24" s="142"/>
      <c r="IA24" s="142"/>
      <c r="IB24" s="142"/>
      <c r="IC24" s="142"/>
      <c r="ID24" s="142"/>
      <c r="IE24" s="142"/>
      <c r="IF24" s="142"/>
      <c r="IG24" s="142"/>
      <c r="IH24" s="142"/>
      <c r="II24" s="142"/>
      <c r="IJ24" s="142"/>
      <c r="IK24" s="142"/>
      <c r="IL24" s="142"/>
      <c r="IM24" s="142"/>
      <c r="IN24" s="142"/>
      <c r="IO24" s="142"/>
      <c r="IP24" s="142"/>
      <c r="IQ24" s="142"/>
      <c r="IR24" s="142"/>
      <c r="IS24" s="142"/>
      <c r="IT24" s="142"/>
      <c r="IU24" s="142"/>
      <c r="IV24" s="142"/>
    </row>
    <row r="25" spans="1:256" s="216" customFormat="1" ht="18" customHeight="1" x14ac:dyDescent="0.35">
      <c r="A25" s="228">
        <v>17</v>
      </c>
      <c r="B25" s="223"/>
      <c r="C25" s="143"/>
      <c r="D25" s="920" t="s">
        <v>973</v>
      </c>
      <c r="E25" s="151"/>
      <c r="F25" s="219"/>
      <c r="G25" s="152"/>
      <c r="H25" s="263"/>
      <c r="I25" s="276"/>
      <c r="J25" s="272"/>
      <c r="K25" s="256"/>
      <c r="L25" s="256"/>
      <c r="M25" s="1752">
        <v>0</v>
      </c>
      <c r="N25" s="256"/>
      <c r="O25" s="1531">
        <f t="shared" ref="O25" si="3">SUM(I25:N25)</f>
        <v>0</v>
      </c>
      <c r="P25" s="220"/>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2"/>
      <c r="GE25" s="142"/>
      <c r="GF25" s="142"/>
      <c r="GG25" s="142"/>
      <c r="GH25" s="142"/>
      <c r="GI25" s="142"/>
      <c r="GJ25" s="142"/>
      <c r="GK25" s="142"/>
      <c r="GL25" s="142"/>
      <c r="GM25" s="142"/>
      <c r="GN25" s="142"/>
      <c r="GO25" s="142"/>
      <c r="GP25" s="142"/>
      <c r="GQ25" s="142"/>
      <c r="GR25" s="142"/>
      <c r="GS25" s="142"/>
      <c r="GT25" s="142"/>
      <c r="GU25" s="142"/>
      <c r="GV25" s="142"/>
      <c r="GW25" s="142"/>
      <c r="GX25" s="142"/>
      <c r="GY25" s="142"/>
      <c r="GZ25" s="142"/>
      <c r="HA25" s="142"/>
      <c r="HB25" s="142"/>
      <c r="HC25" s="142"/>
      <c r="HD25" s="142"/>
      <c r="HE25" s="142"/>
      <c r="HF25" s="142"/>
      <c r="HG25" s="142"/>
      <c r="HH25" s="142"/>
      <c r="HI25" s="142"/>
      <c r="HJ25" s="142"/>
      <c r="HK25" s="142"/>
      <c r="HL25" s="142"/>
      <c r="HM25" s="142"/>
      <c r="HN25" s="142"/>
      <c r="HO25" s="142"/>
      <c r="HP25" s="142"/>
      <c r="HQ25" s="142"/>
      <c r="HR25" s="142"/>
      <c r="HS25" s="142"/>
      <c r="HT25" s="142"/>
      <c r="HU25" s="142"/>
      <c r="HV25" s="142"/>
      <c r="HW25" s="142"/>
      <c r="HX25" s="142"/>
      <c r="HY25" s="142"/>
      <c r="HZ25" s="142"/>
      <c r="IA25" s="142"/>
      <c r="IB25" s="142"/>
      <c r="IC25" s="142"/>
      <c r="ID25" s="142"/>
      <c r="IE25" s="142"/>
      <c r="IF25" s="142"/>
      <c r="IG25" s="142"/>
      <c r="IH25" s="142"/>
      <c r="II25" s="142"/>
      <c r="IJ25" s="142"/>
      <c r="IK25" s="142"/>
      <c r="IL25" s="142"/>
      <c r="IM25" s="142"/>
      <c r="IN25" s="142"/>
      <c r="IO25" s="142"/>
      <c r="IP25" s="142"/>
      <c r="IQ25" s="142"/>
      <c r="IR25" s="142"/>
      <c r="IS25" s="142"/>
      <c r="IT25" s="142"/>
      <c r="IU25" s="142"/>
      <c r="IV25" s="142"/>
    </row>
    <row r="26" spans="1:256" s="216" customFormat="1" ht="22.5" customHeight="1" x14ac:dyDescent="0.35">
      <c r="A26" s="228">
        <v>18</v>
      </c>
      <c r="B26" s="223"/>
      <c r="C26" s="143">
        <v>14</v>
      </c>
      <c r="D26" s="144" t="s">
        <v>962</v>
      </c>
      <c r="E26" s="151">
        <f>F26+G26+O28+P27</f>
        <v>63500</v>
      </c>
      <c r="F26" s="219"/>
      <c r="G26" s="152"/>
      <c r="H26" s="263" t="s">
        <v>24</v>
      </c>
      <c r="I26" s="276"/>
      <c r="J26" s="272"/>
      <c r="K26" s="256"/>
      <c r="L26" s="256"/>
      <c r="M26" s="256"/>
      <c r="N26" s="256"/>
      <c r="O26" s="254"/>
      <c r="P26" s="220"/>
      <c r="Q26" s="142"/>
      <c r="R26" s="142"/>
      <c r="S26" s="142"/>
      <c r="T26" s="142"/>
      <c r="U26" s="142"/>
      <c r="V26" s="142"/>
      <c r="W26" s="142"/>
      <c r="X26" s="142"/>
      <c r="Y26" s="142"/>
      <c r="Z26" s="142"/>
      <c r="AA26" s="142"/>
      <c r="AB26" s="142"/>
      <c r="AC26" s="142"/>
      <c r="AD26" s="142"/>
      <c r="AE26" s="142"/>
      <c r="AF26" s="142"/>
      <c r="AG26" s="142"/>
      <c r="AH26" s="142"/>
      <c r="AI26" s="142"/>
      <c r="AJ26" s="142"/>
      <c r="AK26" s="142"/>
      <c r="AL26" s="142"/>
      <c r="AM26" s="142"/>
      <c r="AN26" s="142"/>
      <c r="AO26" s="142"/>
      <c r="AP26" s="142"/>
      <c r="AQ26" s="142"/>
      <c r="AR26" s="142"/>
      <c r="AS26" s="142"/>
      <c r="AT26" s="142"/>
      <c r="AU26" s="142"/>
      <c r="AV26" s="142"/>
      <c r="AW26" s="142"/>
      <c r="AX26" s="142"/>
      <c r="AY26" s="142"/>
      <c r="AZ26" s="142"/>
      <c r="BA26" s="142"/>
      <c r="BB26" s="142"/>
      <c r="BC26" s="142"/>
      <c r="BD26" s="142"/>
      <c r="BE26" s="142"/>
      <c r="BF26" s="142"/>
      <c r="BG26" s="142"/>
      <c r="BH26" s="142"/>
      <c r="BI26" s="142"/>
      <c r="BJ26" s="142"/>
      <c r="BK26" s="142"/>
      <c r="BL26" s="142"/>
      <c r="BM26" s="142"/>
      <c r="BN26" s="142"/>
      <c r="BO26" s="142"/>
      <c r="BP26" s="142"/>
      <c r="BQ26" s="142"/>
      <c r="BR26" s="142"/>
      <c r="BS26" s="142"/>
      <c r="BT26" s="142"/>
      <c r="BU26" s="142"/>
      <c r="BV26" s="142"/>
      <c r="BW26" s="142"/>
      <c r="BX26" s="142"/>
      <c r="BY26" s="142"/>
      <c r="BZ26" s="142"/>
      <c r="CA26" s="142"/>
      <c r="CB26" s="142"/>
      <c r="CC26" s="142"/>
      <c r="CD26" s="142"/>
      <c r="CE26" s="142"/>
      <c r="CF26" s="142"/>
      <c r="CG26" s="142"/>
      <c r="CH26" s="142"/>
      <c r="CI26" s="142"/>
      <c r="CJ26" s="142"/>
      <c r="CK26" s="142"/>
      <c r="CL26" s="142"/>
      <c r="CM26" s="142"/>
      <c r="CN26" s="142"/>
      <c r="CO26" s="142"/>
      <c r="CP26" s="142"/>
      <c r="CQ26" s="142"/>
      <c r="CR26" s="142"/>
      <c r="CS26" s="142"/>
      <c r="CT26" s="142"/>
      <c r="CU26" s="142"/>
      <c r="CV26" s="142"/>
      <c r="CW26" s="142"/>
      <c r="CX26" s="142"/>
      <c r="CY26" s="142"/>
      <c r="CZ26" s="142"/>
      <c r="DA26" s="142"/>
      <c r="DB26" s="142"/>
      <c r="DC26" s="142"/>
      <c r="DD26" s="142"/>
      <c r="DE26" s="142"/>
      <c r="DF26" s="142"/>
      <c r="DG26" s="142"/>
      <c r="DH26" s="142"/>
      <c r="DI26" s="142"/>
      <c r="DJ26" s="142"/>
      <c r="DK26" s="142"/>
      <c r="DL26" s="142"/>
      <c r="DM26" s="142"/>
      <c r="DN26" s="142"/>
      <c r="DO26" s="142"/>
      <c r="DP26" s="142"/>
      <c r="DQ26" s="142"/>
      <c r="DR26" s="142"/>
      <c r="DS26" s="142"/>
      <c r="DT26" s="142"/>
      <c r="DU26" s="142"/>
      <c r="DV26" s="142"/>
      <c r="DW26" s="142"/>
      <c r="DX26" s="142"/>
      <c r="DY26" s="142"/>
      <c r="DZ26" s="142"/>
      <c r="EA26" s="142"/>
      <c r="EB26" s="142"/>
      <c r="EC26" s="142"/>
      <c r="ED26" s="142"/>
      <c r="EE26" s="142"/>
      <c r="EF26" s="142"/>
      <c r="EG26" s="142"/>
      <c r="EH26" s="142"/>
      <c r="EI26" s="142"/>
      <c r="EJ26" s="142"/>
      <c r="EK26" s="142"/>
      <c r="EL26" s="142"/>
      <c r="EM26" s="142"/>
      <c r="EN26" s="142"/>
      <c r="EO26" s="142"/>
      <c r="EP26" s="142"/>
      <c r="EQ26" s="142"/>
      <c r="ER26" s="142"/>
      <c r="ES26" s="142"/>
      <c r="ET26" s="142"/>
      <c r="EU26" s="142"/>
      <c r="EV26" s="142"/>
      <c r="EW26" s="142"/>
      <c r="EX26" s="142"/>
      <c r="EY26" s="142"/>
      <c r="EZ26" s="142"/>
      <c r="FA26" s="142"/>
      <c r="FB26" s="142"/>
      <c r="FC26" s="142"/>
      <c r="FD26" s="142"/>
      <c r="FE26" s="142"/>
      <c r="FF26" s="142"/>
      <c r="FG26" s="142"/>
      <c r="FH26" s="142"/>
      <c r="FI26" s="142"/>
      <c r="FJ26" s="142"/>
      <c r="FK26" s="142"/>
      <c r="FL26" s="142"/>
      <c r="FM26" s="142"/>
      <c r="FN26" s="142"/>
      <c r="FO26" s="142"/>
      <c r="FP26" s="142"/>
      <c r="FQ26" s="142"/>
      <c r="FR26" s="142"/>
      <c r="FS26" s="142"/>
      <c r="FT26" s="142"/>
      <c r="FU26" s="142"/>
      <c r="FV26" s="142"/>
      <c r="FW26" s="142"/>
      <c r="FX26" s="142"/>
      <c r="FY26" s="142"/>
      <c r="FZ26" s="142"/>
      <c r="GA26" s="142"/>
      <c r="GB26" s="142"/>
      <c r="GC26" s="142"/>
      <c r="GD26" s="142"/>
      <c r="GE26" s="142"/>
      <c r="GF26" s="142"/>
      <c r="GG26" s="142"/>
      <c r="GH26" s="142"/>
      <c r="GI26" s="142"/>
      <c r="GJ26" s="142"/>
      <c r="GK26" s="142"/>
      <c r="GL26" s="142"/>
      <c r="GM26" s="142"/>
      <c r="GN26" s="142"/>
      <c r="GO26" s="142"/>
      <c r="GP26" s="142"/>
      <c r="GQ26" s="142"/>
      <c r="GR26" s="142"/>
      <c r="GS26" s="142"/>
      <c r="GT26" s="142"/>
      <c r="GU26" s="142"/>
      <c r="GV26" s="142"/>
      <c r="GW26" s="142"/>
      <c r="GX26" s="142"/>
      <c r="GY26" s="142"/>
      <c r="GZ26" s="142"/>
      <c r="HA26" s="142"/>
      <c r="HB26" s="142"/>
      <c r="HC26" s="142"/>
      <c r="HD26" s="142"/>
      <c r="HE26" s="142"/>
      <c r="HF26" s="142"/>
      <c r="HG26" s="142"/>
      <c r="HH26" s="142"/>
      <c r="HI26" s="142"/>
      <c r="HJ26" s="142"/>
      <c r="HK26" s="142"/>
      <c r="HL26" s="142"/>
      <c r="HM26" s="142"/>
      <c r="HN26" s="142"/>
      <c r="HO26" s="142"/>
      <c r="HP26" s="142"/>
      <c r="HQ26" s="142"/>
      <c r="HR26" s="142"/>
      <c r="HS26" s="142"/>
      <c r="HT26" s="142"/>
      <c r="HU26" s="142"/>
      <c r="HV26" s="142"/>
      <c r="HW26" s="142"/>
      <c r="HX26" s="142"/>
      <c r="HY26" s="142"/>
      <c r="HZ26" s="142"/>
      <c r="IA26" s="142"/>
      <c r="IB26" s="142"/>
      <c r="IC26" s="142"/>
      <c r="ID26" s="142"/>
      <c r="IE26" s="142"/>
      <c r="IF26" s="142"/>
      <c r="IG26" s="142"/>
      <c r="IH26" s="142"/>
      <c r="II26" s="142"/>
      <c r="IJ26" s="142"/>
      <c r="IK26" s="142"/>
      <c r="IL26" s="142"/>
      <c r="IM26" s="142"/>
      <c r="IN26" s="142"/>
      <c r="IO26" s="142"/>
      <c r="IP26" s="142"/>
      <c r="IQ26" s="142"/>
      <c r="IR26" s="142"/>
      <c r="IS26" s="142"/>
      <c r="IT26" s="142"/>
      <c r="IU26" s="142"/>
      <c r="IV26" s="142"/>
    </row>
    <row r="27" spans="1:256" s="216" customFormat="1" ht="18" customHeight="1" x14ac:dyDescent="0.35">
      <c r="A27" s="228">
        <v>19</v>
      </c>
      <c r="B27" s="346"/>
      <c r="C27" s="679"/>
      <c r="D27" s="288" t="s">
        <v>252</v>
      </c>
      <c r="E27" s="289"/>
      <c r="F27" s="715"/>
      <c r="G27" s="290"/>
      <c r="H27" s="291"/>
      <c r="I27" s="720"/>
      <c r="J27" s="286"/>
      <c r="K27" s="721">
        <v>63500</v>
      </c>
      <c r="L27" s="721"/>
      <c r="M27" s="721"/>
      <c r="N27" s="721"/>
      <c r="O27" s="287">
        <f>SUM(I27:N27)</f>
        <v>63500</v>
      </c>
      <c r="P27" s="284"/>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2"/>
      <c r="GE27" s="142"/>
      <c r="GF27" s="142"/>
      <c r="GG27" s="142"/>
      <c r="GH27" s="142"/>
      <c r="GI27" s="142"/>
      <c r="GJ27" s="142"/>
      <c r="GK27" s="142"/>
      <c r="GL27" s="142"/>
      <c r="GM27" s="142"/>
      <c r="GN27" s="142"/>
      <c r="GO27" s="142"/>
      <c r="GP27" s="142"/>
      <c r="GQ27" s="142"/>
      <c r="GR27" s="142"/>
      <c r="GS27" s="142"/>
      <c r="GT27" s="142"/>
      <c r="GU27" s="142"/>
      <c r="GV27" s="142"/>
      <c r="GW27" s="142"/>
      <c r="GX27" s="142"/>
      <c r="GY27" s="142"/>
      <c r="GZ27" s="142"/>
      <c r="HA27" s="142"/>
      <c r="HB27" s="142"/>
      <c r="HC27" s="142"/>
      <c r="HD27" s="142"/>
      <c r="HE27" s="142"/>
      <c r="HF27" s="142"/>
      <c r="HG27" s="142"/>
      <c r="HH27" s="142"/>
      <c r="HI27" s="142"/>
      <c r="HJ27" s="142"/>
      <c r="HK27" s="142"/>
      <c r="HL27" s="142"/>
      <c r="HM27" s="142"/>
      <c r="HN27" s="142"/>
      <c r="HO27" s="142"/>
      <c r="HP27" s="142"/>
      <c r="HQ27" s="142"/>
      <c r="HR27" s="142"/>
      <c r="HS27" s="142"/>
      <c r="HT27" s="142"/>
      <c r="HU27" s="142"/>
      <c r="HV27" s="142"/>
      <c r="HW27" s="142"/>
      <c r="HX27" s="142"/>
      <c r="HY27" s="142"/>
      <c r="HZ27" s="142"/>
      <c r="IA27" s="142"/>
      <c r="IB27" s="142"/>
      <c r="IC27" s="142"/>
      <c r="ID27" s="142"/>
      <c r="IE27" s="142"/>
      <c r="IF27" s="142"/>
      <c r="IG27" s="142"/>
      <c r="IH27" s="142"/>
      <c r="II27" s="142"/>
      <c r="IJ27" s="142"/>
      <c r="IK27" s="142"/>
      <c r="IL27" s="142"/>
      <c r="IM27" s="142"/>
      <c r="IN27" s="142"/>
      <c r="IO27" s="142"/>
      <c r="IP27" s="142"/>
      <c r="IQ27" s="142"/>
      <c r="IR27" s="142"/>
      <c r="IS27" s="142"/>
      <c r="IT27" s="142"/>
      <c r="IU27" s="142"/>
      <c r="IV27" s="142"/>
    </row>
    <row r="28" spans="1:256" s="216" customFormat="1" ht="18" customHeight="1" x14ac:dyDescent="0.35">
      <c r="A28" s="228">
        <v>20</v>
      </c>
      <c r="B28" s="1527"/>
      <c r="C28" s="143"/>
      <c r="D28" s="943" t="s">
        <v>921</v>
      </c>
      <c r="E28" s="151"/>
      <c r="F28" s="219"/>
      <c r="G28" s="933"/>
      <c r="H28" s="263"/>
      <c r="I28" s="276"/>
      <c r="J28" s="276"/>
      <c r="K28" s="373">
        <v>63500</v>
      </c>
      <c r="L28" s="261"/>
      <c r="M28" s="261"/>
      <c r="N28" s="261"/>
      <c r="O28" s="224">
        <f>SUM(I28:N28)</f>
        <v>63500</v>
      </c>
      <c r="P28" s="220"/>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c r="CV28" s="142"/>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2"/>
      <c r="EA28" s="142"/>
      <c r="EB28" s="142"/>
      <c r="EC28" s="142"/>
      <c r="ED28" s="142"/>
      <c r="EE28" s="142"/>
      <c r="EF28" s="142"/>
      <c r="EG28" s="142"/>
      <c r="EH28" s="142"/>
      <c r="EI28" s="142"/>
      <c r="EJ28" s="142"/>
      <c r="EK28" s="142"/>
      <c r="EL28" s="142"/>
      <c r="EM28" s="142"/>
      <c r="EN28" s="142"/>
      <c r="EO28" s="142"/>
      <c r="EP28" s="142"/>
      <c r="EQ28" s="142"/>
      <c r="ER28" s="142"/>
      <c r="ES28" s="142"/>
      <c r="ET28" s="142"/>
      <c r="EU28" s="142"/>
      <c r="EV28" s="142"/>
      <c r="EW28" s="142"/>
      <c r="EX28" s="142"/>
      <c r="EY28" s="142"/>
      <c r="EZ28" s="142"/>
      <c r="FA28" s="142"/>
      <c r="FB28" s="142"/>
      <c r="FC28" s="142"/>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2"/>
      <c r="GH28" s="142"/>
      <c r="GI28" s="142"/>
      <c r="GJ28" s="142"/>
      <c r="GK28" s="142"/>
      <c r="GL28" s="142"/>
      <c r="GM28" s="142"/>
      <c r="GN28" s="142"/>
      <c r="GO28" s="142"/>
      <c r="GP28" s="142"/>
      <c r="GQ28" s="142"/>
      <c r="GR28" s="142"/>
      <c r="GS28" s="142"/>
      <c r="GT28" s="142"/>
      <c r="GU28" s="142"/>
      <c r="GV28" s="142"/>
      <c r="GW28" s="142"/>
      <c r="GX28" s="142"/>
      <c r="GY28" s="142"/>
      <c r="GZ28" s="142"/>
      <c r="HA28" s="142"/>
      <c r="HB28" s="142"/>
      <c r="HC28" s="142"/>
      <c r="HD28" s="142"/>
      <c r="HE28" s="142"/>
      <c r="HF28" s="142"/>
      <c r="HG28" s="142"/>
      <c r="HH28" s="142"/>
      <c r="HI28" s="142"/>
      <c r="HJ28" s="142"/>
      <c r="HK28" s="142"/>
      <c r="HL28" s="142"/>
      <c r="HM28" s="142"/>
      <c r="HN28" s="142"/>
      <c r="HO28" s="142"/>
      <c r="HP28" s="142"/>
      <c r="HQ28" s="142"/>
      <c r="HR28" s="142"/>
      <c r="HS28" s="142"/>
      <c r="HT28" s="142"/>
      <c r="HU28" s="142"/>
      <c r="HV28" s="142"/>
      <c r="HW28" s="142"/>
      <c r="HX28" s="142"/>
      <c r="HY28" s="142"/>
      <c r="HZ28" s="142"/>
      <c r="IA28" s="142"/>
      <c r="IB28" s="142"/>
      <c r="IC28" s="142"/>
      <c r="ID28" s="142"/>
      <c r="IE28" s="142"/>
      <c r="IF28" s="142"/>
      <c r="IG28" s="142"/>
      <c r="IH28" s="142"/>
      <c r="II28" s="142"/>
      <c r="IJ28" s="142"/>
      <c r="IK28" s="142"/>
      <c r="IL28" s="142"/>
      <c r="IM28" s="142"/>
      <c r="IN28" s="142"/>
      <c r="IO28" s="142"/>
      <c r="IP28" s="142"/>
      <c r="IQ28" s="142"/>
      <c r="IR28" s="142"/>
      <c r="IS28" s="142"/>
      <c r="IT28" s="142"/>
      <c r="IU28" s="142"/>
      <c r="IV28" s="142"/>
    </row>
    <row r="29" spans="1:256" s="216" customFormat="1" ht="18" customHeight="1" x14ac:dyDescent="0.35">
      <c r="A29" s="228">
        <v>21</v>
      </c>
      <c r="B29" s="1527"/>
      <c r="C29" s="143"/>
      <c r="D29" s="928" t="s">
        <v>973</v>
      </c>
      <c r="E29" s="151"/>
      <c r="F29" s="219"/>
      <c r="G29" s="933"/>
      <c r="H29" s="263"/>
      <c r="I29" s="276"/>
      <c r="J29" s="276"/>
      <c r="K29" s="1755">
        <v>19050</v>
      </c>
      <c r="L29" s="261"/>
      <c r="M29" s="261"/>
      <c r="N29" s="261"/>
      <c r="O29" s="1531">
        <f t="shared" ref="O29" si="4">SUM(I29:N29)</f>
        <v>19050</v>
      </c>
      <c r="P29" s="220"/>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2"/>
      <c r="GE29" s="142"/>
      <c r="GF29" s="142"/>
      <c r="GG29" s="142"/>
      <c r="GH29" s="142"/>
      <c r="GI29" s="142"/>
      <c r="GJ29" s="142"/>
      <c r="GK29" s="142"/>
      <c r="GL29" s="142"/>
      <c r="GM29" s="142"/>
      <c r="GN29" s="142"/>
      <c r="GO29" s="142"/>
      <c r="GP29" s="142"/>
      <c r="GQ29" s="142"/>
      <c r="GR29" s="142"/>
      <c r="GS29" s="142"/>
      <c r="GT29" s="142"/>
      <c r="GU29" s="142"/>
      <c r="GV29" s="142"/>
      <c r="GW29" s="142"/>
      <c r="GX29" s="142"/>
      <c r="GY29" s="142"/>
      <c r="GZ29" s="142"/>
      <c r="HA29" s="142"/>
      <c r="HB29" s="142"/>
      <c r="HC29" s="142"/>
      <c r="HD29" s="142"/>
      <c r="HE29" s="142"/>
      <c r="HF29" s="142"/>
      <c r="HG29" s="142"/>
      <c r="HH29" s="142"/>
      <c r="HI29" s="142"/>
      <c r="HJ29" s="142"/>
      <c r="HK29" s="142"/>
      <c r="HL29" s="142"/>
      <c r="HM29" s="142"/>
      <c r="HN29" s="142"/>
      <c r="HO29" s="142"/>
      <c r="HP29" s="142"/>
      <c r="HQ29" s="142"/>
      <c r="HR29" s="142"/>
      <c r="HS29" s="142"/>
      <c r="HT29" s="142"/>
      <c r="HU29" s="142"/>
      <c r="HV29" s="142"/>
      <c r="HW29" s="142"/>
      <c r="HX29" s="142"/>
      <c r="HY29" s="142"/>
      <c r="HZ29" s="142"/>
      <c r="IA29" s="142"/>
      <c r="IB29" s="142"/>
      <c r="IC29" s="142"/>
      <c r="ID29" s="142"/>
      <c r="IE29" s="142"/>
      <c r="IF29" s="142"/>
      <c r="IG29" s="142"/>
      <c r="IH29" s="142"/>
      <c r="II29" s="142"/>
      <c r="IJ29" s="142"/>
      <c r="IK29" s="142"/>
      <c r="IL29" s="142"/>
      <c r="IM29" s="142"/>
      <c r="IN29" s="142"/>
      <c r="IO29" s="142"/>
      <c r="IP29" s="142"/>
      <c r="IQ29" s="142"/>
      <c r="IR29" s="142"/>
      <c r="IS29" s="142"/>
      <c r="IT29" s="142"/>
      <c r="IU29" s="142"/>
      <c r="IV29" s="142"/>
    </row>
    <row r="30" spans="1:256" s="216" customFormat="1" ht="22.5" customHeight="1" x14ac:dyDescent="0.35">
      <c r="A30" s="228">
        <v>22</v>
      </c>
      <c r="B30" s="1527"/>
      <c r="C30" s="143">
        <v>15</v>
      </c>
      <c r="D30" s="144" t="s">
        <v>955</v>
      </c>
      <c r="E30" s="151">
        <f>F30+G30+O31+P31</f>
        <v>19990</v>
      </c>
      <c r="F30" s="219"/>
      <c r="G30" s="933"/>
      <c r="H30" s="263" t="s">
        <v>24</v>
      </c>
      <c r="I30" s="276"/>
      <c r="J30" s="276"/>
      <c r="K30" s="261"/>
      <c r="L30" s="261"/>
      <c r="M30" s="261"/>
      <c r="N30" s="261"/>
      <c r="O30" s="254"/>
      <c r="P30" s="220"/>
      <c r="Q30" s="142"/>
      <c r="R30" s="142"/>
      <c r="S30" s="142"/>
      <c r="T30" s="142"/>
      <c r="U30" s="142"/>
      <c r="V30" s="142"/>
      <c r="W30" s="142"/>
      <c r="X30" s="142"/>
      <c r="Y30" s="142"/>
      <c r="Z30" s="142"/>
      <c r="AA30" s="142"/>
      <c r="AB30" s="142"/>
      <c r="AC30" s="142"/>
      <c r="AD30" s="142"/>
      <c r="AE30" s="142"/>
      <c r="AF30" s="142"/>
      <c r="AG30" s="142"/>
      <c r="AH30" s="142"/>
      <c r="AI30" s="142"/>
      <c r="AJ30" s="142"/>
      <c r="AK30" s="142"/>
      <c r="AL30" s="142"/>
      <c r="AM30" s="142"/>
      <c r="AN30" s="142"/>
      <c r="AO30" s="142"/>
      <c r="AP30" s="142"/>
      <c r="AQ30" s="142"/>
      <c r="AR30" s="142"/>
      <c r="AS30" s="142"/>
      <c r="AT30" s="142"/>
      <c r="AU30" s="142"/>
      <c r="AV30" s="142"/>
      <c r="AW30" s="142"/>
      <c r="AX30" s="142"/>
      <c r="AY30" s="142"/>
      <c r="AZ30" s="142"/>
      <c r="BA30" s="142"/>
      <c r="BB30" s="142"/>
      <c r="BC30" s="142"/>
      <c r="BD30" s="142"/>
      <c r="BE30" s="142"/>
      <c r="BF30" s="142"/>
      <c r="BG30" s="142"/>
      <c r="BH30" s="142"/>
      <c r="BI30" s="142"/>
      <c r="BJ30" s="142"/>
      <c r="BK30" s="142"/>
      <c r="BL30" s="142"/>
      <c r="BM30" s="142"/>
      <c r="BN30" s="142"/>
      <c r="BO30" s="142"/>
      <c r="BP30" s="142"/>
      <c r="BQ30" s="142"/>
      <c r="BR30" s="142"/>
      <c r="BS30" s="142"/>
      <c r="BT30" s="142"/>
      <c r="BU30" s="142"/>
      <c r="BV30" s="142"/>
      <c r="BW30" s="142"/>
      <c r="BX30" s="142"/>
      <c r="BY30" s="142"/>
      <c r="BZ30" s="142"/>
      <c r="CA30" s="142"/>
      <c r="CB30" s="142"/>
      <c r="CC30" s="142"/>
      <c r="CD30" s="142"/>
      <c r="CE30" s="142"/>
      <c r="CF30" s="142"/>
      <c r="CG30" s="142"/>
      <c r="CH30" s="142"/>
      <c r="CI30" s="142"/>
      <c r="CJ30" s="142"/>
      <c r="CK30" s="142"/>
      <c r="CL30" s="142"/>
      <c r="CM30" s="142"/>
      <c r="CN30" s="142"/>
      <c r="CO30" s="142"/>
      <c r="CP30" s="142"/>
      <c r="CQ30" s="142"/>
      <c r="CR30" s="142"/>
      <c r="CS30" s="142"/>
      <c r="CT30" s="142"/>
      <c r="CU30" s="142"/>
      <c r="CV30" s="142"/>
      <c r="CW30" s="142"/>
      <c r="CX30" s="142"/>
      <c r="CY30" s="142"/>
      <c r="CZ30" s="142"/>
      <c r="DA30" s="142"/>
      <c r="DB30" s="142"/>
      <c r="DC30" s="142"/>
      <c r="DD30" s="142"/>
      <c r="DE30" s="142"/>
      <c r="DF30" s="142"/>
      <c r="DG30" s="142"/>
      <c r="DH30" s="142"/>
      <c r="DI30" s="142"/>
      <c r="DJ30" s="142"/>
      <c r="DK30" s="142"/>
      <c r="DL30" s="142"/>
      <c r="DM30" s="142"/>
      <c r="DN30" s="142"/>
      <c r="DO30" s="142"/>
      <c r="DP30" s="142"/>
      <c r="DQ30" s="142"/>
      <c r="DR30" s="142"/>
      <c r="DS30" s="142"/>
      <c r="DT30" s="142"/>
      <c r="DU30" s="142"/>
      <c r="DV30" s="142"/>
      <c r="DW30" s="142"/>
      <c r="DX30" s="142"/>
      <c r="DY30" s="142"/>
      <c r="DZ30" s="142"/>
      <c r="EA30" s="142"/>
      <c r="EB30" s="142"/>
      <c r="EC30" s="142"/>
      <c r="ED30" s="142"/>
      <c r="EE30" s="142"/>
      <c r="EF30" s="142"/>
      <c r="EG30" s="142"/>
      <c r="EH30" s="142"/>
      <c r="EI30" s="142"/>
      <c r="EJ30" s="142"/>
      <c r="EK30" s="142"/>
      <c r="EL30" s="142"/>
      <c r="EM30" s="142"/>
      <c r="EN30" s="142"/>
      <c r="EO30" s="142"/>
      <c r="EP30" s="142"/>
      <c r="EQ30" s="142"/>
      <c r="ER30" s="142"/>
      <c r="ES30" s="142"/>
      <c r="ET30" s="142"/>
      <c r="EU30" s="142"/>
      <c r="EV30" s="142"/>
      <c r="EW30" s="142"/>
      <c r="EX30" s="142"/>
      <c r="EY30" s="142"/>
      <c r="EZ30" s="142"/>
      <c r="FA30" s="142"/>
      <c r="FB30" s="142"/>
      <c r="FC30" s="142"/>
      <c r="FD30" s="142"/>
      <c r="FE30" s="142"/>
      <c r="FF30" s="142"/>
      <c r="FG30" s="142"/>
      <c r="FH30" s="142"/>
      <c r="FI30" s="142"/>
      <c r="FJ30" s="142"/>
      <c r="FK30" s="142"/>
      <c r="FL30" s="142"/>
      <c r="FM30" s="142"/>
      <c r="FN30" s="142"/>
      <c r="FO30" s="142"/>
      <c r="FP30" s="142"/>
      <c r="FQ30" s="142"/>
      <c r="FR30" s="142"/>
      <c r="FS30" s="142"/>
      <c r="FT30" s="142"/>
      <c r="FU30" s="142"/>
      <c r="FV30" s="142"/>
      <c r="FW30" s="142"/>
      <c r="FX30" s="142"/>
      <c r="FY30" s="142"/>
      <c r="FZ30" s="142"/>
      <c r="GA30" s="142"/>
      <c r="GB30" s="142"/>
      <c r="GC30" s="142"/>
      <c r="GD30" s="142"/>
      <c r="GE30" s="142"/>
      <c r="GF30" s="142"/>
      <c r="GG30" s="142"/>
      <c r="GH30" s="142"/>
      <c r="GI30" s="142"/>
      <c r="GJ30" s="142"/>
      <c r="GK30" s="142"/>
      <c r="GL30" s="142"/>
      <c r="GM30" s="142"/>
      <c r="GN30" s="142"/>
      <c r="GO30" s="142"/>
      <c r="GP30" s="142"/>
      <c r="GQ30" s="142"/>
      <c r="GR30" s="142"/>
      <c r="GS30" s="142"/>
      <c r="GT30" s="142"/>
      <c r="GU30" s="142"/>
      <c r="GV30" s="142"/>
      <c r="GW30" s="142"/>
      <c r="GX30" s="142"/>
      <c r="GY30" s="142"/>
      <c r="GZ30" s="142"/>
      <c r="HA30" s="142"/>
      <c r="HB30" s="142"/>
      <c r="HC30" s="142"/>
      <c r="HD30" s="142"/>
      <c r="HE30" s="142"/>
      <c r="HF30" s="142"/>
      <c r="HG30" s="142"/>
      <c r="HH30" s="142"/>
      <c r="HI30" s="142"/>
      <c r="HJ30" s="142"/>
      <c r="HK30" s="142"/>
      <c r="HL30" s="142"/>
      <c r="HM30" s="142"/>
      <c r="HN30" s="142"/>
      <c r="HO30" s="142"/>
      <c r="HP30" s="142"/>
      <c r="HQ30" s="142"/>
      <c r="HR30" s="142"/>
      <c r="HS30" s="142"/>
      <c r="HT30" s="142"/>
      <c r="HU30" s="142"/>
      <c r="HV30" s="142"/>
      <c r="HW30" s="142"/>
      <c r="HX30" s="142"/>
      <c r="HY30" s="142"/>
      <c r="HZ30" s="142"/>
      <c r="IA30" s="142"/>
      <c r="IB30" s="142"/>
      <c r="IC30" s="142"/>
      <c r="ID30" s="142"/>
      <c r="IE30" s="142"/>
      <c r="IF30" s="142"/>
      <c r="IG30" s="142"/>
      <c r="IH30" s="142"/>
      <c r="II30" s="142"/>
      <c r="IJ30" s="142"/>
      <c r="IK30" s="142"/>
      <c r="IL30" s="142"/>
      <c r="IM30" s="142"/>
      <c r="IN30" s="142"/>
      <c r="IO30" s="142"/>
      <c r="IP30" s="142"/>
      <c r="IQ30" s="142"/>
      <c r="IR30" s="142"/>
      <c r="IS30" s="142"/>
      <c r="IT30" s="142"/>
      <c r="IU30" s="142"/>
      <c r="IV30" s="142"/>
    </row>
    <row r="31" spans="1:256" s="216" customFormat="1" ht="18" customHeight="1" x14ac:dyDescent="0.35">
      <c r="A31" s="228">
        <v>23</v>
      </c>
      <c r="B31" s="1527"/>
      <c r="C31" s="143"/>
      <c r="D31" s="943" t="s">
        <v>921</v>
      </c>
      <c r="E31" s="151"/>
      <c r="F31" s="219"/>
      <c r="G31" s="933"/>
      <c r="H31" s="263"/>
      <c r="I31" s="276"/>
      <c r="J31" s="276"/>
      <c r="K31" s="261"/>
      <c r="L31" s="261"/>
      <c r="M31" s="373">
        <v>19990</v>
      </c>
      <c r="N31" s="261"/>
      <c r="O31" s="224">
        <f>SUM(I31:N31)</f>
        <v>19990</v>
      </c>
      <c r="P31" s="220"/>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c r="EU31" s="142"/>
      <c r="EV31" s="142"/>
      <c r="EW31" s="142"/>
      <c r="EX31" s="142"/>
      <c r="EY31" s="142"/>
      <c r="EZ31" s="142"/>
      <c r="FA31" s="142"/>
      <c r="FB31" s="142"/>
      <c r="FC31" s="142"/>
      <c r="FD31" s="142"/>
      <c r="FE31" s="142"/>
      <c r="FF31" s="142"/>
      <c r="FG31" s="142"/>
      <c r="FH31" s="142"/>
      <c r="FI31" s="142"/>
      <c r="FJ31" s="142"/>
      <c r="FK31" s="142"/>
      <c r="FL31" s="142"/>
      <c r="FM31" s="142"/>
      <c r="FN31" s="142"/>
      <c r="FO31" s="142"/>
      <c r="FP31" s="142"/>
      <c r="FQ31" s="142"/>
      <c r="FR31" s="142"/>
      <c r="FS31" s="142"/>
      <c r="FT31" s="142"/>
      <c r="FU31" s="142"/>
      <c r="FV31" s="142"/>
      <c r="FW31" s="142"/>
      <c r="FX31" s="142"/>
      <c r="FY31" s="142"/>
      <c r="FZ31" s="142"/>
      <c r="GA31" s="142"/>
      <c r="GB31" s="142"/>
      <c r="GC31" s="142"/>
      <c r="GD31" s="142"/>
      <c r="GE31" s="142"/>
      <c r="GF31" s="142"/>
      <c r="GG31" s="142"/>
      <c r="GH31" s="142"/>
      <c r="GI31" s="142"/>
      <c r="GJ31" s="142"/>
      <c r="GK31" s="142"/>
      <c r="GL31" s="142"/>
      <c r="GM31" s="142"/>
      <c r="GN31" s="142"/>
      <c r="GO31" s="142"/>
      <c r="GP31" s="142"/>
      <c r="GQ31" s="142"/>
      <c r="GR31" s="142"/>
      <c r="GS31" s="142"/>
      <c r="GT31" s="142"/>
      <c r="GU31" s="142"/>
      <c r="GV31" s="142"/>
      <c r="GW31" s="142"/>
      <c r="GX31" s="142"/>
      <c r="GY31" s="142"/>
      <c r="GZ31" s="142"/>
      <c r="HA31" s="142"/>
      <c r="HB31" s="142"/>
      <c r="HC31" s="142"/>
      <c r="HD31" s="142"/>
      <c r="HE31" s="142"/>
      <c r="HF31" s="142"/>
      <c r="HG31" s="142"/>
      <c r="HH31" s="142"/>
      <c r="HI31" s="142"/>
      <c r="HJ31" s="142"/>
      <c r="HK31" s="142"/>
      <c r="HL31" s="142"/>
      <c r="HM31" s="142"/>
      <c r="HN31" s="142"/>
      <c r="HO31" s="142"/>
      <c r="HP31" s="142"/>
      <c r="HQ31" s="142"/>
      <c r="HR31" s="142"/>
      <c r="HS31" s="142"/>
      <c r="HT31" s="142"/>
      <c r="HU31" s="142"/>
      <c r="HV31" s="142"/>
      <c r="HW31" s="142"/>
      <c r="HX31" s="142"/>
      <c r="HY31" s="142"/>
      <c r="HZ31" s="142"/>
      <c r="IA31" s="142"/>
      <c r="IB31" s="142"/>
      <c r="IC31" s="142"/>
      <c r="ID31" s="142"/>
      <c r="IE31" s="142"/>
      <c r="IF31" s="142"/>
      <c r="IG31" s="142"/>
      <c r="IH31" s="142"/>
      <c r="II31" s="142"/>
      <c r="IJ31" s="142"/>
      <c r="IK31" s="142"/>
      <c r="IL31" s="142"/>
      <c r="IM31" s="142"/>
      <c r="IN31" s="142"/>
      <c r="IO31" s="142"/>
      <c r="IP31" s="142"/>
      <c r="IQ31" s="142"/>
      <c r="IR31" s="142"/>
      <c r="IS31" s="142"/>
      <c r="IT31" s="142"/>
      <c r="IU31" s="142"/>
      <c r="IV31" s="142"/>
    </row>
    <row r="32" spans="1:256" s="216" customFormat="1" ht="18" customHeight="1" thickBot="1" x14ac:dyDescent="0.4">
      <c r="A32" s="228">
        <v>24</v>
      </c>
      <c r="B32" s="1527"/>
      <c r="C32" s="143"/>
      <c r="D32" s="928" t="s">
        <v>972</v>
      </c>
      <c r="E32" s="151"/>
      <c r="F32" s="219"/>
      <c r="G32" s="933"/>
      <c r="H32" s="263"/>
      <c r="I32" s="276"/>
      <c r="J32" s="276"/>
      <c r="K32" s="261"/>
      <c r="L32" s="261"/>
      <c r="M32" s="1755">
        <v>0</v>
      </c>
      <c r="N32" s="261"/>
      <c r="O32" s="1531">
        <f t="shared" ref="O32" si="5">SUM(I32:N32)</f>
        <v>0</v>
      </c>
      <c r="P32" s="220"/>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c r="EL32" s="142"/>
      <c r="EM32" s="142"/>
      <c r="EN32" s="142"/>
      <c r="EO32" s="142"/>
      <c r="EP32" s="142"/>
      <c r="EQ32" s="142"/>
      <c r="ER32" s="142"/>
      <c r="ES32" s="142"/>
      <c r="ET32" s="142"/>
      <c r="EU32" s="142"/>
      <c r="EV32" s="142"/>
      <c r="EW32" s="142"/>
      <c r="EX32" s="142"/>
      <c r="EY32" s="142"/>
      <c r="EZ32" s="142"/>
      <c r="FA32" s="142"/>
      <c r="FB32" s="142"/>
      <c r="FC32" s="142"/>
      <c r="FD32" s="142"/>
      <c r="FE32" s="142"/>
      <c r="FF32" s="142"/>
      <c r="FG32" s="142"/>
      <c r="FH32" s="142"/>
      <c r="FI32" s="142"/>
      <c r="FJ32" s="142"/>
      <c r="FK32" s="142"/>
      <c r="FL32" s="142"/>
      <c r="FM32" s="142"/>
      <c r="FN32" s="142"/>
      <c r="FO32" s="142"/>
      <c r="FP32" s="142"/>
      <c r="FQ32" s="142"/>
      <c r="FR32" s="142"/>
      <c r="FS32" s="142"/>
      <c r="FT32" s="142"/>
      <c r="FU32" s="142"/>
      <c r="FV32" s="142"/>
      <c r="FW32" s="142"/>
      <c r="FX32" s="142"/>
      <c r="FY32" s="142"/>
      <c r="FZ32" s="142"/>
      <c r="GA32" s="142"/>
      <c r="GB32" s="142"/>
      <c r="GC32" s="142"/>
      <c r="GD32" s="142"/>
      <c r="GE32" s="142"/>
      <c r="GF32" s="142"/>
      <c r="GG32" s="142"/>
      <c r="GH32" s="142"/>
      <c r="GI32" s="142"/>
      <c r="GJ32" s="142"/>
      <c r="GK32" s="142"/>
      <c r="GL32" s="142"/>
      <c r="GM32" s="142"/>
      <c r="GN32" s="142"/>
      <c r="GO32" s="142"/>
      <c r="GP32" s="142"/>
      <c r="GQ32" s="142"/>
      <c r="GR32" s="142"/>
      <c r="GS32" s="142"/>
      <c r="GT32" s="142"/>
      <c r="GU32" s="142"/>
      <c r="GV32" s="142"/>
      <c r="GW32" s="142"/>
      <c r="GX32" s="142"/>
      <c r="GY32" s="142"/>
      <c r="GZ32" s="142"/>
      <c r="HA32" s="142"/>
      <c r="HB32" s="142"/>
      <c r="HC32" s="142"/>
      <c r="HD32" s="142"/>
      <c r="HE32" s="142"/>
      <c r="HF32" s="142"/>
      <c r="HG32" s="142"/>
      <c r="HH32" s="142"/>
      <c r="HI32" s="142"/>
      <c r="HJ32" s="142"/>
      <c r="HK32" s="142"/>
      <c r="HL32" s="142"/>
      <c r="HM32" s="142"/>
      <c r="HN32" s="142"/>
      <c r="HO32" s="142"/>
      <c r="HP32" s="142"/>
      <c r="HQ32" s="142"/>
      <c r="HR32" s="142"/>
      <c r="HS32" s="142"/>
      <c r="HT32" s="142"/>
      <c r="HU32" s="142"/>
      <c r="HV32" s="142"/>
      <c r="HW32" s="142"/>
      <c r="HX32" s="142"/>
      <c r="HY32" s="142"/>
      <c r="HZ32" s="142"/>
      <c r="IA32" s="142"/>
      <c r="IB32" s="142"/>
      <c r="IC32" s="142"/>
      <c r="ID32" s="142"/>
      <c r="IE32" s="142"/>
      <c r="IF32" s="142"/>
      <c r="IG32" s="142"/>
      <c r="IH32" s="142"/>
      <c r="II32" s="142"/>
      <c r="IJ32" s="142"/>
      <c r="IK32" s="142"/>
      <c r="IL32" s="142"/>
      <c r="IM32" s="142"/>
      <c r="IN32" s="142"/>
      <c r="IO32" s="142"/>
      <c r="IP32" s="142"/>
      <c r="IQ32" s="142"/>
      <c r="IR32" s="142"/>
      <c r="IS32" s="142"/>
      <c r="IT32" s="142"/>
      <c r="IU32" s="142"/>
      <c r="IV32" s="142"/>
    </row>
    <row r="33" spans="1:256" s="216" customFormat="1" ht="27" customHeight="1" x14ac:dyDescent="0.35">
      <c r="A33" s="228">
        <v>25</v>
      </c>
      <c r="B33" s="1998" t="s">
        <v>13</v>
      </c>
      <c r="C33" s="1999"/>
      <c r="D33" s="1999"/>
      <c r="E33" s="1999"/>
      <c r="F33" s="1999"/>
      <c r="G33" s="2000"/>
      <c r="H33" s="716"/>
      <c r="I33" s="717"/>
      <c r="J33" s="717"/>
      <c r="K33" s="1520"/>
      <c r="L33" s="1520"/>
      <c r="M33" s="1520"/>
      <c r="N33" s="1520"/>
      <c r="O33" s="1521"/>
      <c r="P33" s="718"/>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2"/>
      <c r="GE33" s="142"/>
      <c r="GF33" s="142"/>
      <c r="GG33" s="142"/>
      <c r="GH33" s="142"/>
      <c r="GI33" s="142"/>
      <c r="GJ33" s="142"/>
      <c r="GK33" s="142"/>
      <c r="GL33" s="142"/>
      <c r="GM33" s="142"/>
      <c r="GN33" s="142"/>
      <c r="GO33" s="142"/>
      <c r="GP33" s="142"/>
      <c r="GQ33" s="142"/>
      <c r="GR33" s="142"/>
      <c r="GS33" s="142"/>
      <c r="GT33" s="142"/>
      <c r="GU33" s="142"/>
      <c r="GV33" s="142"/>
      <c r="GW33" s="142"/>
      <c r="GX33" s="142"/>
      <c r="GY33" s="142"/>
      <c r="GZ33" s="142"/>
      <c r="HA33" s="142"/>
      <c r="HB33" s="142"/>
      <c r="HC33" s="142"/>
      <c r="HD33" s="142"/>
      <c r="HE33" s="142"/>
      <c r="HF33" s="142"/>
      <c r="HG33" s="142"/>
      <c r="HH33" s="142"/>
      <c r="HI33" s="142"/>
      <c r="HJ33" s="142"/>
      <c r="HK33" s="142"/>
      <c r="HL33" s="142"/>
      <c r="HM33" s="142"/>
      <c r="HN33" s="142"/>
      <c r="HO33" s="142"/>
      <c r="HP33" s="142"/>
      <c r="HQ33" s="142"/>
      <c r="HR33" s="142"/>
      <c r="HS33" s="142"/>
      <c r="HT33" s="142"/>
      <c r="HU33" s="142"/>
      <c r="HV33" s="142"/>
      <c r="HW33" s="142"/>
      <c r="HX33" s="142"/>
      <c r="HY33" s="142"/>
      <c r="HZ33" s="142"/>
      <c r="IA33" s="142"/>
      <c r="IB33" s="142"/>
      <c r="IC33" s="142"/>
      <c r="ID33" s="142"/>
      <c r="IE33" s="142"/>
      <c r="IF33" s="142"/>
      <c r="IG33" s="142"/>
      <c r="IH33" s="142"/>
      <c r="II33" s="142"/>
      <c r="IJ33" s="142"/>
      <c r="IK33" s="142"/>
      <c r="IL33" s="142"/>
      <c r="IM33" s="142"/>
      <c r="IN33" s="142"/>
      <c r="IO33" s="142"/>
      <c r="IP33" s="142"/>
      <c r="IQ33" s="142"/>
      <c r="IR33" s="142"/>
      <c r="IS33" s="142"/>
      <c r="IT33" s="142"/>
      <c r="IU33" s="142"/>
      <c r="IV33" s="142"/>
    </row>
    <row r="34" spans="1:256" s="146" customFormat="1" ht="20.100000000000001" customHeight="1" x14ac:dyDescent="0.35">
      <c r="A34" s="228">
        <v>26</v>
      </c>
      <c r="B34" s="925"/>
      <c r="C34" s="926"/>
      <c r="D34" s="288" t="s">
        <v>252</v>
      </c>
      <c r="E34" s="929"/>
      <c r="F34" s="929"/>
      <c r="G34" s="927"/>
      <c r="H34" s="1525"/>
      <c r="I34" s="721">
        <f t="shared" ref="I34:N34" si="6">I27+I23+I19+I15+I11</f>
        <v>0</v>
      </c>
      <c r="J34" s="721">
        <f t="shared" si="6"/>
        <v>0</v>
      </c>
      <c r="K34" s="721">
        <f t="shared" si="6"/>
        <v>103489</v>
      </c>
      <c r="L34" s="721">
        <f t="shared" si="6"/>
        <v>0</v>
      </c>
      <c r="M34" s="721">
        <f t="shared" si="6"/>
        <v>5774430</v>
      </c>
      <c r="N34" s="721">
        <f t="shared" si="6"/>
        <v>0</v>
      </c>
      <c r="O34" s="287">
        <f>SUM(I34:N34)</f>
        <v>5877919</v>
      </c>
      <c r="P34" s="1526">
        <f>SUM(P10:P27)</f>
        <v>0</v>
      </c>
    </row>
    <row r="35" spans="1:256" s="146" customFormat="1" ht="20.100000000000001" customHeight="1" x14ac:dyDescent="0.35">
      <c r="A35" s="228">
        <v>27</v>
      </c>
      <c r="B35" s="946"/>
      <c r="C35" s="929"/>
      <c r="D35" s="943" t="s">
        <v>921</v>
      </c>
      <c r="E35" s="929"/>
      <c r="F35" s="929"/>
      <c r="G35" s="945"/>
      <c r="H35" s="1528"/>
      <c r="I35" s="954">
        <f t="shared" ref="I35:N36" si="7">I28+I24+I20+I16+I12+I31</f>
        <v>0</v>
      </c>
      <c r="J35" s="954">
        <f t="shared" si="7"/>
        <v>0</v>
      </c>
      <c r="K35" s="954">
        <f t="shared" si="7"/>
        <v>103489</v>
      </c>
      <c r="L35" s="954">
        <f t="shared" si="7"/>
        <v>0</v>
      </c>
      <c r="M35" s="954">
        <f t="shared" si="7"/>
        <v>5794420</v>
      </c>
      <c r="N35" s="954">
        <f t="shared" si="7"/>
        <v>0</v>
      </c>
      <c r="O35" s="1182">
        <f t="shared" ref="O35:O36" si="8">SUM(I35:N35)</f>
        <v>5897909</v>
      </c>
      <c r="P35" s="947"/>
    </row>
    <row r="36" spans="1:256" s="146" customFormat="1" ht="20.100000000000001" customHeight="1" thickBot="1" x14ac:dyDescent="0.4">
      <c r="A36" s="228">
        <v>28</v>
      </c>
      <c r="B36" s="722"/>
      <c r="C36" s="723"/>
      <c r="D36" s="1692" t="s">
        <v>973</v>
      </c>
      <c r="E36" s="723"/>
      <c r="F36" s="723"/>
      <c r="G36" s="931"/>
      <c r="H36" s="1529"/>
      <c r="I36" s="1756">
        <f t="shared" si="7"/>
        <v>0</v>
      </c>
      <c r="J36" s="1756">
        <f t="shared" si="7"/>
        <v>0</v>
      </c>
      <c r="K36" s="1756">
        <f t="shared" si="7"/>
        <v>20964</v>
      </c>
      <c r="L36" s="1756">
        <f t="shared" si="7"/>
        <v>0</v>
      </c>
      <c r="M36" s="1756">
        <f t="shared" si="7"/>
        <v>107730</v>
      </c>
      <c r="N36" s="1756">
        <f t="shared" si="7"/>
        <v>0</v>
      </c>
      <c r="O36" s="1694">
        <f t="shared" si="8"/>
        <v>128694</v>
      </c>
      <c r="P36" s="932"/>
    </row>
    <row r="37" spans="1:256" ht="17.100000000000001" customHeight="1" x14ac:dyDescent="0.35">
      <c r="B37" s="1522" t="s">
        <v>25</v>
      </c>
      <c r="C37" s="1523"/>
      <c r="D37" s="1522"/>
      <c r="E37" s="153"/>
      <c r="F37" s="154"/>
      <c r="G37" s="153"/>
      <c r="H37" s="1508"/>
      <c r="I37" s="153"/>
      <c r="J37" s="153"/>
      <c r="K37" s="153"/>
      <c r="L37" s="153"/>
      <c r="M37" s="153"/>
      <c r="N37" s="153"/>
      <c r="O37" s="230"/>
    </row>
    <row r="38" spans="1:256" ht="17.100000000000001" customHeight="1" x14ac:dyDescent="0.35">
      <c r="B38" s="1522" t="s">
        <v>26</v>
      </c>
      <c r="C38" s="1523"/>
      <c r="D38" s="1522"/>
      <c r="E38" s="1507"/>
      <c r="F38" s="154"/>
      <c r="G38" s="153"/>
      <c r="H38" s="1508"/>
      <c r="I38" s="153"/>
      <c r="J38" s="153"/>
      <c r="K38" s="153"/>
      <c r="L38" s="153"/>
      <c r="M38" s="153"/>
      <c r="N38" s="153"/>
      <c r="O38" s="230"/>
    </row>
    <row r="39" spans="1:256" ht="17.100000000000001" customHeight="1" x14ac:dyDescent="0.35">
      <c r="B39" s="1522" t="s">
        <v>27</v>
      </c>
      <c r="C39" s="1523"/>
      <c r="D39" s="1522"/>
      <c r="E39" s="1507"/>
      <c r="F39" s="154"/>
      <c r="G39" s="153"/>
      <c r="H39" s="1508"/>
      <c r="I39" s="153"/>
      <c r="J39" s="153"/>
      <c r="K39" s="153"/>
      <c r="L39" s="153"/>
      <c r="M39" s="153"/>
      <c r="N39" s="153"/>
      <c r="O39" s="230"/>
    </row>
    <row r="40" spans="1:256" ht="17.100000000000001" customHeight="1" x14ac:dyDescent="0.35">
      <c r="B40" s="150" t="s">
        <v>963</v>
      </c>
      <c r="C40" s="150"/>
    </row>
  </sheetData>
  <mergeCells count="17">
    <mergeCell ref="B33:G33"/>
    <mergeCell ref="I6:O6"/>
    <mergeCell ref="I1:P1"/>
    <mergeCell ref="A2:P2"/>
    <mergeCell ref="A3:P3"/>
    <mergeCell ref="B6:B8"/>
    <mergeCell ref="C6:C8"/>
    <mergeCell ref="D6:D8"/>
    <mergeCell ref="E6:E8"/>
    <mergeCell ref="F6:F8"/>
    <mergeCell ref="P6:P8"/>
    <mergeCell ref="Q6:R6"/>
    <mergeCell ref="I7:L7"/>
    <mergeCell ref="M7:N7"/>
    <mergeCell ref="O7:O8"/>
    <mergeCell ref="G6:G8"/>
    <mergeCell ref="H6:H8"/>
  </mergeCells>
  <printOptions horizontalCentered="1"/>
  <pageMargins left="0.19685039370078741" right="0.19685039370078741" top="0.59055118110236227" bottom="0.59055118110236227" header="0.51181102362204722" footer="0.51181102362204722"/>
  <pageSetup paperSize="9" scale="60" fitToHeight="0" orientation="landscape" r:id="rId1"/>
  <headerFooter>
    <oddFooter>&amp;C- &amp;P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IV174"/>
  <sheetViews>
    <sheetView view="pageBreakPreview" topLeftCell="A19" zoomScaleNormal="100" zoomScaleSheetLayoutView="100" workbookViewId="0">
      <selection activeCell="B1" sqref="B1"/>
    </sheetView>
  </sheetViews>
  <sheetFormatPr defaultColWidth="9.28515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5" width="14.7109375" style="241" customWidth="1"/>
    <col min="16" max="16" width="15.7109375" style="229" customWidth="1"/>
    <col min="17" max="17" width="13.7109375" style="241" customWidth="1"/>
    <col min="18" max="16384" width="9.28515625" style="142"/>
  </cols>
  <sheetData>
    <row r="1" spans="1:256" ht="18" customHeight="1" x14ac:dyDescent="0.3">
      <c r="B1" s="727" t="s">
        <v>1023</v>
      </c>
      <c r="C1" s="727"/>
      <c r="D1" s="727"/>
      <c r="E1" s="200"/>
      <c r="F1" s="200"/>
      <c r="G1" s="200"/>
      <c r="H1" s="210"/>
      <c r="I1" s="1932"/>
      <c r="J1" s="1932"/>
      <c r="K1" s="1932"/>
      <c r="L1" s="1932"/>
      <c r="M1" s="1932"/>
      <c r="N1" s="1932"/>
      <c r="O1" s="1932"/>
      <c r="P1" s="1932"/>
      <c r="Q1" s="1932"/>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1"/>
      <c r="BG1" s="201"/>
      <c r="BH1" s="201"/>
      <c r="BI1" s="201"/>
      <c r="BJ1" s="201"/>
      <c r="BK1" s="201"/>
      <c r="BL1" s="201"/>
      <c r="BM1" s="201"/>
      <c r="BN1" s="201"/>
      <c r="BO1" s="201"/>
      <c r="BP1" s="201"/>
      <c r="BQ1" s="201"/>
      <c r="BR1" s="201"/>
      <c r="BS1" s="201"/>
      <c r="BT1" s="201"/>
      <c r="BU1" s="201"/>
      <c r="BV1" s="201"/>
      <c r="BW1" s="201"/>
      <c r="BX1" s="201"/>
      <c r="BY1" s="201"/>
      <c r="BZ1" s="201"/>
      <c r="CA1" s="201"/>
      <c r="CB1" s="201"/>
      <c r="CC1" s="201"/>
      <c r="CD1" s="201"/>
      <c r="CE1" s="201"/>
      <c r="CF1" s="201"/>
      <c r="CG1" s="201"/>
      <c r="CH1" s="201"/>
      <c r="CI1" s="201"/>
      <c r="CJ1" s="201"/>
      <c r="CK1" s="201"/>
      <c r="CL1" s="201"/>
      <c r="CM1" s="201"/>
      <c r="CN1" s="201"/>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c r="FN1" s="201"/>
      <c r="FO1" s="201"/>
      <c r="FP1" s="201"/>
      <c r="FQ1" s="201"/>
      <c r="FR1" s="201"/>
      <c r="FS1" s="201"/>
      <c r="FT1" s="201"/>
      <c r="FU1" s="201"/>
      <c r="FV1" s="201"/>
      <c r="FW1" s="201"/>
      <c r="FX1" s="201"/>
      <c r="FY1" s="201"/>
      <c r="FZ1" s="201"/>
      <c r="GA1" s="201"/>
      <c r="GB1" s="201"/>
      <c r="GC1" s="201"/>
      <c r="GD1" s="201"/>
      <c r="GE1" s="201"/>
      <c r="GF1" s="201"/>
      <c r="GG1" s="201"/>
      <c r="GH1" s="201"/>
      <c r="GI1" s="201"/>
      <c r="GJ1" s="201"/>
      <c r="GK1" s="201"/>
      <c r="GL1" s="201"/>
      <c r="GM1" s="201"/>
      <c r="GN1" s="201"/>
      <c r="GO1" s="201"/>
      <c r="GP1" s="201"/>
      <c r="GQ1" s="201"/>
      <c r="GR1" s="201"/>
      <c r="GS1" s="201"/>
      <c r="GT1" s="201"/>
      <c r="GU1" s="201"/>
      <c r="GV1" s="201"/>
      <c r="GW1" s="201"/>
      <c r="GX1" s="201"/>
      <c r="GY1" s="201"/>
      <c r="GZ1" s="201"/>
      <c r="HA1" s="201"/>
      <c r="HB1" s="201"/>
      <c r="HC1" s="201"/>
      <c r="HD1" s="201"/>
      <c r="HE1" s="201"/>
      <c r="HF1" s="201"/>
      <c r="HG1" s="201"/>
      <c r="HH1" s="201"/>
      <c r="HI1" s="201"/>
      <c r="HJ1" s="201"/>
      <c r="HK1" s="201"/>
      <c r="HL1" s="201"/>
      <c r="HM1" s="201"/>
      <c r="HN1" s="201"/>
      <c r="HO1" s="201"/>
      <c r="HP1" s="201"/>
      <c r="HQ1" s="201"/>
      <c r="HR1" s="201"/>
      <c r="HS1" s="201"/>
      <c r="HT1" s="201"/>
      <c r="HU1" s="201"/>
      <c r="HV1" s="201"/>
      <c r="HW1" s="201"/>
      <c r="HX1" s="201"/>
      <c r="HY1" s="201"/>
      <c r="HZ1" s="201"/>
      <c r="IA1" s="201"/>
      <c r="IB1" s="201"/>
      <c r="IC1" s="201"/>
      <c r="ID1" s="201"/>
      <c r="IE1" s="201"/>
      <c r="IF1" s="201"/>
      <c r="IG1" s="201"/>
      <c r="IH1" s="201"/>
      <c r="II1" s="201"/>
      <c r="IJ1" s="201"/>
      <c r="IK1" s="201"/>
      <c r="IL1" s="201"/>
      <c r="IM1" s="201"/>
      <c r="IN1" s="201"/>
      <c r="IO1" s="201"/>
      <c r="IP1" s="201"/>
      <c r="IQ1" s="201"/>
    </row>
    <row r="2" spans="1:256" ht="24.75" customHeight="1" x14ac:dyDescent="0.35">
      <c r="A2" s="1933" t="s">
        <v>14</v>
      </c>
      <c r="B2" s="1933"/>
      <c r="C2" s="1933"/>
      <c r="D2" s="1933"/>
      <c r="E2" s="1933"/>
      <c r="F2" s="1933"/>
      <c r="G2" s="1933"/>
      <c r="H2" s="1933"/>
      <c r="I2" s="1933"/>
      <c r="J2" s="1933"/>
      <c r="K2" s="1933"/>
      <c r="L2" s="1933"/>
      <c r="M2" s="1933"/>
      <c r="N2" s="1933"/>
      <c r="O2" s="1933"/>
      <c r="P2" s="1933"/>
      <c r="Q2" s="1933"/>
    </row>
    <row r="3" spans="1:256" ht="24.75" customHeight="1" x14ac:dyDescent="0.35">
      <c r="A3" s="1982" t="s">
        <v>1022</v>
      </c>
      <c r="B3" s="1982"/>
      <c r="C3" s="1982"/>
      <c r="D3" s="1982"/>
      <c r="E3" s="1982"/>
      <c r="F3" s="1982"/>
      <c r="G3" s="1982"/>
      <c r="H3" s="1982"/>
      <c r="I3" s="1982"/>
      <c r="J3" s="1982"/>
      <c r="K3" s="1982"/>
      <c r="L3" s="1982"/>
      <c r="M3" s="1982"/>
      <c r="N3" s="1982"/>
      <c r="O3" s="1982"/>
      <c r="P3" s="1982"/>
      <c r="Q3" s="1982"/>
    </row>
    <row r="4" spans="1:256" s="207" customFormat="1" ht="18" customHeight="1" x14ac:dyDescent="0.3">
      <c r="A4" s="209"/>
      <c r="B4" s="209"/>
      <c r="C4" s="209"/>
      <c r="E4" s="206"/>
      <c r="F4" s="206"/>
      <c r="G4" s="206"/>
      <c r="H4" s="247"/>
      <c r="I4" s="206"/>
      <c r="J4" s="206"/>
      <c r="K4" s="206"/>
      <c r="L4" s="206"/>
      <c r="M4" s="206"/>
      <c r="N4" s="206"/>
      <c r="O4" s="206"/>
      <c r="P4" s="248"/>
      <c r="Q4" s="208" t="s">
        <v>0</v>
      </c>
    </row>
    <row r="5" spans="1:256" s="236" customFormat="1" ht="18" customHeight="1" thickBot="1" x14ac:dyDescent="0.35">
      <c r="A5" s="249"/>
      <c r="B5" s="250" t="s">
        <v>1</v>
      </c>
      <c r="C5" s="251" t="s">
        <v>3</v>
      </c>
      <c r="D5" s="251" t="s">
        <v>2</v>
      </c>
      <c r="E5" s="251" t="s">
        <v>4</v>
      </c>
      <c r="F5" s="251" t="s">
        <v>5</v>
      </c>
      <c r="G5" s="251" t="s">
        <v>15</v>
      </c>
      <c r="H5" s="251" t="s">
        <v>16</v>
      </c>
      <c r="I5" s="251" t="s">
        <v>17</v>
      </c>
      <c r="J5" s="251" t="s">
        <v>32</v>
      </c>
      <c r="K5" s="251" t="s">
        <v>28</v>
      </c>
      <c r="L5" s="251" t="s">
        <v>23</v>
      </c>
      <c r="M5" s="251" t="s">
        <v>33</v>
      </c>
      <c r="N5" s="251" t="s">
        <v>34</v>
      </c>
      <c r="O5" s="251" t="s">
        <v>126</v>
      </c>
      <c r="P5" s="251" t="s">
        <v>127</v>
      </c>
      <c r="Q5" s="251" t="s">
        <v>128</v>
      </c>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249"/>
      <c r="BH5" s="249"/>
      <c r="BI5" s="249"/>
      <c r="BJ5" s="249"/>
      <c r="BK5" s="249"/>
      <c r="BL5" s="249"/>
      <c r="BM5" s="249"/>
      <c r="BN5" s="249"/>
      <c r="BO5" s="249"/>
      <c r="BP5" s="249"/>
      <c r="BQ5" s="249"/>
      <c r="BR5" s="249"/>
      <c r="BS5" s="249"/>
      <c r="BT5" s="249"/>
      <c r="BU5" s="249"/>
      <c r="BV5" s="249"/>
      <c r="BW5" s="249"/>
      <c r="BX5" s="249"/>
      <c r="BY5" s="249"/>
      <c r="BZ5" s="249"/>
      <c r="CA5" s="249"/>
      <c r="CB5" s="249"/>
      <c r="CC5" s="249"/>
      <c r="CD5" s="249"/>
      <c r="CE5" s="249"/>
      <c r="CF5" s="249"/>
      <c r="CG5" s="249"/>
      <c r="CH5" s="249"/>
      <c r="CI5" s="249"/>
      <c r="CJ5" s="249"/>
      <c r="CK5" s="249"/>
      <c r="CL5" s="249"/>
      <c r="CM5" s="249"/>
      <c r="CN5" s="249"/>
      <c r="CO5" s="249"/>
      <c r="CP5" s="249"/>
      <c r="CQ5" s="249"/>
      <c r="CR5" s="249"/>
      <c r="CS5" s="249"/>
      <c r="CT5" s="249"/>
      <c r="CU5" s="249"/>
      <c r="CV5" s="249"/>
      <c r="CW5" s="249"/>
      <c r="CX5" s="249"/>
      <c r="CY5" s="249"/>
      <c r="CZ5" s="249"/>
      <c r="DA5" s="249"/>
      <c r="DB5" s="249"/>
      <c r="DC5" s="249"/>
      <c r="DD5" s="249"/>
      <c r="DE5" s="249"/>
      <c r="DF5" s="249"/>
      <c r="DG5" s="249"/>
      <c r="DH5" s="249"/>
      <c r="DI5" s="249"/>
      <c r="DJ5" s="249"/>
      <c r="DK5" s="249"/>
      <c r="DL5" s="249"/>
      <c r="DM5" s="249"/>
      <c r="DN5" s="249"/>
      <c r="DO5" s="249"/>
      <c r="DP5" s="249"/>
      <c r="DQ5" s="249"/>
      <c r="DR5" s="249"/>
      <c r="DS5" s="249"/>
      <c r="DT5" s="249"/>
      <c r="DU5" s="249"/>
      <c r="DV5" s="249"/>
      <c r="DW5" s="249"/>
      <c r="DX5" s="249"/>
      <c r="DY5" s="249"/>
      <c r="DZ5" s="249"/>
      <c r="EA5" s="249"/>
      <c r="EB5" s="249"/>
      <c r="EC5" s="249"/>
      <c r="ED5" s="249"/>
      <c r="EE5" s="249"/>
      <c r="EF5" s="249"/>
      <c r="EG5" s="249"/>
      <c r="EH5" s="249"/>
      <c r="EI5" s="249"/>
      <c r="EJ5" s="249"/>
      <c r="EK5" s="249"/>
      <c r="EL5" s="249"/>
      <c r="EM5" s="249"/>
      <c r="EN5" s="249"/>
      <c r="EO5" s="249"/>
      <c r="EP5" s="249"/>
      <c r="EQ5" s="249"/>
      <c r="ER5" s="249"/>
      <c r="ES5" s="249"/>
      <c r="ET5" s="249"/>
      <c r="EU5" s="249"/>
      <c r="EV5" s="249"/>
      <c r="EW5" s="249"/>
      <c r="EX5" s="249"/>
      <c r="EY5" s="249"/>
      <c r="EZ5" s="249"/>
      <c r="FA5" s="249"/>
      <c r="FB5" s="249"/>
      <c r="FC5" s="249"/>
      <c r="FD5" s="249"/>
      <c r="FE5" s="249"/>
      <c r="FF5" s="249"/>
      <c r="FG5" s="249"/>
      <c r="FH5" s="249"/>
      <c r="FI5" s="249"/>
      <c r="FJ5" s="249"/>
      <c r="FK5" s="249"/>
      <c r="FL5" s="249"/>
      <c r="FM5" s="249"/>
      <c r="FN5" s="249"/>
      <c r="FO5" s="249"/>
      <c r="FP5" s="249"/>
      <c r="FQ5" s="249"/>
      <c r="FR5" s="249"/>
      <c r="FS5" s="249"/>
      <c r="FT5" s="249"/>
      <c r="FU5" s="249"/>
      <c r="FV5" s="249"/>
      <c r="FW5" s="249"/>
      <c r="FX5" s="249"/>
      <c r="FY5" s="249"/>
      <c r="FZ5" s="249"/>
      <c r="GA5" s="249"/>
      <c r="GB5" s="249"/>
      <c r="GC5" s="249"/>
      <c r="GD5" s="249"/>
      <c r="GE5" s="249"/>
      <c r="GF5" s="249"/>
      <c r="GG5" s="249"/>
      <c r="GH5" s="249"/>
      <c r="GI5" s="249"/>
      <c r="GJ5" s="249"/>
      <c r="GK5" s="249"/>
      <c r="GL5" s="249"/>
      <c r="GM5" s="249"/>
      <c r="GN5" s="249"/>
      <c r="GO5" s="249"/>
      <c r="GP5" s="249"/>
      <c r="GQ5" s="249"/>
      <c r="GR5" s="249"/>
      <c r="GS5" s="249"/>
      <c r="GT5" s="249"/>
      <c r="GU5" s="249"/>
      <c r="GV5" s="249"/>
      <c r="GW5" s="249"/>
      <c r="GX5" s="249"/>
      <c r="GY5" s="249"/>
      <c r="GZ5" s="249"/>
      <c r="HA5" s="249"/>
      <c r="HB5" s="249"/>
      <c r="HC5" s="249"/>
      <c r="HD5" s="249"/>
      <c r="HE5" s="249"/>
      <c r="HF5" s="249"/>
      <c r="HG5" s="249"/>
      <c r="HH5" s="249"/>
      <c r="HI5" s="249"/>
      <c r="HJ5" s="249"/>
      <c r="HK5" s="249"/>
      <c r="HL5" s="249"/>
      <c r="HM5" s="249"/>
      <c r="HN5" s="249"/>
      <c r="HO5" s="249"/>
      <c r="HP5" s="249"/>
      <c r="HQ5" s="249"/>
      <c r="HR5" s="249"/>
      <c r="HS5" s="249"/>
      <c r="HT5" s="249"/>
      <c r="HU5" s="249"/>
      <c r="HV5" s="249"/>
      <c r="HW5" s="249"/>
      <c r="HX5" s="249"/>
      <c r="HY5" s="249"/>
      <c r="HZ5" s="249"/>
      <c r="IA5" s="249"/>
      <c r="IB5" s="249"/>
      <c r="IC5" s="249"/>
      <c r="ID5" s="249"/>
      <c r="IE5" s="249"/>
      <c r="IF5" s="249"/>
      <c r="IG5" s="249"/>
      <c r="IH5" s="249"/>
      <c r="II5" s="249"/>
      <c r="IJ5" s="249"/>
      <c r="IK5" s="249"/>
      <c r="IL5" s="249"/>
      <c r="IM5" s="249"/>
      <c r="IN5" s="249"/>
      <c r="IO5" s="249"/>
      <c r="IP5" s="249"/>
      <c r="IQ5" s="249"/>
    </row>
    <row r="6" spans="1:256" ht="22.5" customHeight="1" x14ac:dyDescent="0.3">
      <c r="B6" s="1976" t="s">
        <v>18</v>
      </c>
      <c r="C6" s="1972" t="s">
        <v>19</v>
      </c>
      <c r="D6" s="1983" t="s">
        <v>6</v>
      </c>
      <c r="E6" s="1979" t="s">
        <v>521</v>
      </c>
      <c r="F6" s="1979" t="s">
        <v>550</v>
      </c>
      <c r="G6" s="1986" t="s">
        <v>846</v>
      </c>
      <c r="H6" s="1959" t="s">
        <v>20</v>
      </c>
      <c r="I6" s="1989" t="s">
        <v>524</v>
      </c>
      <c r="J6" s="1979"/>
      <c r="K6" s="1979"/>
      <c r="L6" s="1979"/>
      <c r="M6" s="1979"/>
      <c r="N6" s="1979"/>
      <c r="O6" s="1979"/>
      <c r="P6" s="1990"/>
      <c r="Q6" s="1991" t="s">
        <v>551</v>
      </c>
      <c r="R6" s="1975"/>
      <c r="S6" s="1975"/>
    </row>
    <row r="7" spans="1:256" ht="33" customHeight="1" x14ac:dyDescent="0.3">
      <c r="B7" s="1977"/>
      <c r="C7" s="1973"/>
      <c r="D7" s="1984"/>
      <c r="E7" s="1980"/>
      <c r="F7" s="1980"/>
      <c r="G7" s="1987"/>
      <c r="H7" s="1960"/>
      <c r="I7" s="1994" t="s">
        <v>333</v>
      </c>
      <c r="J7" s="1995"/>
      <c r="K7" s="1996"/>
      <c r="L7" s="1996"/>
      <c r="M7" s="1997" t="s">
        <v>129</v>
      </c>
      <c r="N7" s="1997"/>
      <c r="O7" s="1997"/>
      <c r="P7" s="1967" t="s">
        <v>102</v>
      </c>
      <c r="Q7" s="1992"/>
    </row>
    <row r="8" spans="1:256" ht="53.25" customHeight="1" thickBot="1" x14ac:dyDescent="0.35">
      <c r="B8" s="1978"/>
      <c r="C8" s="1974"/>
      <c r="D8" s="1985"/>
      <c r="E8" s="1981"/>
      <c r="F8" s="1981"/>
      <c r="G8" s="1988"/>
      <c r="H8" s="1961"/>
      <c r="I8" s="258" t="s">
        <v>36</v>
      </c>
      <c r="J8" s="212" t="s">
        <v>331</v>
      </c>
      <c r="K8" s="213" t="s">
        <v>38</v>
      </c>
      <c r="L8" s="213" t="s">
        <v>332</v>
      </c>
      <c r="M8" s="212" t="s">
        <v>193</v>
      </c>
      <c r="N8" s="212" t="s">
        <v>194</v>
      </c>
      <c r="O8" s="212" t="s">
        <v>130</v>
      </c>
      <c r="P8" s="1968"/>
      <c r="Q8" s="1993"/>
    </row>
    <row r="9" spans="1:256" s="216" customFormat="1" ht="22.5" customHeight="1" x14ac:dyDescent="0.35">
      <c r="A9" s="228">
        <v>1</v>
      </c>
      <c r="B9" s="214">
        <v>18</v>
      </c>
      <c r="C9" s="225" t="s">
        <v>14</v>
      </c>
      <c r="D9" s="253"/>
      <c r="E9" s="149"/>
      <c r="F9" s="147"/>
      <c r="G9" s="148"/>
      <c r="H9" s="262"/>
      <c r="I9" s="259"/>
      <c r="J9" s="231"/>
      <c r="K9" s="231"/>
      <c r="L9" s="231"/>
      <c r="M9" s="231"/>
      <c r="N9" s="231"/>
      <c r="O9" s="231"/>
      <c r="P9" s="215"/>
      <c r="Q9" s="655"/>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2"/>
      <c r="CN9" s="142"/>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2"/>
      <c r="EG9" s="142"/>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2"/>
      <c r="IT9" s="142"/>
      <c r="IU9" s="142"/>
      <c r="IV9" s="142"/>
    </row>
    <row r="10" spans="1:256" ht="25.15" customHeight="1" x14ac:dyDescent="0.35">
      <c r="A10" s="228">
        <v>2</v>
      </c>
      <c r="B10" s="198"/>
      <c r="C10" s="281">
        <v>8</v>
      </c>
      <c r="D10" s="283" t="s">
        <v>415</v>
      </c>
      <c r="E10" s="349"/>
      <c r="F10" s="349"/>
      <c r="G10" s="374"/>
      <c r="H10" s="262" t="s">
        <v>24</v>
      </c>
      <c r="I10" s="375"/>
      <c r="J10" s="375"/>
      <c r="K10" s="375"/>
      <c r="L10" s="375"/>
      <c r="M10" s="375"/>
      <c r="N10" s="375"/>
      <c r="O10" s="375"/>
      <c r="P10" s="376"/>
      <c r="Q10" s="377"/>
    </row>
    <row r="11" spans="1:256" ht="18" customHeight="1" x14ac:dyDescent="0.35">
      <c r="A11" s="228">
        <v>3</v>
      </c>
      <c r="B11" s="198"/>
      <c r="C11" s="344"/>
      <c r="D11" s="218" t="s">
        <v>351</v>
      </c>
      <c r="E11" s="151">
        <f>F11+G11+P13</f>
        <v>6411</v>
      </c>
      <c r="F11" s="656">
        <v>2887</v>
      </c>
      <c r="G11" s="656">
        <v>1524</v>
      </c>
      <c r="H11" s="370"/>
      <c r="I11" s="371"/>
      <c r="J11" s="371"/>
      <c r="K11" s="371"/>
      <c r="L11" s="371"/>
      <c r="M11" s="371"/>
      <c r="N11" s="371"/>
      <c r="O11" s="371"/>
      <c r="P11" s="1718"/>
      <c r="Q11" s="372"/>
    </row>
    <row r="12" spans="1:256" ht="18" customHeight="1" x14ac:dyDescent="0.35">
      <c r="A12" s="228">
        <v>4</v>
      </c>
      <c r="B12" s="198"/>
      <c r="C12" s="382"/>
      <c r="D12" s="386" t="s">
        <v>252</v>
      </c>
      <c r="E12" s="151"/>
      <c r="F12" s="347"/>
      <c r="G12" s="747"/>
      <c r="H12" s="385"/>
      <c r="I12" s="384"/>
      <c r="J12" s="384"/>
      <c r="K12" s="272">
        <v>2000</v>
      </c>
      <c r="L12" s="272"/>
      <c r="M12" s="272"/>
      <c r="N12" s="384"/>
      <c r="O12" s="384"/>
      <c r="P12" s="254">
        <f>SUM(I12:O12)</f>
        <v>2000</v>
      </c>
      <c r="Q12" s="383"/>
    </row>
    <row r="13" spans="1:256" ht="18" customHeight="1" x14ac:dyDescent="0.35">
      <c r="A13" s="228">
        <v>5</v>
      </c>
      <c r="B13" s="198"/>
      <c r="C13" s="382"/>
      <c r="D13" s="943" t="s">
        <v>921</v>
      </c>
      <c r="E13" s="151"/>
      <c r="F13" s="347"/>
      <c r="G13" s="747"/>
      <c r="H13" s="385"/>
      <c r="I13" s="384"/>
      <c r="J13" s="384"/>
      <c r="K13" s="921">
        <v>2000</v>
      </c>
      <c r="L13" s="921"/>
      <c r="M13" s="921"/>
      <c r="N13" s="384"/>
      <c r="O13" s="384"/>
      <c r="P13" s="224">
        <f>SUM(I13:O13)</f>
        <v>2000</v>
      </c>
      <c r="Q13" s="383"/>
    </row>
    <row r="14" spans="1:256" ht="18" customHeight="1" x14ac:dyDescent="0.35">
      <c r="A14" s="228">
        <v>6</v>
      </c>
      <c r="B14" s="198"/>
      <c r="C14" s="382"/>
      <c r="D14" s="928" t="s">
        <v>973</v>
      </c>
      <c r="E14" s="151"/>
      <c r="F14" s="347"/>
      <c r="G14" s="747"/>
      <c r="H14" s="385"/>
      <c r="I14" s="384"/>
      <c r="J14" s="384"/>
      <c r="K14" s="1752">
        <v>1994</v>
      </c>
      <c r="L14" s="272"/>
      <c r="M14" s="272"/>
      <c r="N14" s="384"/>
      <c r="O14" s="384"/>
      <c r="P14" s="922">
        <f>SUM(J14:O14)</f>
        <v>1994</v>
      </c>
      <c r="Q14" s="383"/>
    </row>
    <row r="15" spans="1:256" ht="18" customHeight="1" x14ac:dyDescent="0.35">
      <c r="A15" s="228">
        <v>7</v>
      </c>
      <c r="B15" s="198"/>
      <c r="C15" s="382"/>
      <c r="D15" s="956" t="s">
        <v>412</v>
      </c>
      <c r="E15" s="151">
        <f t="shared" ref="E15:E17" si="0">F15+G15</f>
        <v>61525</v>
      </c>
      <c r="F15" s="151">
        <v>61525</v>
      </c>
      <c r="G15" s="748"/>
      <c r="H15" s="385"/>
      <c r="I15" s="384"/>
      <c r="J15" s="384"/>
      <c r="K15" s="272"/>
      <c r="L15" s="272"/>
      <c r="M15" s="272"/>
      <c r="N15" s="384"/>
      <c r="O15" s="384"/>
      <c r="P15" s="224"/>
      <c r="Q15" s="383"/>
    </row>
    <row r="16" spans="1:256" ht="18" customHeight="1" x14ac:dyDescent="0.35">
      <c r="A16" s="228">
        <v>8</v>
      </c>
      <c r="B16" s="198"/>
      <c r="C16" s="382"/>
      <c r="D16" s="218" t="s">
        <v>413</v>
      </c>
      <c r="E16" s="151">
        <f t="shared" si="0"/>
        <v>93127</v>
      </c>
      <c r="F16" s="151">
        <f>122011-28884</f>
        <v>93127</v>
      </c>
      <c r="G16" s="748"/>
      <c r="H16" s="385"/>
      <c r="I16" s="384"/>
      <c r="J16" s="384"/>
      <c r="K16" s="272"/>
      <c r="L16" s="272"/>
      <c r="M16" s="272"/>
      <c r="N16" s="384"/>
      <c r="O16" s="384"/>
      <c r="P16" s="224"/>
      <c r="Q16" s="383"/>
    </row>
    <row r="17" spans="1:17" ht="18" customHeight="1" x14ac:dyDescent="0.35">
      <c r="A17" s="228">
        <v>9</v>
      </c>
      <c r="B17" s="198"/>
      <c r="C17" s="382"/>
      <c r="D17" s="218" t="s">
        <v>414</v>
      </c>
      <c r="E17" s="151">
        <f t="shared" si="0"/>
        <v>3429</v>
      </c>
      <c r="F17" s="151">
        <v>3429</v>
      </c>
      <c r="G17" s="748"/>
      <c r="H17" s="385"/>
      <c r="I17" s="384"/>
      <c r="J17" s="384"/>
      <c r="K17" s="272"/>
      <c r="L17" s="272"/>
      <c r="M17" s="272"/>
      <c r="N17" s="384"/>
      <c r="O17" s="384"/>
      <c r="P17" s="224"/>
      <c r="Q17" s="383"/>
    </row>
    <row r="18" spans="1:17" ht="18" customHeight="1" x14ac:dyDescent="0.35">
      <c r="A18" s="228">
        <v>10</v>
      </c>
      <c r="B18" s="198"/>
      <c r="C18" s="382"/>
      <c r="D18" s="218" t="s">
        <v>635</v>
      </c>
      <c r="E18" s="151">
        <f>F18+G18+P20</f>
        <v>49999</v>
      </c>
      <c r="F18" s="347"/>
      <c r="G18" s="227"/>
      <c r="H18" s="385"/>
      <c r="I18" s="384"/>
      <c r="J18" s="384"/>
      <c r="K18" s="272"/>
      <c r="L18" s="272"/>
      <c r="M18" s="272"/>
      <c r="N18" s="384"/>
      <c r="O18" s="384"/>
      <c r="P18" s="254"/>
      <c r="Q18" s="383"/>
    </row>
    <row r="19" spans="1:17" ht="18" customHeight="1" x14ac:dyDescent="0.35">
      <c r="A19" s="228">
        <v>11</v>
      </c>
      <c r="B19" s="198"/>
      <c r="C19" s="766"/>
      <c r="D19" s="762" t="s">
        <v>252</v>
      </c>
      <c r="E19" s="289"/>
      <c r="F19" s="951"/>
      <c r="G19" s="952"/>
      <c r="H19" s="953"/>
      <c r="I19" s="954"/>
      <c r="J19" s="954"/>
      <c r="K19" s="286"/>
      <c r="L19" s="286"/>
      <c r="M19" s="286">
        <v>49999</v>
      </c>
      <c r="N19" s="954"/>
      <c r="O19" s="954"/>
      <c r="P19" s="287">
        <f>SUM(I19:O19)</f>
        <v>49999</v>
      </c>
      <c r="Q19" s="955"/>
    </row>
    <row r="20" spans="1:17" ht="18" customHeight="1" x14ac:dyDescent="0.35">
      <c r="A20" s="228">
        <v>12</v>
      </c>
      <c r="B20" s="198"/>
      <c r="C20" s="766"/>
      <c r="D20" s="943" t="s">
        <v>921</v>
      </c>
      <c r="E20" s="289"/>
      <c r="F20" s="951"/>
      <c r="G20" s="952"/>
      <c r="H20" s="953"/>
      <c r="I20" s="954"/>
      <c r="J20" s="954"/>
      <c r="K20" s="858"/>
      <c r="L20" s="858"/>
      <c r="M20" s="858">
        <v>49999</v>
      </c>
      <c r="N20" s="954"/>
      <c r="O20" s="954"/>
      <c r="P20" s="1182">
        <f>SUM(I20:O20)</f>
        <v>49999</v>
      </c>
      <c r="Q20" s="955"/>
    </row>
    <row r="21" spans="1:17" ht="18" customHeight="1" thickBot="1" x14ac:dyDescent="0.4">
      <c r="A21" s="228">
        <v>13</v>
      </c>
      <c r="B21" s="198"/>
      <c r="C21" s="766"/>
      <c r="D21" s="1696" t="s">
        <v>973</v>
      </c>
      <c r="E21" s="289"/>
      <c r="F21" s="951"/>
      <c r="G21" s="952"/>
      <c r="H21" s="953"/>
      <c r="I21" s="954"/>
      <c r="J21" s="954"/>
      <c r="K21" s="286"/>
      <c r="L21" s="286"/>
      <c r="M21" s="1757">
        <v>49999</v>
      </c>
      <c r="N21" s="954"/>
      <c r="O21" s="954"/>
      <c r="P21" s="1533">
        <f>SUM(J21:O21)</f>
        <v>49999</v>
      </c>
      <c r="Q21" s="955"/>
    </row>
    <row r="22" spans="1:17" ht="25.15" customHeight="1" thickTop="1" x14ac:dyDescent="0.35">
      <c r="A22" s="228">
        <v>14</v>
      </c>
      <c r="B22" s="198"/>
      <c r="C22" s="1697"/>
      <c r="D22" s="1698" t="s">
        <v>416</v>
      </c>
      <c r="E22" s="1699">
        <f>SUM(E11:E21)</f>
        <v>214491</v>
      </c>
      <c r="F22" s="1699">
        <f>SUM(F11:F21)</f>
        <v>160968</v>
      </c>
      <c r="G22" s="1700">
        <f>SUM(G11:G21)</f>
        <v>1524</v>
      </c>
      <c r="H22" s="1701"/>
      <c r="I22" s="1702"/>
      <c r="J22" s="1702"/>
      <c r="K22" s="1702"/>
      <c r="L22" s="1702"/>
      <c r="M22" s="1702"/>
      <c r="N22" s="1702"/>
      <c r="O22" s="1702"/>
      <c r="P22" s="1703"/>
      <c r="Q22" s="1704"/>
    </row>
    <row r="23" spans="1:17" ht="18" customHeight="1" x14ac:dyDescent="0.35">
      <c r="A23" s="228">
        <v>15</v>
      </c>
      <c r="B23" s="198"/>
      <c r="C23" s="766"/>
      <c r="D23" s="762" t="s">
        <v>252</v>
      </c>
      <c r="E23" s="951"/>
      <c r="F23" s="951"/>
      <c r="G23" s="952"/>
      <c r="H23" s="953"/>
      <c r="I23" s="957">
        <f t="shared" ref="I23:O25" si="1">I19+I12</f>
        <v>0</v>
      </c>
      <c r="J23" s="957">
        <f t="shared" si="1"/>
        <v>0</v>
      </c>
      <c r="K23" s="721">
        <f t="shared" si="1"/>
        <v>2000</v>
      </c>
      <c r="L23" s="721">
        <f t="shared" si="1"/>
        <v>0</v>
      </c>
      <c r="M23" s="721">
        <f t="shared" si="1"/>
        <v>49999</v>
      </c>
      <c r="N23" s="957">
        <f t="shared" si="1"/>
        <v>0</v>
      </c>
      <c r="O23" s="957">
        <f t="shared" si="1"/>
        <v>0</v>
      </c>
      <c r="P23" s="761">
        <f>SUM(I23:O23)</f>
        <v>51999</v>
      </c>
      <c r="Q23" s="955"/>
    </row>
    <row r="24" spans="1:17" ht="18" customHeight="1" x14ac:dyDescent="0.35">
      <c r="A24" s="228">
        <v>16</v>
      </c>
      <c r="B24" s="714"/>
      <c r="C24" s="766"/>
      <c r="D24" s="943" t="s">
        <v>921</v>
      </c>
      <c r="E24" s="951"/>
      <c r="F24" s="951"/>
      <c r="G24" s="952"/>
      <c r="H24" s="953"/>
      <c r="I24" s="954">
        <f t="shared" si="1"/>
        <v>0</v>
      </c>
      <c r="J24" s="954">
        <f t="shared" si="1"/>
        <v>0</v>
      </c>
      <c r="K24" s="954">
        <f t="shared" si="1"/>
        <v>2000</v>
      </c>
      <c r="L24" s="954">
        <f t="shared" si="1"/>
        <v>0</v>
      </c>
      <c r="M24" s="954">
        <f t="shared" si="1"/>
        <v>49999</v>
      </c>
      <c r="N24" s="954">
        <f t="shared" si="1"/>
        <v>0</v>
      </c>
      <c r="O24" s="954">
        <f t="shared" si="1"/>
        <v>0</v>
      </c>
      <c r="P24" s="1422">
        <f>SUM(I24:O24)</f>
        <v>51999</v>
      </c>
      <c r="Q24" s="955"/>
    </row>
    <row r="25" spans="1:17" ht="18" customHeight="1" thickBot="1" x14ac:dyDescent="0.4">
      <c r="A25" s="228">
        <v>17</v>
      </c>
      <c r="B25" s="714"/>
      <c r="C25" s="378"/>
      <c r="D25" s="1706" t="s">
        <v>973</v>
      </c>
      <c r="E25" s="380"/>
      <c r="F25" s="380"/>
      <c r="G25" s="661"/>
      <c r="H25" s="662"/>
      <c r="I25" s="1707">
        <f t="shared" si="1"/>
        <v>0</v>
      </c>
      <c r="J25" s="1707">
        <f t="shared" si="1"/>
        <v>0</v>
      </c>
      <c r="K25" s="1707">
        <f t="shared" si="1"/>
        <v>1994</v>
      </c>
      <c r="L25" s="1707">
        <f t="shared" si="1"/>
        <v>0</v>
      </c>
      <c r="M25" s="1707">
        <f t="shared" si="1"/>
        <v>49999</v>
      </c>
      <c r="N25" s="1707">
        <f t="shared" si="1"/>
        <v>0</v>
      </c>
      <c r="O25" s="1707">
        <f t="shared" si="1"/>
        <v>0</v>
      </c>
      <c r="P25" s="1690">
        <f>SUM(J25:O25)</f>
        <v>51993</v>
      </c>
      <c r="Q25" s="958"/>
    </row>
    <row r="26" spans="1:17" ht="36.75" customHeight="1" thickTop="1" x14ac:dyDescent="0.35">
      <c r="A26" s="228">
        <v>18</v>
      </c>
      <c r="B26" s="714"/>
      <c r="C26" s="888">
        <v>19</v>
      </c>
      <c r="D26" s="889" t="s">
        <v>667</v>
      </c>
      <c r="E26" s="241">
        <f>F26+G26+P28</f>
        <v>1131053</v>
      </c>
      <c r="F26" s="1705">
        <v>638</v>
      </c>
      <c r="G26" s="241">
        <v>1020040</v>
      </c>
      <c r="H26" s="713" t="s">
        <v>24</v>
      </c>
      <c r="I26" s="755"/>
      <c r="J26" s="755"/>
      <c r="K26" s="755"/>
      <c r="L26" s="754"/>
      <c r="M26" s="764"/>
      <c r="N26" s="754"/>
      <c r="O26" s="754"/>
      <c r="P26" s="1719"/>
      <c r="Q26" s="655"/>
    </row>
    <row r="27" spans="1:17" ht="18" customHeight="1" x14ac:dyDescent="0.35">
      <c r="A27" s="228">
        <v>19</v>
      </c>
      <c r="B27" s="890"/>
      <c r="C27" s="285"/>
      <c r="D27" s="762" t="s">
        <v>252</v>
      </c>
      <c r="E27" s="731"/>
      <c r="F27" s="715"/>
      <c r="G27" s="731"/>
      <c r="H27" s="291"/>
      <c r="I27" s="857"/>
      <c r="J27" s="857"/>
      <c r="K27" s="857">
        <v>16266</v>
      </c>
      <c r="L27" s="857">
        <v>84827</v>
      </c>
      <c r="M27" s="720">
        <v>782</v>
      </c>
      <c r="N27" s="965"/>
      <c r="O27" s="965"/>
      <c r="P27" s="859">
        <f>SUM(I27:O27)</f>
        <v>101875</v>
      </c>
      <c r="Q27" s="284"/>
    </row>
    <row r="28" spans="1:17" ht="18" customHeight="1" x14ac:dyDescent="0.35">
      <c r="A28" s="228">
        <v>20</v>
      </c>
      <c r="B28" s="974"/>
      <c r="C28" s="766"/>
      <c r="D28" s="943" t="s">
        <v>921</v>
      </c>
      <c r="E28" s="731"/>
      <c r="F28" s="715"/>
      <c r="G28" s="731"/>
      <c r="H28" s="263"/>
      <c r="I28" s="965"/>
      <c r="J28" s="965"/>
      <c r="K28" s="965">
        <v>30688</v>
      </c>
      <c r="L28" s="965">
        <v>76827</v>
      </c>
      <c r="M28" s="965">
        <v>2860</v>
      </c>
      <c r="N28" s="965"/>
      <c r="O28" s="965"/>
      <c r="P28" s="1182">
        <f>SUM(I28:O28)</f>
        <v>110375</v>
      </c>
      <c r="Q28" s="1424"/>
    </row>
    <row r="29" spans="1:17" ht="18" customHeight="1" thickBot="1" x14ac:dyDescent="0.4">
      <c r="A29" s="228">
        <v>21</v>
      </c>
      <c r="B29" s="974"/>
      <c r="C29" s="660"/>
      <c r="D29" s="1706" t="s">
        <v>972</v>
      </c>
      <c r="E29" s="769"/>
      <c r="F29" s="975"/>
      <c r="G29" s="678"/>
      <c r="H29" s="966"/>
      <c r="I29" s="675"/>
      <c r="J29" s="675"/>
      <c r="K29" s="1708">
        <v>1426</v>
      </c>
      <c r="L29" s="1708">
        <v>53625</v>
      </c>
      <c r="M29" s="1708">
        <v>0</v>
      </c>
      <c r="N29" s="668"/>
      <c r="O29" s="668"/>
      <c r="P29" s="1690">
        <f>SUM(J29:O29)</f>
        <v>55051</v>
      </c>
      <c r="Q29" s="967"/>
    </row>
    <row r="30" spans="1:17" ht="25.15" customHeight="1" thickTop="1" x14ac:dyDescent="0.35">
      <c r="A30" s="228">
        <v>22</v>
      </c>
      <c r="B30" s="674"/>
      <c r="C30" s="387">
        <v>20</v>
      </c>
      <c r="D30" s="283" t="s">
        <v>462</v>
      </c>
      <c r="E30" s="349"/>
      <c r="F30" s="345"/>
      <c r="G30" s="350"/>
      <c r="H30" s="751" t="s">
        <v>24</v>
      </c>
      <c r="I30" s="749"/>
      <c r="J30" s="749"/>
      <c r="K30" s="749"/>
      <c r="L30" s="749"/>
      <c r="M30" s="749"/>
      <c r="N30" s="749"/>
      <c r="O30" s="749"/>
      <c r="P30" s="750"/>
      <c r="Q30" s="392"/>
    </row>
    <row r="31" spans="1:17" ht="34.5" customHeight="1" x14ac:dyDescent="0.35">
      <c r="A31" s="228">
        <v>23</v>
      </c>
      <c r="B31" s="198"/>
      <c r="C31" s="387"/>
      <c r="D31" s="659" t="s">
        <v>463</v>
      </c>
      <c r="E31" s="151">
        <f>F31+G31+P33</f>
        <v>354295</v>
      </c>
      <c r="F31" s="151">
        <v>63206</v>
      </c>
      <c r="G31" s="657">
        <v>188919</v>
      </c>
      <c r="H31" s="385"/>
      <c r="I31" s="891"/>
      <c r="J31" s="891"/>
      <c r="K31" s="891"/>
      <c r="L31" s="891"/>
      <c r="M31" s="891"/>
      <c r="N31" s="891"/>
      <c r="O31" s="891"/>
      <c r="P31" s="761"/>
      <c r="Q31" s="383"/>
    </row>
    <row r="32" spans="1:17" ht="18" customHeight="1" x14ac:dyDescent="0.35">
      <c r="A32" s="228">
        <v>24</v>
      </c>
      <c r="B32" s="198"/>
      <c r="C32" s="766"/>
      <c r="D32" s="762" t="s">
        <v>252</v>
      </c>
      <c r="E32" s="289"/>
      <c r="F32" s="347"/>
      <c r="G32" s="227"/>
      <c r="H32" s="385"/>
      <c r="I32" s="891"/>
      <c r="J32" s="891"/>
      <c r="K32" s="970">
        <v>77854</v>
      </c>
      <c r="L32" s="970"/>
      <c r="M32" s="970">
        <v>24316</v>
      </c>
      <c r="N32" s="891"/>
      <c r="O32" s="891"/>
      <c r="P32" s="761">
        <f>SUM(I32:O32)</f>
        <v>102170</v>
      </c>
      <c r="Q32" s="383"/>
    </row>
    <row r="33" spans="1:17" ht="18" customHeight="1" x14ac:dyDescent="0.35">
      <c r="A33" s="228">
        <v>25</v>
      </c>
      <c r="B33" s="198"/>
      <c r="C33" s="766"/>
      <c r="D33" s="943" t="s">
        <v>921</v>
      </c>
      <c r="E33" s="289"/>
      <c r="F33" s="345"/>
      <c r="G33" s="350"/>
      <c r="H33" s="391"/>
      <c r="I33" s="371"/>
      <c r="J33" s="371"/>
      <c r="K33" s="754">
        <v>77854</v>
      </c>
      <c r="L33" s="754"/>
      <c r="M33" s="754">
        <v>24316</v>
      </c>
      <c r="N33" s="371"/>
      <c r="O33" s="371"/>
      <c r="P33" s="1422">
        <f>SUM(I33:O33)</f>
        <v>102170</v>
      </c>
      <c r="Q33" s="392"/>
    </row>
    <row r="34" spans="1:17" ht="18" customHeight="1" thickBot="1" x14ac:dyDescent="0.4">
      <c r="A34" s="228">
        <v>26</v>
      </c>
      <c r="B34" s="198"/>
      <c r="C34" s="660"/>
      <c r="D34" s="1706" t="s">
        <v>973</v>
      </c>
      <c r="E34" s="379"/>
      <c r="F34" s="380"/>
      <c r="G34" s="661"/>
      <c r="H34" s="662"/>
      <c r="I34" s="673"/>
      <c r="J34" s="673"/>
      <c r="K34" s="1708">
        <v>77854</v>
      </c>
      <c r="L34" s="1708"/>
      <c r="M34" s="1708">
        <v>24316</v>
      </c>
      <c r="N34" s="673"/>
      <c r="O34" s="673"/>
      <c r="P34" s="1690">
        <f>SUM(J34:O34)</f>
        <v>102170</v>
      </c>
      <c r="Q34" s="663"/>
    </row>
    <row r="35" spans="1:17" ht="25.15" customHeight="1" thickTop="1" x14ac:dyDescent="0.35">
      <c r="A35" s="228">
        <v>27</v>
      </c>
      <c r="B35" s="198"/>
      <c r="C35" s="387">
        <v>30</v>
      </c>
      <c r="D35" s="283" t="s">
        <v>466</v>
      </c>
      <c r="E35" s="349"/>
      <c r="F35" s="349"/>
      <c r="G35" s="336"/>
      <c r="H35" s="262" t="s">
        <v>24</v>
      </c>
      <c r="I35" s="375"/>
      <c r="J35" s="375"/>
      <c r="K35" s="375"/>
      <c r="L35" s="375"/>
      <c r="M35" s="375"/>
      <c r="N35" s="375"/>
      <c r="O35" s="375"/>
      <c r="P35" s="335"/>
      <c r="Q35" s="390"/>
    </row>
    <row r="36" spans="1:17" ht="18" customHeight="1" x14ac:dyDescent="0.35">
      <c r="A36" s="228">
        <v>28</v>
      </c>
      <c r="B36" s="198"/>
      <c r="C36" s="382"/>
      <c r="D36" s="670" t="s">
        <v>467</v>
      </c>
      <c r="E36" s="347"/>
      <c r="F36" s="347"/>
      <c r="G36" s="227"/>
      <c r="H36" s="385"/>
      <c r="I36" s="373"/>
      <c r="J36" s="373"/>
      <c r="K36" s="373"/>
      <c r="L36" s="373"/>
      <c r="M36" s="373"/>
      <c r="N36" s="373"/>
      <c r="O36" s="373"/>
      <c r="P36" s="224"/>
      <c r="Q36" s="383"/>
    </row>
    <row r="37" spans="1:17" ht="38.25" customHeight="1" x14ac:dyDescent="0.35">
      <c r="A37" s="228">
        <v>29</v>
      </c>
      <c r="B37" s="198"/>
      <c r="C37" s="382"/>
      <c r="D37" s="670" t="s">
        <v>883</v>
      </c>
      <c r="E37" s="665">
        <f>F37+G37+P39</f>
        <v>75562</v>
      </c>
      <c r="F37" s="665">
        <v>18923</v>
      </c>
      <c r="G37" s="667">
        <v>15577</v>
      </c>
      <c r="H37" s="385"/>
      <c r="I37" s="373"/>
      <c r="J37" s="373"/>
      <c r="K37" s="373"/>
      <c r="L37" s="373"/>
      <c r="M37" s="373"/>
      <c r="N37" s="373"/>
      <c r="O37" s="373"/>
      <c r="P37" s="224"/>
      <c r="Q37" s="383"/>
    </row>
    <row r="38" spans="1:17" ht="18" customHeight="1" x14ac:dyDescent="0.35">
      <c r="A38" s="228">
        <v>30</v>
      </c>
      <c r="B38" s="198"/>
      <c r="C38" s="382"/>
      <c r="D38" s="386" t="s">
        <v>252</v>
      </c>
      <c r="E38" s="347"/>
      <c r="F38" s="347"/>
      <c r="G38" s="657"/>
      <c r="H38" s="385"/>
      <c r="I38" s="373"/>
      <c r="J38" s="373"/>
      <c r="K38" s="671">
        <v>39406</v>
      </c>
      <c r="L38" s="373"/>
      <c r="M38" s="373"/>
      <c r="N38" s="373"/>
      <c r="O38" s="373"/>
      <c r="P38" s="254">
        <f>SUM(I38:O38)</f>
        <v>39406</v>
      </c>
      <c r="Q38" s="383"/>
    </row>
    <row r="39" spans="1:17" ht="18" customHeight="1" x14ac:dyDescent="0.35">
      <c r="A39" s="228">
        <v>31</v>
      </c>
      <c r="B39" s="198"/>
      <c r="C39" s="382"/>
      <c r="D39" s="943" t="s">
        <v>921</v>
      </c>
      <c r="E39" s="347"/>
      <c r="F39" s="347"/>
      <c r="G39" s="657"/>
      <c r="H39" s="385"/>
      <c r="I39" s="373"/>
      <c r="J39" s="373"/>
      <c r="K39" s="260">
        <v>34458</v>
      </c>
      <c r="L39" s="373"/>
      <c r="M39" s="260">
        <v>6604</v>
      </c>
      <c r="N39" s="373"/>
      <c r="O39" s="373"/>
      <c r="P39" s="224">
        <f>SUM(I39:O39)</f>
        <v>41062</v>
      </c>
      <c r="Q39" s="383"/>
    </row>
    <row r="40" spans="1:17" ht="18" customHeight="1" x14ac:dyDescent="0.35">
      <c r="A40" s="228">
        <v>32</v>
      </c>
      <c r="B40" s="198"/>
      <c r="C40" s="382"/>
      <c r="D40" s="928" t="s">
        <v>972</v>
      </c>
      <c r="E40" s="347"/>
      <c r="F40" s="347"/>
      <c r="G40" s="657"/>
      <c r="H40" s="385"/>
      <c r="I40" s="373"/>
      <c r="J40" s="373"/>
      <c r="K40" s="1755">
        <v>34459</v>
      </c>
      <c r="L40" s="373"/>
      <c r="M40" s="1755">
        <v>4445</v>
      </c>
      <c r="N40" s="373"/>
      <c r="O40" s="373"/>
      <c r="P40" s="922">
        <f>SUM(J40:O40)</f>
        <v>38904</v>
      </c>
      <c r="Q40" s="383"/>
    </row>
    <row r="41" spans="1:17" ht="18" customHeight="1" x14ac:dyDescent="0.35">
      <c r="A41" s="228">
        <v>33</v>
      </c>
      <c r="B41" s="198"/>
      <c r="C41" s="382"/>
      <c r="D41" s="959" t="s">
        <v>468</v>
      </c>
      <c r="E41" s="665">
        <f>F41+G41</f>
        <v>20000</v>
      </c>
      <c r="F41" s="151">
        <v>20000</v>
      </c>
      <c r="G41" s="657"/>
      <c r="H41" s="385"/>
      <c r="I41" s="373"/>
      <c r="J41" s="373"/>
      <c r="K41" s="373"/>
      <c r="L41" s="373"/>
      <c r="M41" s="373"/>
      <c r="N41" s="373"/>
      <c r="O41" s="373"/>
      <c r="P41" s="224"/>
      <c r="Q41" s="383"/>
    </row>
    <row r="42" spans="1:17" ht="35.25" customHeight="1" x14ac:dyDescent="0.35">
      <c r="A42" s="228">
        <v>34</v>
      </c>
      <c r="B42" s="198"/>
      <c r="C42" s="382"/>
      <c r="D42" s="670" t="s">
        <v>469</v>
      </c>
      <c r="E42" s="665">
        <f>F42+G42+P44</f>
        <v>102850</v>
      </c>
      <c r="F42" s="347"/>
      <c r="G42" s="667">
        <v>29859</v>
      </c>
      <c r="H42" s="385"/>
      <c r="I42" s="373"/>
      <c r="J42" s="373"/>
      <c r="K42" s="373"/>
      <c r="L42" s="373"/>
      <c r="M42" s="373"/>
      <c r="N42" s="373"/>
      <c r="O42" s="373"/>
      <c r="P42" s="224"/>
      <c r="Q42" s="383"/>
    </row>
    <row r="43" spans="1:17" ht="18" customHeight="1" x14ac:dyDescent="0.35">
      <c r="A43" s="228">
        <v>35</v>
      </c>
      <c r="B43" s="198"/>
      <c r="C43" s="382"/>
      <c r="D43" s="386" t="s">
        <v>252</v>
      </c>
      <c r="E43" s="347"/>
      <c r="F43" s="347"/>
      <c r="G43" s="657"/>
      <c r="H43" s="385"/>
      <c r="I43" s="373"/>
      <c r="J43" s="373"/>
      <c r="K43" s="671">
        <v>8516</v>
      </c>
      <c r="L43" s="373"/>
      <c r="M43" s="671">
        <v>66131</v>
      </c>
      <c r="N43" s="373"/>
      <c r="O43" s="373"/>
      <c r="P43" s="254">
        <f>SUM(I43:O43)</f>
        <v>74647</v>
      </c>
      <c r="Q43" s="383"/>
    </row>
    <row r="44" spans="1:17" ht="18" customHeight="1" x14ac:dyDescent="0.35">
      <c r="A44" s="228">
        <v>36</v>
      </c>
      <c r="B44" s="198"/>
      <c r="C44" s="382"/>
      <c r="D44" s="943" t="s">
        <v>921</v>
      </c>
      <c r="E44" s="347"/>
      <c r="F44" s="347"/>
      <c r="G44" s="657"/>
      <c r="H44" s="385"/>
      <c r="I44" s="373"/>
      <c r="J44" s="373"/>
      <c r="K44" s="260">
        <v>1718</v>
      </c>
      <c r="L44" s="373"/>
      <c r="M44" s="260">
        <v>71273</v>
      </c>
      <c r="N44" s="373"/>
      <c r="O44" s="373"/>
      <c r="P44" s="224">
        <f>SUM(I44:O44)</f>
        <v>72991</v>
      </c>
      <c r="Q44" s="383"/>
    </row>
    <row r="45" spans="1:17" ht="18" customHeight="1" x14ac:dyDescent="0.35">
      <c r="A45" s="228">
        <v>37</v>
      </c>
      <c r="B45" s="198"/>
      <c r="C45" s="382"/>
      <c r="D45" s="928" t="s">
        <v>973</v>
      </c>
      <c r="E45" s="347"/>
      <c r="F45" s="347"/>
      <c r="G45" s="657"/>
      <c r="H45" s="385"/>
      <c r="I45" s="373"/>
      <c r="J45" s="373"/>
      <c r="K45" s="1755">
        <v>446</v>
      </c>
      <c r="L45" s="1190"/>
      <c r="M45" s="1755">
        <v>64810</v>
      </c>
      <c r="N45" s="373"/>
      <c r="O45" s="373"/>
      <c r="P45" s="922">
        <f>SUM(J45:O45)</f>
        <v>65256</v>
      </c>
      <c r="Q45" s="383"/>
    </row>
    <row r="46" spans="1:17" ht="18" customHeight="1" x14ac:dyDescent="0.35">
      <c r="A46" s="228">
        <v>38</v>
      </c>
      <c r="B46" s="198"/>
      <c r="C46" s="382"/>
      <c r="D46" s="670" t="s">
        <v>470</v>
      </c>
      <c r="E46" s="665">
        <f>F46+G46</f>
        <v>20080</v>
      </c>
      <c r="F46" s="347"/>
      <c r="G46" s="657">
        <v>20080</v>
      </c>
      <c r="H46" s="385"/>
      <c r="I46" s="373"/>
      <c r="J46" s="373"/>
      <c r="K46" s="373"/>
      <c r="L46" s="373"/>
      <c r="M46" s="373"/>
      <c r="N46" s="373"/>
      <c r="O46" s="373"/>
      <c r="P46" s="224"/>
      <c r="Q46" s="383"/>
    </row>
    <row r="47" spans="1:17" ht="18" customHeight="1" x14ac:dyDescent="0.35">
      <c r="A47" s="228">
        <v>39</v>
      </c>
      <c r="B47" s="198"/>
      <c r="C47" s="382"/>
      <c r="D47" s="670" t="s">
        <v>471</v>
      </c>
      <c r="E47" s="665">
        <f>F47+G47</f>
        <v>10000</v>
      </c>
      <c r="F47" s="347"/>
      <c r="G47" s="657">
        <v>10000</v>
      </c>
      <c r="H47" s="385"/>
      <c r="I47" s="373"/>
      <c r="J47" s="373"/>
      <c r="K47" s="373"/>
      <c r="L47" s="373"/>
      <c r="M47" s="373"/>
      <c r="N47" s="373"/>
      <c r="O47" s="373"/>
      <c r="P47" s="224"/>
      <c r="Q47" s="383"/>
    </row>
    <row r="48" spans="1:17" ht="18" customHeight="1" x14ac:dyDescent="0.35">
      <c r="A48" s="228">
        <v>40</v>
      </c>
      <c r="B48" s="198"/>
      <c r="C48" s="382"/>
      <c r="D48" s="670" t="s">
        <v>472</v>
      </c>
      <c r="E48" s="665">
        <f>F48+G48</f>
        <v>26000</v>
      </c>
      <c r="F48" s="347"/>
      <c r="G48" s="657">
        <v>26000</v>
      </c>
      <c r="H48" s="385"/>
      <c r="I48" s="373"/>
      <c r="J48" s="373"/>
      <c r="K48" s="373"/>
      <c r="L48" s="373"/>
      <c r="M48" s="373"/>
      <c r="N48" s="373"/>
      <c r="O48" s="373"/>
      <c r="P48" s="224"/>
      <c r="Q48" s="383"/>
    </row>
    <row r="49" spans="1:17" ht="18" customHeight="1" x14ac:dyDescent="0.35">
      <c r="A49" s="228">
        <v>41</v>
      </c>
      <c r="B49" s="198"/>
      <c r="C49" s="382"/>
      <c r="D49" s="670" t="s">
        <v>473</v>
      </c>
      <c r="E49" s="665">
        <f>F49+G49+P51</f>
        <v>60289</v>
      </c>
      <c r="F49" s="347"/>
      <c r="G49" s="657">
        <v>5063</v>
      </c>
      <c r="H49" s="385"/>
      <c r="I49" s="373"/>
      <c r="J49" s="373"/>
      <c r="K49" s="373"/>
      <c r="L49" s="373"/>
      <c r="M49" s="373"/>
      <c r="N49" s="373"/>
      <c r="O49" s="373"/>
      <c r="P49" s="224"/>
      <c r="Q49" s="383"/>
    </row>
    <row r="50" spans="1:17" ht="18" customHeight="1" x14ac:dyDescent="0.35">
      <c r="A50" s="228">
        <v>42</v>
      </c>
      <c r="B50" s="198"/>
      <c r="C50" s="766"/>
      <c r="D50" s="762" t="s">
        <v>252</v>
      </c>
      <c r="E50" s="951"/>
      <c r="F50" s="951"/>
      <c r="G50" s="960"/>
      <c r="H50" s="953"/>
      <c r="I50" s="961"/>
      <c r="J50" s="961"/>
      <c r="K50" s="857"/>
      <c r="L50" s="961"/>
      <c r="M50" s="857">
        <v>55226</v>
      </c>
      <c r="N50" s="961"/>
      <c r="O50" s="961"/>
      <c r="P50" s="287">
        <f>SUM(I50:O50)</f>
        <v>55226</v>
      </c>
      <c r="Q50" s="955"/>
    </row>
    <row r="51" spans="1:17" ht="18" customHeight="1" x14ac:dyDescent="0.35">
      <c r="A51" s="228">
        <v>43</v>
      </c>
      <c r="B51" s="198"/>
      <c r="C51" s="766"/>
      <c r="D51" s="943" t="s">
        <v>921</v>
      </c>
      <c r="E51" s="951"/>
      <c r="F51" s="951"/>
      <c r="G51" s="960"/>
      <c r="H51" s="953"/>
      <c r="I51" s="961"/>
      <c r="J51" s="961"/>
      <c r="K51" s="965"/>
      <c r="L51" s="961"/>
      <c r="M51" s="965">
        <v>55226</v>
      </c>
      <c r="N51" s="961"/>
      <c r="O51" s="961"/>
      <c r="P51" s="1182">
        <f>SUM(I51:O51)</f>
        <v>55226</v>
      </c>
      <c r="Q51" s="955"/>
    </row>
    <row r="52" spans="1:17" ht="18" customHeight="1" thickBot="1" x14ac:dyDescent="0.4">
      <c r="A52" s="228">
        <v>44</v>
      </c>
      <c r="B52" s="198"/>
      <c r="C52" s="660"/>
      <c r="D52" s="1709" t="s">
        <v>973</v>
      </c>
      <c r="E52" s="380"/>
      <c r="F52" s="380"/>
      <c r="G52" s="678"/>
      <c r="H52" s="662"/>
      <c r="I52" s="381"/>
      <c r="J52" s="381"/>
      <c r="K52" s="675"/>
      <c r="L52" s="381"/>
      <c r="M52" s="1708">
        <v>55226</v>
      </c>
      <c r="N52" s="381"/>
      <c r="O52" s="381"/>
      <c r="P52" s="1690">
        <f>SUM(J52:O52)</f>
        <v>55226</v>
      </c>
      <c r="Q52" s="663"/>
    </row>
    <row r="53" spans="1:17" ht="18" customHeight="1" thickTop="1" x14ac:dyDescent="0.35">
      <c r="A53" s="228">
        <v>45</v>
      </c>
      <c r="B53" s="198"/>
      <c r="C53" s="387"/>
      <c r="D53" s="726" t="s">
        <v>102</v>
      </c>
      <c r="E53" s="149">
        <f>SUM(E37:E50)</f>
        <v>314781</v>
      </c>
      <c r="F53" s="149">
        <f>SUM(F37:F50)</f>
        <v>38923</v>
      </c>
      <c r="G53" s="658">
        <f>SUM(G37:G50)</f>
        <v>106579</v>
      </c>
      <c r="H53" s="388"/>
      <c r="I53" s="375"/>
      <c r="J53" s="375"/>
      <c r="K53" s="375"/>
      <c r="L53" s="375"/>
      <c r="M53" s="375"/>
      <c r="N53" s="375"/>
      <c r="O53" s="375"/>
      <c r="P53" s="335"/>
      <c r="Q53" s="390"/>
    </row>
    <row r="54" spans="1:17" ht="18" customHeight="1" x14ac:dyDescent="0.35">
      <c r="A54" s="228">
        <v>46</v>
      </c>
      <c r="B54" s="198"/>
      <c r="C54" s="766"/>
      <c r="D54" s="962" t="s">
        <v>252</v>
      </c>
      <c r="E54" s="951"/>
      <c r="F54" s="951"/>
      <c r="G54" s="952"/>
      <c r="H54" s="953"/>
      <c r="I54" s="963">
        <f t="shared" ref="I54:O56" si="2">I50+I43+I38</f>
        <v>0</v>
      </c>
      <c r="J54" s="963">
        <f t="shared" si="2"/>
        <v>0</v>
      </c>
      <c r="K54" s="963">
        <f t="shared" si="2"/>
        <v>47922</v>
      </c>
      <c r="L54" s="963">
        <f t="shared" si="2"/>
        <v>0</v>
      </c>
      <c r="M54" s="963">
        <f t="shared" si="2"/>
        <v>121357</v>
      </c>
      <c r="N54" s="963">
        <f t="shared" si="2"/>
        <v>0</v>
      </c>
      <c r="O54" s="963">
        <f t="shared" si="2"/>
        <v>0</v>
      </c>
      <c r="P54" s="859">
        <f>SUM(I54:O54)</f>
        <v>169279</v>
      </c>
      <c r="Q54" s="955"/>
    </row>
    <row r="55" spans="1:17" ht="18" customHeight="1" x14ac:dyDescent="0.35">
      <c r="A55" s="228">
        <v>47</v>
      </c>
      <c r="B55" s="198"/>
      <c r="C55" s="766"/>
      <c r="D55" s="943" t="s">
        <v>921</v>
      </c>
      <c r="E55" s="951"/>
      <c r="F55" s="951"/>
      <c r="G55" s="952"/>
      <c r="H55" s="953"/>
      <c r="I55" s="961">
        <f t="shared" si="2"/>
        <v>0</v>
      </c>
      <c r="J55" s="961">
        <f t="shared" si="2"/>
        <v>0</v>
      </c>
      <c r="K55" s="961">
        <f t="shared" si="2"/>
        <v>36176</v>
      </c>
      <c r="L55" s="961">
        <f t="shared" si="2"/>
        <v>0</v>
      </c>
      <c r="M55" s="961">
        <f t="shared" si="2"/>
        <v>133103</v>
      </c>
      <c r="N55" s="961">
        <f t="shared" si="2"/>
        <v>0</v>
      </c>
      <c r="O55" s="961">
        <f t="shared" si="2"/>
        <v>0</v>
      </c>
      <c r="P55" s="1182">
        <f>SUM(I55:O55)</f>
        <v>169279</v>
      </c>
      <c r="Q55" s="955"/>
    </row>
    <row r="56" spans="1:17" ht="18" customHeight="1" thickBot="1" x14ac:dyDescent="0.4">
      <c r="A56" s="228">
        <v>48</v>
      </c>
      <c r="B56" s="198"/>
      <c r="C56" s="378"/>
      <c r="D56" s="1706" t="s">
        <v>973</v>
      </c>
      <c r="E56" s="380"/>
      <c r="F56" s="380"/>
      <c r="G56" s="661"/>
      <c r="H56" s="662"/>
      <c r="I56" s="1707">
        <f t="shared" si="2"/>
        <v>0</v>
      </c>
      <c r="J56" s="1707">
        <f t="shared" si="2"/>
        <v>0</v>
      </c>
      <c r="K56" s="1707">
        <f t="shared" si="2"/>
        <v>34905</v>
      </c>
      <c r="L56" s="1707">
        <f t="shared" si="2"/>
        <v>0</v>
      </c>
      <c r="M56" s="1707">
        <f t="shared" si="2"/>
        <v>124481</v>
      </c>
      <c r="N56" s="1707">
        <f t="shared" si="2"/>
        <v>0</v>
      </c>
      <c r="O56" s="1707">
        <f t="shared" si="2"/>
        <v>0</v>
      </c>
      <c r="P56" s="1690">
        <f>SUM(J56:O56)</f>
        <v>159386</v>
      </c>
      <c r="Q56" s="663"/>
    </row>
    <row r="57" spans="1:17" ht="25.15" customHeight="1" thickTop="1" x14ac:dyDescent="0.35">
      <c r="A57" s="228">
        <v>49</v>
      </c>
      <c r="B57" s="198"/>
      <c r="C57" s="387">
        <v>34</v>
      </c>
      <c r="D57" s="283" t="s">
        <v>465</v>
      </c>
      <c r="E57" s="349"/>
      <c r="F57" s="349"/>
      <c r="G57" s="336"/>
      <c r="H57" s="348" t="s">
        <v>24</v>
      </c>
      <c r="I57" s="389"/>
      <c r="J57" s="389"/>
      <c r="K57" s="389"/>
      <c r="L57" s="389"/>
      <c r="M57" s="389"/>
      <c r="N57" s="389"/>
      <c r="O57" s="389"/>
      <c r="P57" s="335"/>
      <c r="Q57" s="390"/>
    </row>
    <row r="58" spans="1:17" ht="18" customHeight="1" x14ac:dyDescent="0.35">
      <c r="A58" s="228">
        <v>50</v>
      </c>
      <c r="B58" s="198"/>
      <c r="C58" s="387"/>
      <c r="D58" s="218" t="s">
        <v>800</v>
      </c>
      <c r="E58" s="151">
        <f>F58+G58+P60</f>
        <v>24043</v>
      </c>
      <c r="F58" s="149">
        <v>182</v>
      </c>
      <c r="G58" s="658">
        <v>14393</v>
      </c>
      <c r="H58" s="388"/>
      <c r="I58" s="389"/>
      <c r="J58" s="389"/>
      <c r="K58" s="282"/>
      <c r="L58" s="282"/>
      <c r="M58" s="282"/>
      <c r="N58" s="389"/>
      <c r="O58" s="389"/>
      <c r="P58" s="335"/>
      <c r="Q58" s="390"/>
    </row>
    <row r="59" spans="1:17" ht="18" customHeight="1" x14ac:dyDescent="0.35">
      <c r="A59" s="228">
        <v>51</v>
      </c>
      <c r="B59" s="198"/>
      <c r="C59" s="766"/>
      <c r="D59" s="762" t="s">
        <v>252</v>
      </c>
      <c r="E59" s="289"/>
      <c r="F59" s="951"/>
      <c r="G59" s="952"/>
      <c r="H59" s="953"/>
      <c r="I59" s="954"/>
      <c r="J59" s="954"/>
      <c r="K59" s="286">
        <v>1333</v>
      </c>
      <c r="L59" s="286"/>
      <c r="M59" s="286">
        <v>8135</v>
      </c>
      <c r="N59" s="954"/>
      <c r="O59" s="954"/>
      <c r="P59" s="287">
        <f>SUM(I59:O59)</f>
        <v>9468</v>
      </c>
      <c r="Q59" s="955"/>
    </row>
    <row r="60" spans="1:17" ht="18" customHeight="1" x14ac:dyDescent="0.35">
      <c r="A60" s="228">
        <v>52</v>
      </c>
      <c r="B60" s="198"/>
      <c r="C60" s="766"/>
      <c r="D60" s="943" t="s">
        <v>921</v>
      </c>
      <c r="E60" s="289"/>
      <c r="F60" s="951"/>
      <c r="G60" s="952"/>
      <c r="H60" s="953"/>
      <c r="I60" s="954"/>
      <c r="J60" s="954"/>
      <c r="K60" s="858">
        <v>1333</v>
      </c>
      <c r="L60" s="858"/>
      <c r="M60" s="858">
        <v>8135</v>
      </c>
      <c r="N60" s="954"/>
      <c r="O60" s="954"/>
      <c r="P60" s="1182">
        <f>SUM(I60:O60)</f>
        <v>9468</v>
      </c>
      <c r="Q60" s="955"/>
    </row>
    <row r="61" spans="1:17" ht="18" customHeight="1" thickBot="1" x14ac:dyDescent="0.4">
      <c r="A61" s="228">
        <v>53</v>
      </c>
      <c r="B61" s="198"/>
      <c r="C61" s="378"/>
      <c r="D61" s="1706" t="s">
        <v>973</v>
      </c>
      <c r="E61" s="379"/>
      <c r="F61" s="380"/>
      <c r="G61" s="661"/>
      <c r="H61" s="662"/>
      <c r="I61" s="677"/>
      <c r="J61" s="677"/>
      <c r="K61" s="1707">
        <v>572</v>
      </c>
      <c r="L61" s="1707"/>
      <c r="M61" s="1707">
        <v>7940</v>
      </c>
      <c r="N61" s="677"/>
      <c r="O61" s="677"/>
      <c r="P61" s="1690">
        <f>SUM(J61:O61)</f>
        <v>8512</v>
      </c>
      <c r="Q61" s="663"/>
    </row>
    <row r="62" spans="1:17" ht="25.15" customHeight="1" thickTop="1" x14ac:dyDescent="0.35">
      <c r="A62" s="228">
        <v>54</v>
      </c>
      <c r="B62" s="198"/>
      <c r="C62" s="387">
        <v>33</v>
      </c>
      <c r="D62" s="283" t="s">
        <v>474</v>
      </c>
      <c r="E62" s="349"/>
      <c r="F62" s="349"/>
      <c r="G62" s="336"/>
      <c r="H62" s="348" t="s">
        <v>24</v>
      </c>
      <c r="I62" s="389"/>
      <c r="J62" s="389"/>
      <c r="K62" s="389"/>
      <c r="L62" s="389"/>
      <c r="M62" s="389"/>
      <c r="N62" s="389"/>
      <c r="O62" s="389"/>
      <c r="P62" s="335"/>
      <c r="Q62" s="390"/>
    </row>
    <row r="63" spans="1:17" ht="18" customHeight="1" x14ac:dyDescent="0.35">
      <c r="A63" s="228">
        <v>55</v>
      </c>
      <c r="B63" s="198"/>
      <c r="C63" s="387"/>
      <c r="D63" s="218" t="s">
        <v>475</v>
      </c>
      <c r="E63" s="151">
        <f>F63++G63+P65</f>
        <v>21664</v>
      </c>
      <c r="F63" s="349"/>
      <c r="G63" s="658">
        <v>13302</v>
      </c>
      <c r="H63" s="388"/>
      <c r="I63" s="389"/>
      <c r="J63" s="389"/>
      <c r="K63" s="389"/>
      <c r="L63" s="389"/>
      <c r="M63" s="389"/>
      <c r="N63" s="389"/>
      <c r="O63" s="389"/>
      <c r="P63" s="335"/>
      <c r="Q63" s="390"/>
    </row>
    <row r="64" spans="1:17" ht="18" customHeight="1" x14ac:dyDescent="0.35">
      <c r="A64" s="228">
        <v>56</v>
      </c>
      <c r="B64" s="198"/>
      <c r="C64" s="766"/>
      <c r="D64" s="762" t="s">
        <v>252</v>
      </c>
      <c r="E64" s="951"/>
      <c r="F64" s="951"/>
      <c r="G64" s="952"/>
      <c r="H64" s="953"/>
      <c r="I64" s="954"/>
      <c r="J64" s="954"/>
      <c r="K64" s="286">
        <v>8362</v>
      </c>
      <c r="L64" s="954"/>
      <c r="M64" s="954"/>
      <c r="N64" s="954"/>
      <c r="O64" s="954"/>
      <c r="P64" s="287">
        <f>SUM(I64:O64)</f>
        <v>8362</v>
      </c>
      <c r="Q64" s="955"/>
    </row>
    <row r="65" spans="1:17" ht="18" customHeight="1" x14ac:dyDescent="0.35">
      <c r="A65" s="228">
        <v>57</v>
      </c>
      <c r="B65" s="198"/>
      <c r="C65" s="766"/>
      <c r="D65" s="943" t="s">
        <v>921</v>
      </c>
      <c r="E65" s="951"/>
      <c r="F65" s="951"/>
      <c r="G65" s="952"/>
      <c r="H65" s="953"/>
      <c r="I65" s="954"/>
      <c r="J65" s="954"/>
      <c r="K65" s="858">
        <v>8362</v>
      </c>
      <c r="L65" s="954"/>
      <c r="M65" s="954"/>
      <c r="N65" s="954"/>
      <c r="O65" s="954"/>
      <c r="P65" s="1182">
        <f>SUM(I65:O65)</f>
        <v>8362</v>
      </c>
      <c r="Q65" s="955"/>
    </row>
    <row r="66" spans="1:17" ht="18" customHeight="1" thickBot="1" x14ac:dyDescent="0.4">
      <c r="A66" s="228">
        <v>58</v>
      </c>
      <c r="B66" s="198"/>
      <c r="C66" s="660"/>
      <c r="D66" s="1709" t="s">
        <v>973</v>
      </c>
      <c r="E66" s="380"/>
      <c r="F66" s="380"/>
      <c r="G66" s="661"/>
      <c r="H66" s="662"/>
      <c r="I66" s="677"/>
      <c r="J66" s="677"/>
      <c r="K66" s="1707">
        <v>8363</v>
      </c>
      <c r="L66" s="677"/>
      <c r="M66" s="677"/>
      <c r="N66" s="677"/>
      <c r="O66" s="677"/>
      <c r="P66" s="1690">
        <f>SUM(J66:O66)</f>
        <v>8363</v>
      </c>
      <c r="Q66" s="663"/>
    </row>
    <row r="67" spans="1:17" ht="25.15" customHeight="1" thickTop="1" x14ac:dyDescent="0.35">
      <c r="A67" s="228">
        <v>59</v>
      </c>
      <c r="B67" s="198"/>
      <c r="C67" s="387">
        <v>40</v>
      </c>
      <c r="D67" s="283" t="s">
        <v>808</v>
      </c>
      <c r="E67" s="349"/>
      <c r="F67" s="349"/>
      <c r="G67" s="336"/>
      <c r="H67" s="348" t="s">
        <v>24</v>
      </c>
      <c r="I67" s="389"/>
      <c r="J67" s="389"/>
      <c r="K67" s="389"/>
      <c r="L67" s="389"/>
      <c r="M67" s="389"/>
      <c r="N67" s="389"/>
      <c r="O67" s="389"/>
      <c r="P67" s="335"/>
      <c r="Q67" s="390"/>
    </row>
    <row r="68" spans="1:17" ht="18" customHeight="1" x14ac:dyDescent="0.35">
      <c r="A68" s="228">
        <v>60</v>
      </c>
      <c r="B68" s="198"/>
      <c r="C68" s="387"/>
      <c r="D68" s="218" t="s">
        <v>476</v>
      </c>
      <c r="E68" s="151">
        <f>F68+G68+P70+4973-720-95</f>
        <v>267194</v>
      </c>
      <c r="F68" s="349"/>
      <c r="G68" s="658">
        <v>240048</v>
      </c>
      <c r="H68" s="388"/>
      <c r="I68" s="389"/>
      <c r="J68" s="389"/>
      <c r="K68" s="389"/>
      <c r="L68" s="389"/>
      <c r="M68" s="389"/>
      <c r="N68" s="389"/>
      <c r="O68" s="389"/>
      <c r="P68" s="335"/>
      <c r="Q68" s="390"/>
    </row>
    <row r="69" spans="1:17" ht="18" customHeight="1" x14ac:dyDescent="0.35">
      <c r="A69" s="228">
        <v>61</v>
      </c>
      <c r="B69" s="198"/>
      <c r="C69" s="766"/>
      <c r="D69" s="762" t="s">
        <v>252</v>
      </c>
      <c r="E69" s="289"/>
      <c r="F69" s="951"/>
      <c r="G69" s="952"/>
      <c r="H69" s="953"/>
      <c r="I69" s="286">
        <v>1285</v>
      </c>
      <c r="J69" s="286">
        <v>225</v>
      </c>
      <c r="K69" s="286">
        <v>20663</v>
      </c>
      <c r="L69" s="286"/>
      <c r="M69" s="286"/>
      <c r="N69" s="954"/>
      <c r="O69" s="954"/>
      <c r="P69" s="287">
        <f>SUM(I69:O69)</f>
        <v>22173</v>
      </c>
      <c r="Q69" s="955"/>
    </row>
    <row r="70" spans="1:17" ht="18" customHeight="1" x14ac:dyDescent="0.35">
      <c r="A70" s="228">
        <v>62</v>
      </c>
      <c r="B70" s="198"/>
      <c r="C70" s="766"/>
      <c r="D70" s="943" t="s">
        <v>921</v>
      </c>
      <c r="E70" s="289"/>
      <c r="F70" s="951"/>
      <c r="G70" s="952"/>
      <c r="H70" s="953"/>
      <c r="I70" s="858">
        <v>417</v>
      </c>
      <c r="J70" s="858">
        <v>49</v>
      </c>
      <c r="K70" s="858">
        <v>18484</v>
      </c>
      <c r="L70" s="858">
        <v>4038</v>
      </c>
      <c r="M70" s="858"/>
      <c r="N70" s="954"/>
      <c r="O70" s="954"/>
      <c r="P70" s="1182">
        <f>SUM(I70:O70)</f>
        <v>22988</v>
      </c>
      <c r="Q70" s="955"/>
    </row>
    <row r="71" spans="1:17" ht="18" customHeight="1" thickBot="1" x14ac:dyDescent="0.4">
      <c r="A71" s="228">
        <v>63</v>
      </c>
      <c r="B71" s="198"/>
      <c r="C71" s="660"/>
      <c r="D71" s="1709" t="s">
        <v>972</v>
      </c>
      <c r="E71" s="379"/>
      <c r="F71" s="380"/>
      <c r="G71" s="661"/>
      <c r="H71" s="662"/>
      <c r="I71" s="1707">
        <v>417</v>
      </c>
      <c r="J71" s="1707">
        <v>49</v>
      </c>
      <c r="K71" s="1707">
        <v>18484</v>
      </c>
      <c r="L71" s="1707">
        <v>4038</v>
      </c>
      <c r="M71" s="664"/>
      <c r="N71" s="677"/>
      <c r="O71" s="677"/>
      <c r="P71" s="1690">
        <f>SUM(I71:O71)</f>
        <v>22988</v>
      </c>
      <c r="Q71" s="663"/>
    </row>
    <row r="72" spans="1:17" ht="25.15" customHeight="1" thickTop="1" x14ac:dyDescent="0.35">
      <c r="A72" s="228">
        <v>64</v>
      </c>
      <c r="B72" s="198"/>
      <c r="C72" s="387">
        <v>41</v>
      </c>
      <c r="D72" s="283" t="s">
        <v>636</v>
      </c>
      <c r="E72" s="349"/>
      <c r="F72" s="349"/>
      <c r="G72" s="336"/>
      <c r="H72" s="348" t="s">
        <v>24</v>
      </c>
      <c r="I72" s="389"/>
      <c r="J72" s="389"/>
      <c r="K72" s="389"/>
      <c r="L72" s="389"/>
      <c r="M72" s="389"/>
      <c r="N72" s="389"/>
      <c r="O72" s="389"/>
      <c r="P72" s="335"/>
      <c r="Q72" s="390"/>
    </row>
    <row r="73" spans="1:17" ht="18" customHeight="1" x14ac:dyDescent="0.35">
      <c r="A73" s="228">
        <v>65</v>
      </c>
      <c r="B73" s="198"/>
      <c r="C73" s="387"/>
      <c r="D73" s="218" t="s">
        <v>637</v>
      </c>
      <c r="E73" s="151">
        <f>F73+G73+P75+126</f>
        <v>770373</v>
      </c>
      <c r="F73" s="349"/>
      <c r="G73" s="658">
        <v>512933</v>
      </c>
      <c r="H73" s="388"/>
      <c r="I73" s="389"/>
      <c r="J73" s="389"/>
      <c r="K73" s="389"/>
      <c r="L73" s="389"/>
      <c r="M73" s="389"/>
      <c r="N73" s="389"/>
      <c r="O73" s="389"/>
      <c r="P73" s="335"/>
      <c r="Q73" s="390"/>
    </row>
    <row r="74" spans="1:17" ht="18" customHeight="1" x14ac:dyDescent="0.35">
      <c r="A74" s="228">
        <v>66</v>
      </c>
      <c r="B74" s="198"/>
      <c r="C74" s="766"/>
      <c r="D74" s="762" t="s">
        <v>252</v>
      </c>
      <c r="E74" s="289"/>
      <c r="F74" s="951"/>
      <c r="G74" s="952"/>
      <c r="H74" s="953"/>
      <c r="I74" s="954"/>
      <c r="J74" s="954"/>
      <c r="K74" s="286">
        <v>7656</v>
      </c>
      <c r="L74" s="954"/>
      <c r="M74" s="286">
        <v>249658</v>
      </c>
      <c r="N74" s="954"/>
      <c r="O74" s="954"/>
      <c r="P74" s="287">
        <f>SUM(I74:O74)</f>
        <v>257314</v>
      </c>
      <c r="Q74" s="955"/>
    </row>
    <row r="75" spans="1:17" ht="18" customHeight="1" x14ac:dyDescent="0.35">
      <c r="A75" s="228">
        <v>67</v>
      </c>
      <c r="B75" s="198"/>
      <c r="C75" s="766"/>
      <c r="D75" s="943" t="s">
        <v>921</v>
      </c>
      <c r="E75" s="289"/>
      <c r="F75" s="951"/>
      <c r="G75" s="952"/>
      <c r="H75" s="953"/>
      <c r="I75" s="961"/>
      <c r="J75" s="961"/>
      <c r="K75" s="965">
        <v>7656</v>
      </c>
      <c r="L75" s="961"/>
      <c r="M75" s="965">
        <v>249658</v>
      </c>
      <c r="N75" s="961"/>
      <c r="O75" s="961"/>
      <c r="P75" s="1182">
        <f>SUM(I75:O75)</f>
        <v>257314</v>
      </c>
      <c r="Q75" s="955"/>
    </row>
    <row r="76" spans="1:17" ht="18" customHeight="1" thickBot="1" x14ac:dyDescent="0.4">
      <c r="A76" s="228">
        <v>68</v>
      </c>
      <c r="B76" s="198"/>
      <c r="C76" s="660"/>
      <c r="D76" s="1709" t="s">
        <v>973</v>
      </c>
      <c r="E76" s="379"/>
      <c r="F76" s="380"/>
      <c r="G76" s="661"/>
      <c r="H76" s="662"/>
      <c r="I76" s="381"/>
      <c r="J76" s="381"/>
      <c r="K76" s="1708">
        <v>7656</v>
      </c>
      <c r="L76" s="1710"/>
      <c r="M76" s="1708">
        <v>249658</v>
      </c>
      <c r="N76" s="381"/>
      <c r="O76" s="381"/>
      <c r="P76" s="1690">
        <f>SUM(J76:O76)</f>
        <v>257314</v>
      </c>
      <c r="Q76" s="663"/>
    </row>
    <row r="77" spans="1:17" ht="25.15" customHeight="1" thickTop="1" x14ac:dyDescent="0.35">
      <c r="A77" s="228">
        <v>69</v>
      </c>
      <c r="B77" s="198"/>
      <c r="C77" s="387">
        <v>42</v>
      </c>
      <c r="D77" s="283" t="s">
        <v>638</v>
      </c>
      <c r="E77" s="349"/>
      <c r="F77" s="349"/>
      <c r="G77" s="336"/>
      <c r="H77" s="348" t="s">
        <v>24</v>
      </c>
      <c r="I77" s="375"/>
      <c r="J77" s="375"/>
      <c r="K77" s="375"/>
      <c r="L77" s="375"/>
      <c r="M77" s="375"/>
      <c r="N77" s="375"/>
      <c r="O77" s="375"/>
      <c r="P77" s="335"/>
      <c r="Q77" s="390"/>
    </row>
    <row r="78" spans="1:17" ht="18" customHeight="1" x14ac:dyDescent="0.35">
      <c r="A78" s="228">
        <v>70</v>
      </c>
      <c r="B78" s="198"/>
      <c r="C78" s="382"/>
      <c r="D78" s="218" t="s">
        <v>639</v>
      </c>
      <c r="E78" s="151">
        <f>F78+G78+P80+705+706</f>
        <v>315423</v>
      </c>
      <c r="F78" s="347"/>
      <c r="G78" s="657">
        <v>270740</v>
      </c>
      <c r="H78" s="385"/>
      <c r="I78" s="282"/>
      <c r="J78" s="282"/>
      <c r="K78" s="282"/>
      <c r="L78" s="282"/>
      <c r="M78" s="282"/>
      <c r="N78" s="373"/>
      <c r="O78" s="373"/>
      <c r="P78" s="224"/>
      <c r="Q78" s="383"/>
    </row>
    <row r="79" spans="1:17" ht="18" customHeight="1" x14ac:dyDescent="0.35">
      <c r="A79" s="228">
        <v>71</v>
      </c>
      <c r="B79" s="198"/>
      <c r="C79" s="766"/>
      <c r="D79" s="762" t="s">
        <v>252</v>
      </c>
      <c r="E79" s="289"/>
      <c r="F79" s="951"/>
      <c r="G79" s="960"/>
      <c r="H79" s="953"/>
      <c r="I79" s="286">
        <v>519</v>
      </c>
      <c r="J79" s="286">
        <v>1868</v>
      </c>
      <c r="K79" s="286">
        <v>34837</v>
      </c>
      <c r="L79" s="286"/>
      <c r="M79" s="286"/>
      <c r="N79" s="961"/>
      <c r="O79" s="961"/>
      <c r="P79" s="287">
        <f>SUM(I79:O79)</f>
        <v>37224</v>
      </c>
      <c r="Q79" s="955"/>
    </row>
    <row r="80" spans="1:17" ht="18" customHeight="1" x14ac:dyDescent="0.35">
      <c r="A80" s="228">
        <v>72</v>
      </c>
      <c r="B80" s="198"/>
      <c r="C80" s="766"/>
      <c r="D80" s="943" t="s">
        <v>921</v>
      </c>
      <c r="E80" s="289"/>
      <c r="F80" s="951"/>
      <c r="G80" s="960"/>
      <c r="H80" s="953"/>
      <c r="I80" s="965">
        <v>500</v>
      </c>
      <c r="J80" s="965">
        <v>1872</v>
      </c>
      <c r="K80" s="965">
        <v>31174</v>
      </c>
      <c r="L80" s="965">
        <v>9726</v>
      </c>
      <c r="M80" s="965"/>
      <c r="N80" s="961"/>
      <c r="O80" s="961"/>
      <c r="P80" s="1182">
        <f>SUM(I80:O80)</f>
        <v>43272</v>
      </c>
      <c r="Q80" s="955"/>
    </row>
    <row r="81" spans="1:17" ht="18" customHeight="1" thickBot="1" x14ac:dyDescent="0.4">
      <c r="A81" s="228">
        <v>73</v>
      </c>
      <c r="B81" s="198"/>
      <c r="C81" s="660"/>
      <c r="D81" s="1706" t="s">
        <v>972</v>
      </c>
      <c r="E81" s="379"/>
      <c r="F81" s="380"/>
      <c r="G81" s="678"/>
      <c r="H81" s="662"/>
      <c r="I81" s="1708">
        <v>500</v>
      </c>
      <c r="J81" s="1708">
        <v>1872</v>
      </c>
      <c r="K81" s="1708">
        <v>31174</v>
      </c>
      <c r="L81" s="1708">
        <v>9716</v>
      </c>
      <c r="M81" s="770"/>
      <c r="N81" s="381"/>
      <c r="O81" s="381"/>
      <c r="P81" s="1690">
        <f>SUM(I81:O81)</f>
        <v>43262</v>
      </c>
      <c r="Q81" s="663"/>
    </row>
    <row r="82" spans="1:17" ht="25.15" customHeight="1" thickTop="1" x14ac:dyDescent="0.35">
      <c r="A82" s="228">
        <v>74</v>
      </c>
      <c r="B82" s="198"/>
      <c r="C82" s="387">
        <v>43</v>
      </c>
      <c r="D82" s="283" t="s">
        <v>640</v>
      </c>
      <c r="E82" s="349"/>
      <c r="F82" s="349"/>
      <c r="G82" s="336"/>
      <c r="H82" s="348" t="s">
        <v>24</v>
      </c>
      <c r="I82" s="375"/>
      <c r="J82" s="375"/>
      <c r="K82" s="375"/>
      <c r="L82" s="375"/>
      <c r="M82" s="375"/>
      <c r="N82" s="375"/>
      <c r="O82" s="375"/>
      <c r="P82" s="335"/>
      <c r="Q82" s="390"/>
    </row>
    <row r="83" spans="1:17" ht="18" customHeight="1" x14ac:dyDescent="0.35">
      <c r="A83" s="228">
        <v>75</v>
      </c>
      <c r="B83" s="198"/>
      <c r="C83" s="382"/>
      <c r="D83" s="659" t="s">
        <v>641</v>
      </c>
      <c r="E83" s="665">
        <f>F83+G83+P85</f>
        <v>83433</v>
      </c>
      <c r="F83" s="666"/>
      <c r="G83" s="667">
        <v>10554</v>
      </c>
      <c r="H83" s="385"/>
      <c r="I83" s="373"/>
      <c r="J83" s="373"/>
      <c r="K83" s="373"/>
      <c r="L83" s="373"/>
      <c r="M83" s="373"/>
      <c r="N83" s="373"/>
      <c r="O83" s="373"/>
      <c r="P83" s="224"/>
      <c r="Q83" s="383"/>
    </row>
    <row r="84" spans="1:17" ht="18" customHeight="1" x14ac:dyDescent="0.35">
      <c r="A84" s="228">
        <v>76</v>
      </c>
      <c r="B84" s="198"/>
      <c r="C84" s="766"/>
      <c r="D84" s="762" t="s">
        <v>252</v>
      </c>
      <c r="E84" s="951"/>
      <c r="F84" s="951"/>
      <c r="G84" s="952"/>
      <c r="H84" s="953"/>
      <c r="I84" s="961"/>
      <c r="J84" s="286"/>
      <c r="K84" s="286">
        <v>15062</v>
      </c>
      <c r="L84" s="286"/>
      <c r="M84" s="286">
        <v>57817</v>
      </c>
      <c r="N84" s="286"/>
      <c r="O84" s="286"/>
      <c r="P84" s="287">
        <f>SUM(I84:O84)</f>
        <v>72879</v>
      </c>
      <c r="Q84" s="955"/>
    </row>
    <row r="85" spans="1:17" ht="18" customHeight="1" x14ac:dyDescent="0.35">
      <c r="A85" s="228">
        <v>77</v>
      </c>
      <c r="B85" s="198"/>
      <c r="C85" s="766"/>
      <c r="D85" s="943" t="s">
        <v>921</v>
      </c>
      <c r="E85" s="951"/>
      <c r="F85" s="1425"/>
      <c r="G85" s="952"/>
      <c r="H85" s="953"/>
      <c r="I85" s="961"/>
      <c r="J85" s="965"/>
      <c r="K85" s="965">
        <v>6020</v>
      </c>
      <c r="L85" s="965">
        <v>486</v>
      </c>
      <c r="M85" s="965">
        <v>66373</v>
      </c>
      <c r="N85" s="965"/>
      <c r="O85" s="720"/>
      <c r="P85" s="1182">
        <f>SUM(I85:O85)</f>
        <v>72879</v>
      </c>
      <c r="Q85" s="955"/>
    </row>
    <row r="86" spans="1:17" ht="18" customHeight="1" thickBot="1" x14ac:dyDescent="0.4">
      <c r="A86" s="228">
        <v>78</v>
      </c>
      <c r="B86" s="198"/>
      <c r="C86" s="660"/>
      <c r="D86" s="1709" t="s">
        <v>972</v>
      </c>
      <c r="E86" s="380"/>
      <c r="F86" s="964"/>
      <c r="G86" s="661"/>
      <c r="H86" s="662"/>
      <c r="I86" s="1710"/>
      <c r="J86" s="1708"/>
      <c r="K86" s="1708">
        <v>6020</v>
      </c>
      <c r="L86" s="1708">
        <v>486</v>
      </c>
      <c r="M86" s="1708">
        <v>66373</v>
      </c>
      <c r="N86" s="770"/>
      <c r="O86" s="770"/>
      <c r="P86" s="1690">
        <f>SUM(J86:O86)</f>
        <v>72879</v>
      </c>
      <c r="Q86" s="663"/>
    </row>
    <row r="87" spans="1:17" ht="25.15" customHeight="1" thickTop="1" x14ac:dyDescent="0.35">
      <c r="A87" s="228">
        <v>79</v>
      </c>
      <c r="B87" s="198"/>
      <c r="C87" s="387">
        <v>44</v>
      </c>
      <c r="D87" s="283" t="s">
        <v>665</v>
      </c>
      <c r="E87" s="349"/>
      <c r="F87" s="1705"/>
      <c r="H87" s="262" t="s">
        <v>24</v>
      </c>
      <c r="I87" s="755"/>
      <c r="J87" s="755"/>
      <c r="K87" s="755"/>
      <c r="L87" s="754"/>
      <c r="M87" s="764"/>
      <c r="N87" s="754"/>
      <c r="O87" s="754"/>
      <c r="P87" s="1719"/>
      <c r="Q87" s="655"/>
    </row>
    <row r="88" spans="1:17" ht="34.5" customHeight="1" x14ac:dyDescent="0.35">
      <c r="A88" s="228">
        <v>80</v>
      </c>
      <c r="B88" s="198"/>
      <c r="C88" s="766"/>
      <c r="D88" s="767" t="s">
        <v>666</v>
      </c>
      <c r="E88" s="768">
        <f>F88+G88+P90+206+360</f>
        <v>2925340</v>
      </c>
      <c r="F88" s="219"/>
      <c r="G88" s="969">
        <v>905049</v>
      </c>
      <c r="H88" s="263"/>
      <c r="I88" s="671"/>
      <c r="J88" s="671"/>
      <c r="K88" s="671"/>
      <c r="L88" s="260"/>
      <c r="M88" s="276"/>
      <c r="N88" s="260"/>
      <c r="O88" s="260"/>
      <c r="P88" s="771"/>
      <c r="Q88" s="220"/>
    </row>
    <row r="89" spans="1:17" ht="18" customHeight="1" x14ac:dyDescent="0.35">
      <c r="A89" s="228">
        <v>81</v>
      </c>
      <c r="B89" s="198"/>
      <c r="C89" s="285"/>
      <c r="D89" s="762" t="s">
        <v>252</v>
      </c>
      <c r="E89" s="289"/>
      <c r="F89" s="715"/>
      <c r="G89" s="731"/>
      <c r="H89" s="291"/>
      <c r="I89" s="857"/>
      <c r="J89" s="857"/>
      <c r="K89" s="857">
        <v>33464</v>
      </c>
      <c r="L89" s="965"/>
      <c r="M89" s="720">
        <v>1799084</v>
      </c>
      <c r="N89" s="965"/>
      <c r="O89" s="965"/>
      <c r="P89" s="859">
        <f>SUM(I89:O89)</f>
        <v>1832548</v>
      </c>
      <c r="Q89" s="284"/>
    </row>
    <row r="90" spans="1:17" ht="18" customHeight="1" x14ac:dyDescent="0.35">
      <c r="A90" s="228">
        <v>82</v>
      </c>
      <c r="B90" s="198"/>
      <c r="C90" s="766"/>
      <c r="D90" s="943" t="s">
        <v>921</v>
      </c>
      <c r="E90" s="289"/>
      <c r="F90" s="715"/>
      <c r="G90" s="657"/>
      <c r="H90" s="1423"/>
      <c r="I90" s="857"/>
      <c r="J90" s="857"/>
      <c r="K90" s="965">
        <v>60989</v>
      </c>
      <c r="L90" s="965"/>
      <c r="M90" s="965">
        <v>1958736</v>
      </c>
      <c r="N90" s="965"/>
      <c r="O90" s="965"/>
      <c r="P90" s="1182">
        <f>SUM(I90:O90)</f>
        <v>2019725</v>
      </c>
      <c r="Q90" s="1424"/>
    </row>
    <row r="91" spans="1:17" ht="18" customHeight="1" thickBot="1" x14ac:dyDescent="0.4">
      <c r="A91" s="228">
        <v>83</v>
      </c>
      <c r="B91" s="198"/>
      <c r="C91" s="660"/>
      <c r="D91" s="1709" t="s">
        <v>972</v>
      </c>
      <c r="E91" s="379"/>
      <c r="F91" s="975"/>
      <c r="G91" s="968"/>
      <c r="H91" s="966"/>
      <c r="I91" s="675"/>
      <c r="J91" s="675"/>
      <c r="K91" s="1708">
        <v>3027</v>
      </c>
      <c r="L91" s="1708"/>
      <c r="M91" s="1708">
        <v>1797813</v>
      </c>
      <c r="N91" s="668"/>
      <c r="O91" s="668"/>
      <c r="P91" s="1690">
        <f>SUM(J91:O91)</f>
        <v>1800840</v>
      </c>
      <c r="Q91" s="967"/>
    </row>
    <row r="92" spans="1:17" ht="25.15" customHeight="1" thickTop="1" x14ac:dyDescent="0.35">
      <c r="A92" s="228">
        <v>84</v>
      </c>
      <c r="B92" s="198"/>
      <c r="C92" s="387">
        <v>46</v>
      </c>
      <c r="D92" s="283" t="s">
        <v>643</v>
      </c>
      <c r="E92" s="349"/>
      <c r="F92" s="349"/>
      <c r="G92" s="336"/>
      <c r="H92" s="348" t="s">
        <v>24</v>
      </c>
      <c r="I92" s="375"/>
      <c r="J92" s="375"/>
      <c r="K92" s="375"/>
      <c r="L92" s="375"/>
      <c r="M92" s="375"/>
      <c r="N92" s="375"/>
      <c r="O92" s="375"/>
      <c r="P92" s="335"/>
      <c r="Q92" s="390"/>
    </row>
    <row r="93" spans="1:17" ht="18" customHeight="1" x14ac:dyDescent="0.35">
      <c r="A93" s="228">
        <v>85</v>
      </c>
      <c r="B93" s="198"/>
      <c r="C93" s="382"/>
      <c r="D93" s="659" t="s">
        <v>642</v>
      </c>
      <c r="E93" s="665">
        <f>F93+G93+P95</f>
        <v>396511</v>
      </c>
      <c r="F93" s="347"/>
      <c r="G93" s="657">
        <v>300022</v>
      </c>
      <c r="H93" s="385"/>
      <c r="I93" s="373"/>
      <c r="J93" s="373"/>
      <c r="K93" s="373"/>
      <c r="L93" s="373"/>
      <c r="M93" s="373"/>
      <c r="N93" s="373"/>
      <c r="O93" s="373"/>
      <c r="P93" s="224"/>
      <c r="Q93" s="383"/>
    </row>
    <row r="94" spans="1:17" ht="18" customHeight="1" x14ac:dyDescent="0.35">
      <c r="A94" s="228">
        <v>86</v>
      </c>
      <c r="B94" s="198"/>
      <c r="C94" s="766"/>
      <c r="D94" s="762" t="s">
        <v>252</v>
      </c>
      <c r="E94" s="951"/>
      <c r="F94" s="951"/>
      <c r="G94" s="952"/>
      <c r="H94" s="953"/>
      <c r="I94" s="961"/>
      <c r="J94" s="961"/>
      <c r="K94" s="286">
        <v>1145</v>
      </c>
      <c r="L94" s="286"/>
      <c r="M94" s="286">
        <v>95294</v>
      </c>
      <c r="N94" s="961"/>
      <c r="O94" s="961"/>
      <c r="P94" s="287">
        <f>SUM(I94:O94)</f>
        <v>96439</v>
      </c>
      <c r="Q94" s="955"/>
    </row>
    <row r="95" spans="1:17" ht="18" customHeight="1" x14ac:dyDescent="0.35">
      <c r="A95" s="228">
        <v>87</v>
      </c>
      <c r="B95" s="198"/>
      <c r="C95" s="766"/>
      <c r="D95" s="943" t="s">
        <v>921</v>
      </c>
      <c r="E95" s="951"/>
      <c r="F95" s="951"/>
      <c r="G95" s="952"/>
      <c r="H95" s="953"/>
      <c r="I95" s="961"/>
      <c r="J95" s="961"/>
      <c r="K95" s="965">
        <v>1145</v>
      </c>
      <c r="L95" s="965">
        <v>50</v>
      </c>
      <c r="M95" s="965">
        <v>95294</v>
      </c>
      <c r="N95" s="961"/>
      <c r="O95" s="961"/>
      <c r="P95" s="1182">
        <f>SUM(I95:O95)</f>
        <v>96489</v>
      </c>
      <c r="Q95" s="955"/>
    </row>
    <row r="96" spans="1:17" ht="18" customHeight="1" thickBot="1" x14ac:dyDescent="0.4">
      <c r="A96" s="228">
        <v>88</v>
      </c>
      <c r="B96" s="198"/>
      <c r="C96" s="660"/>
      <c r="D96" s="1706" t="s">
        <v>972</v>
      </c>
      <c r="E96" s="380"/>
      <c r="F96" s="380"/>
      <c r="G96" s="661"/>
      <c r="H96" s="662"/>
      <c r="I96" s="381"/>
      <c r="J96" s="381"/>
      <c r="K96" s="1708">
        <v>1145</v>
      </c>
      <c r="L96" s="1708">
        <v>49</v>
      </c>
      <c r="M96" s="1708">
        <v>95295</v>
      </c>
      <c r="N96" s="381"/>
      <c r="O96" s="381"/>
      <c r="P96" s="1690">
        <f>SUM(J96:O96)</f>
        <v>96489</v>
      </c>
      <c r="Q96" s="663"/>
    </row>
    <row r="97" spans="1:17" ht="25.15" customHeight="1" thickTop="1" x14ac:dyDescent="0.35">
      <c r="A97" s="228">
        <v>89</v>
      </c>
      <c r="B97" s="198"/>
      <c r="C97" s="387">
        <v>47</v>
      </c>
      <c r="D97" s="283" t="s">
        <v>539</v>
      </c>
      <c r="E97" s="349"/>
      <c r="F97" s="349"/>
      <c r="G97" s="336"/>
      <c r="H97" s="262" t="s">
        <v>24</v>
      </c>
      <c r="I97" s="375"/>
      <c r="J97" s="375"/>
      <c r="K97" s="375"/>
      <c r="L97" s="375"/>
      <c r="M97" s="375"/>
      <c r="N97" s="375"/>
      <c r="O97" s="375"/>
      <c r="P97" s="335"/>
      <c r="Q97" s="390"/>
    </row>
    <row r="98" spans="1:17" ht="18" customHeight="1" x14ac:dyDescent="0.35">
      <c r="A98" s="228">
        <v>90</v>
      </c>
      <c r="B98" s="198"/>
      <c r="C98" s="382"/>
      <c r="D98" s="659" t="s">
        <v>644</v>
      </c>
      <c r="E98" s="665">
        <f>F98+G98+P100</f>
        <v>45370</v>
      </c>
      <c r="F98" s="347"/>
      <c r="G98" s="657">
        <v>44254</v>
      </c>
      <c r="H98" s="385"/>
      <c r="I98" s="373"/>
      <c r="J98" s="373"/>
      <c r="K98" s="373"/>
      <c r="L98" s="373"/>
      <c r="M98" s="373"/>
      <c r="N98" s="373"/>
      <c r="O98" s="373"/>
      <c r="P98" s="224"/>
      <c r="Q98" s="383"/>
    </row>
    <row r="99" spans="1:17" ht="18" customHeight="1" x14ac:dyDescent="0.35">
      <c r="A99" s="228">
        <v>91</v>
      </c>
      <c r="B99" s="198"/>
      <c r="C99" s="766"/>
      <c r="D99" s="762" t="s">
        <v>252</v>
      </c>
      <c r="E99" s="951"/>
      <c r="F99" s="951"/>
      <c r="G99" s="952"/>
      <c r="H99" s="953"/>
      <c r="I99" s="961"/>
      <c r="J99" s="961"/>
      <c r="K99" s="286">
        <v>1089</v>
      </c>
      <c r="L99" s="286"/>
      <c r="M99" s="286"/>
      <c r="N99" s="961"/>
      <c r="O99" s="961"/>
      <c r="P99" s="287">
        <f>SUM(I99:O99)</f>
        <v>1089</v>
      </c>
      <c r="Q99" s="955"/>
    </row>
    <row r="100" spans="1:17" ht="18" customHeight="1" x14ac:dyDescent="0.35">
      <c r="A100" s="228">
        <v>92</v>
      </c>
      <c r="B100" s="198"/>
      <c r="C100" s="766"/>
      <c r="D100" s="943" t="s">
        <v>921</v>
      </c>
      <c r="E100" s="951"/>
      <c r="F100" s="951"/>
      <c r="G100" s="952"/>
      <c r="H100" s="953"/>
      <c r="I100" s="961"/>
      <c r="J100" s="961"/>
      <c r="K100" s="965">
        <v>826</v>
      </c>
      <c r="L100" s="965">
        <v>290</v>
      </c>
      <c r="M100" s="965"/>
      <c r="N100" s="961"/>
      <c r="O100" s="961"/>
      <c r="P100" s="1182">
        <f>SUM(I100:O100)</f>
        <v>1116</v>
      </c>
      <c r="Q100" s="955"/>
    </row>
    <row r="101" spans="1:17" ht="18" customHeight="1" thickBot="1" x14ac:dyDescent="0.4">
      <c r="A101" s="228">
        <v>93</v>
      </c>
      <c r="B101" s="198"/>
      <c r="C101" s="660"/>
      <c r="D101" s="1709" t="s">
        <v>972</v>
      </c>
      <c r="E101" s="380"/>
      <c r="F101" s="380"/>
      <c r="G101" s="661"/>
      <c r="H101" s="662"/>
      <c r="I101" s="381"/>
      <c r="J101" s="381"/>
      <c r="K101" s="1708">
        <v>826</v>
      </c>
      <c r="L101" s="1708">
        <v>290</v>
      </c>
      <c r="M101" s="770"/>
      <c r="N101" s="381"/>
      <c r="O101" s="381"/>
      <c r="P101" s="1690">
        <f>SUM(J101:O101)</f>
        <v>1116</v>
      </c>
      <c r="Q101" s="663"/>
    </row>
    <row r="102" spans="1:17" ht="25.15" customHeight="1" thickTop="1" x14ac:dyDescent="0.35">
      <c r="A102" s="228">
        <v>94</v>
      </c>
      <c r="B102" s="198"/>
      <c r="C102" s="387">
        <v>48</v>
      </c>
      <c r="D102" s="283" t="s">
        <v>538</v>
      </c>
      <c r="E102" s="349"/>
      <c r="F102" s="349"/>
      <c r="G102" s="336"/>
      <c r="H102" s="262" t="s">
        <v>24</v>
      </c>
      <c r="I102" s="375"/>
      <c r="J102" s="375"/>
      <c r="K102" s="375"/>
      <c r="L102" s="375"/>
      <c r="M102" s="375"/>
      <c r="N102" s="375"/>
      <c r="O102" s="375"/>
      <c r="P102" s="335"/>
      <c r="Q102" s="390"/>
    </row>
    <row r="103" spans="1:17" ht="37.5" customHeight="1" x14ac:dyDescent="0.35">
      <c r="A103" s="228">
        <v>95</v>
      </c>
      <c r="B103" s="198"/>
      <c r="C103" s="382"/>
      <c r="D103" s="856" t="s">
        <v>645</v>
      </c>
      <c r="E103" s="665">
        <f>F103+G103+P105</f>
        <v>39832</v>
      </c>
      <c r="F103" s="347"/>
      <c r="G103" s="667">
        <v>28731</v>
      </c>
      <c r="H103" s="385"/>
      <c r="I103" s="373"/>
      <c r="J103" s="373"/>
      <c r="K103" s="373"/>
      <c r="L103" s="373"/>
      <c r="M103" s="373"/>
      <c r="N103" s="373"/>
      <c r="O103" s="373"/>
      <c r="P103" s="224"/>
      <c r="Q103" s="383"/>
    </row>
    <row r="104" spans="1:17" ht="18" customHeight="1" x14ac:dyDescent="0.35">
      <c r="A104" s="228">
        <v>96</v>
      </c>
      <c r="B104" s="198"/>
      <c r="C104" s="766"/>
      <c r="D104" s="762" t="s">
        <v>252</v>
      </c>
      <c r="E104" s="951"/>
      <c r="F104" s="951"/>
      <c r="G104" s="952"/>
      <c r="H104" s="953"/>
      <c r="I104" s="961"/>
      <c r="J104" s="961"/>
      <c r="K104" s="286">
        <v>11101</v>
      </c>
      <c r="L104" s="286"/>
      <c r="M104" s="286"/>
      <c r="N104" s="961"/>
      <c r="O104" s="961"/>
      <c r="P104" s="287">
        <f>SUM(I104:O104)</f>
        <v>11101</v>
      </c>
      <c r="Q104" s="955"/>
    </row>
    <row r="105" spans="1:17" ht="18" customHeight="1" x14ac:dyDescent="0.35">
      <c r="A105" s="228">
        <v>97</v>
      </c>
      <c r="B105" s="198"/>
      <c r="C105" s="766"/>
      <c r="D105" s="943" t="s">
        <v>921</v>
      </c>
      <c r="E105" s="951"/>
      <c r="F105" s="951"/>
      <c r="G105" s="952"/>
      <c r="H105" s="953"/>
      <c r="I105" s="961"/>
      <c r="J105" s="961"/>
      <c r="K105" s="965">
        <v>10490</v>
      </c>
      <c r="L105" s="965">
        <v>611</v>
      </c>
      <c r="M105" s="965"/>
      <c r="N105" s="961"/>
      <c r="O105" s="961"/>
      <c r="P105" s="1182">
        <f>SUM(I105:O105)</f>
        <v>11101</v>
      </c>
      <c r="Q105" s="955"/>
    </row>
    <row r="106" spans="1:17" ht="18" customHeight="1" thickBot="1" x14ac:dyDescent="0.4">
      <c r="A106" s="228">
        <v>98</v>
      </c>
      <c r="B106" s="198"/>
      <c r="C106" s="660"/>
      <c r="D106" s="1709" t="s">
        <v>973</v>
      </c>
      <c r="E106" s="380"/>
      <c r="F106" s="380"/>
      <c r="G106" s="661"/>
      <c r="H106" s="662"/>
      <c r="I106" s="381"/>
      <c r="J106" s="381"/>
      <c r="K106" s="1708">
        <v>10490</v>
      </c>
      <c r="L106" s="1708">
        <v>611</v>
      </c>
      <c r="M106" s="770"/>
      <c r="N106" s="381"/>
      <c r="O106" s="381"/>
      <c r="P106" s="1690">
        <f>SUM(J106:O106)</f>
        <v>11101</v>
      </c>
      <c r="Q106" s="663"/>
    </row>
    <row r="107" spans="1:17" ht="25.15" customHeight="1" thickTop="1" x14ac:dyDescent="0.35">
      <c r="A107" s="228">
        <v>99</v>
      </c>
      <c r="B107" s="198"/>
      <c r="C107" s="387">
        <v>49</v>
      </c>
      <c r="D107" s="283" t="s">
        <v>775</v>
      </c>
      <c r="E107" s="349"/>
      <c r="F107" s="349"/>
      <c r="G107" s="336"/>
      <c r="H107" s="262" t="s">
        <v>24</v>
      </c>
      <c r="I107" s="375"/>
      <c r="J107" s="375"/>
      <c r="K107" s="375"/>
      <c r="L107" s="375"/>
      <c r="M107" s="375"/>
      <c r="N107" s="375"/>
      <c r="O107" s="375"/>
      <c r="P107" s="335"/>
      <c r="Q107" s="390"/>
    </row>
    <row r="108" spans="1:17" ht="18" customHeight="1" x14ac:dyDescent="0.35">
      <c r="A108" s="228">
        <v>100</v>
      </c>
      <c r="B108" s="198"/>
      <c r="C108" s="382"/>
      <c r="D108" s="669" t="s">
        <v>646</v>
      </c>
      <c r="E108" s="665">
        <f>F108+G108+P110</f>
        <v>438798</v>
      </c>
      <c r="F108" s="347"/>
      <c r="G108" s="657">
        <v>240205</v>
      </c>
      <c r="H108" s="385"/>
      <c r="I108" s="373"/>
      <c r="J108" s="373"/>
      <c r="K108" s="373"/>
      <c r="L108" s="373"/>
      <c r="M108" s="373"/>
      <c r="N108" s="373"/>
      <c r="O108" s="373"/>
      <c r="P108" s="224"/>
      <c r="Q108" s="383"/>
    </row>
    <row r="109" spans="1:17" ht="18" customHeight="1" x14ac:dyDescent="0.35">
      <c r="A109" s="228">
        <v>101</v>
      </c>
      <c r="B109" s="198"/>
      <c r="C109" s="766"/>
      <c r="D109" s="762" t="s">
        <v>252</v>
      </c>
      <c r="E109" s="951"/>
      <c r="F109" s="951"/>
      <c r="G109" s="952"/>
      <c r="H109" s="953"/>
      <c r="I109" s="961"/>
      <c r="J109" s="961"/>
      <c r="K109" s="286">
        <v>5893</v>
      </c>
      <c r="L109" s="286"/>
      <c r="M109" s="286">
        <v>192700</v>
      </c>
      <c r="N109" s="961"/>
      <c r="O109" s="961"/>
      <c r="P109" s="287">
        <f>SUM(I109:O109)</f>
        <v>198593</v>
      </c>
      <c r="Q109" s="955"/>
    </row>
    <row r="110" spans="1:17" ht="18" customHeight="1" x14ac:dyDescent="0.35">
      <c r="A110" s="228">
        <v>102</v>
      </c>
      <c r="B110" s="198"/>
      <c r="C110" s="766"/>
      <c r="D110" s="943" t="s">
        <v>921</v>
      </c>
      <c r="E110" s="951"/>
      <c r="F110" s="951"/>
      <c r="G110" s="952"/>
      <c r="H110" s="953"/>
      <c r="I110" s="961"/>
      <c r="J110" s="961"/>
      <c r="K110" s="965">
        <v>5893</v>
      </c>
      <c r="L110" s="965"/>
      <c r="M110" s="965">
        <v>192700</v>
      </c>
      <c r="N110" s="961"/>
      <c r="O110" s="961"/>
      <c r="P110" s="1182">
        <f>SUM(I110:O110)</f>
        <v>198593</v>
      </c>
      <c r="Q110" s="955"/>
    </row>
    <row r="111" spans="1:17" ht="18" customHeight="1" thickBot="1" x14ac:dyDescent="0.4">
      <c r="A111" s="228">
        <v>103</v>
      </c>
      <c r="B111" s="198"/>
      <c r="C111" s="660"/>
      <c r="D111" s="1709" t="s">
        <v>973</v>
      </c>
      <c r="E111" s="380"/>
      <c r="F111" s="380"/>
      <c r="G111" s="661"/>
      <c r="H111" s="662"/>
      <c r="I111" s="381"/>
      <c r="J111" s="381"/>
      <c r="K111" s="1708">
        <v>5893</v>
      </c>
      <c r="L111" s="1708"/>
      <c r="M111" s="1708">
        <v>192701</v>
      </c>
      <c r="N111" s="381"/>
      <c r="O111" s="381"/>
      <c r="P111" s="1690">
        <f>SUM(J111:O111)</f>
        <v>198594</v>
      </c>
      <c r="Q111" s="663"/>
    </row>
    <row r="112" spans="1:17" ht="25.15" customHeight="1" thickTop="1" x14ac:dyDescent="0.35">
      <c r="A112" s="228">
        <v>104</v>
      </c>
      <c r="B112" s="198"/>
      <c r="C112" s="387">
        <v>50</v>
      </c>
      <c r="D112" s="283" t="s">
        <v>537</v>
      </c>
      <c r="E112" s="349"/>
      <c r="F112" s="349"/>
      <c r="G112" s="336"/>
      <c r="H112" s="262" t="s">
        <v>24</v>
      </c>
      <c r="I112" s="375"/>
      <c r="J112" s="375"/>
      <c r="K112" s="375"/>
      <c r="L112" s="375"/>
      <c r="M112" s="375"/>
      <c r="N112" s="375"/>
      <c r="O112" s="375"/>
      <c r="P112" s="335"/>
      <c r="Q112" s="390"/>
    </row>
    <row r="113" spans="1:17" ht="18" customHeight="1" x14ac:dyDescent="0.35">
      <c r="A113" s="228">
        <v>105</v>
      </c>
      <c r="B113" s="198"/>
      <c r="C113" s="382"/>
      <c r="D113" s="669" t="s">
        <v>647</v>
      </c>
      <c r="E113" s="665">
        <f>F113+G113+P115+30</f>
        <v>117267</v>
      </c>
      <c r="F113" s="347"/>
      <c r="G113" s="657">
        <v>100759</v>
      </c>
      <c r="H113" s="385"/>
      <c r="I113" s="373"/>
      <c r="J113" s="373"/>
      <c r="K113" s="373"/>
      <c r="L113" s="373"/>
      <c r="M113" s="373"/>
      <c r="N113" s="373"/>
      <c r="O113" s="373"/>
      <c r="P113" s="224"/>
      <c r="Q113" s="383"/>
    </row>
    <row r="114" spans="1:17" ht="18" customHeight="1" x14ac:dyDescent="0.35">
      <c r="A114" s="228">
        <v>106</v>
      </c>
      <c r="B114" s="198"/>
      <c r="C114" s="766"/>
      <c r="D114" s="762" t="s">
        <v>252</v>
      </c>
      <c r="E114" s="951"/>
      <c r="F114" s="951"/>
      <c r="G114" s="952"/>
      <c r="H114" s="953"/>
      <c r="I114" s="857">
        <v>1331</v>
      </c>
      <c r="J114" s="965"/>
      <c r="K114" s="857">
        <v>15117</v>
      </c>
      <c r="L114" s="963"/>
      <c r="M114" s="857"/>
      <c r="N114" s="961"/>
      <c r="O114" s="961"/>
      <c r="P114" s="859">
        <f>SUM(I114:O114)</f>
        <v>16448</v>
      </c>
      <c r="Q114" s="955"/>
    </row>
    <row r="115" spans="1:17" ht="18" customHeight="1" x14ac:dyDescent="0.35">
      <c r="A115" s="228">
        <v>107</v>
      </c>
      <c r="B115" s="674"/>
      <c r="C115" s="766"/>
      <c r="D115" s="943" t="s">
        <v>921</v>
      </c>
      <c r="E115" s="951"/>
      <c r="F115" s="951"/>
      <c r="G115" s="952"/>
      <c r="H115" s="953"/>
      <c r="I115" s="965"/>
      <c r="J115" s="965"/>
      <c r="K115" s="965">
        <v>15646</v>
      </c>
      <c r="L115" s="965">
        <v>832</v>
      </c>
      <c r="M115" s="965"/>
      <c r="N115" s="961"/>
      <c r="O115" s="961"/>
      <c r="P115" s="1182">
        <f>SUM(I115:O115)</f>
        <v>16478</v>
      </c>
      <c r="Q115" s="955"/>
    </row>
    <row r="116" spans="1:17" ht="18" customHeight="1" thickBot="1" x14ac:dyDescent="0.4">
      <c r="A116" s="228">
        <v>108</v>
      </c>
      <c r="B116" s="674"/>
      <c r="C116" s="378"/>
      <c r="D116" s="1709" t="s">
        <v>972</v>
      </c>
      <c r="E116" s="380"/>
      <c r="F116" s="380"/>
      <c r="G116" s="661"/>
      <c r="H116" s="662"/>
      <c r="I116" s="1707"/>
      <c r="J116" s="1707"/>
      <c r="K116" s="1707">
        <v>15646</v>
      </c>
      <c r="L116" s="1707">
        <v>831</v>
      </c>
      <c r="M116" s="1711"/>
      <c r="N116" s="677"/>
      <c r="O116" s="677"/>
      <c r="P116" s="1690">
        <f>SUM(I116:O116)</f>
        <v>16477</v>
      </c>
      <c r="Q116" s="663"/>
    </row>
    <row r="117" spans="1:17" ht="25.15" customHeight="1" thickTop="1" x14ac:dyDescent="0.35">
      <c r="A117" s="228">
        <v>109</v>
      </c>
      <c r="B117" s="674"/>
      <c r="C117" s="387">
        <v>52</v>
      </c>
      <c r="D117" s="283" t="s">
        <v>648</v>
      </c>
      <c r="E117" s="349"/>
      <c r="F117" s="349"/>
      <c r="G117" s="336"/>
      <c r="H117" s="262" t="s">
        <v>24</v>
      </c>
      <c r="I117" s="676"/>
      <c r="J117" s="676"/>
      <c r="K117" s="676"/>
      <c r="L117" s="375"/>
      <c r="M117" s="676"/>
      <c r="N117" s="375"/>
      <c r="O117" s="375"/>
      <c r="P117" s="335"/>
      <c r="Q117" s="390"/>
    </row>
    <row r="118" spans="1:17" ht="35.25" customHeight="1" x14ac:dyDescent="0.35">
      <c r="A118" s="228">
        <v>110</v>
      </c>
      <c r="B118" s="674"/>
      <c r="C118" s="387"/>
      <c r="D118" s="670" t="s">
        <v>649</v>
      </c>
      <c r="E118" s="665">
        <f>F118+G118+P120</f>
        <v>57768</v>
      </c>
      <c r="F118" s="349"/>
      <c r="G118" s="752">
        <v>57539</v>
      </c>
      <c r="H118" s="388"/>
      <c r="I118" s="676"/>
      <c r="J118" s="676"/>
      <c r="K118" s="676"/>
      <c r="L118" s="375"/>
      <c r="M118" s="676"/>
      <c r="N118" s="375"/>
      <c r="O118" s="375"/>
      <c r="P118" s="335"/>
      <c r="Q118" s="390"/>
    </row>
    <row r="119" spans="1:17" ht="18" customHeight="1" x14ac:dyDescent="0.35">
      <c r="A119" s="228">
        <v>111</v>
      </c>
      <c r="B119" s="674"/>
      <c r="C119" s="766"/>
      <c r="D119" s="762" t="s">
        <v>252</v>
      </c>
      <c r="E119" s="951"/>
      <c r="F119" s="951"/>
      <c r="G119" s="952"/>
      <c r="H119" s="953"/>
      <c r="I119" s="965"/>
      <c r="J119" s="965"/>
      <c r="K119" s="857">
        <v>229</v>
      </c>
      <c r="L119" s="963"/>
      <c r="M119" s="857"/>
      <c r="N119" s="961"/>
      <c r="O119" s="961"/>
      <c r="P119" s="859">
        <f>SUM(I119:O119)</f>
        <v>229</v>
      </c>
      <c r="Q119" s="955"/>
    </row>
    <row r="120" spans="1:17" ht="18" customHeight="1" x14ac:dyDescent="0.35">
      <c r="A120" s="228">
        <v>112</v>
      </c>
      <c r="B120" s="674"/>
      <c r="C120" s="766"/>
      <c r="D120" s="943" t="s">
        <v>921</v>
      </c>
      <c r="E120" s="951"/>
      <c r="F120" s="951"/>
      <c r="G120" s="952"/>
      <c r="H120" s="953"/>
      <c r="I120" s="965"/>
      <c r="J120" s="965"/>
      <c r="K120" s="965">
        <v>229</v>
      </c>
      <c r="L120" s="961"/>
      <c r="M120" s="965"/>
      <c r="N120" s="961"/>
      <c r="O120" s="961"/>
      <c r="P120" s="1182">
        <f>SUM(I120:O120)</f>
        <v>229</v>
      </c>
      <c r="Q120" s="955"/>
    </row>
    <row r="121" spans="1:17" ht="18" customHeight="1" thickBot="1" x14ac:dyDescent="0.4">
      <c r="A121" s="228">
        <v>113</v>
      </c>
      <c r="B121" s="674"/>
      <c r="C121" s="660"/>
      <c r="D121" s="1709" t="s">
        <v>973</v>
      </c>
      <c r="E121" s="380"/>
      <c r="F121" s="380"/>
      <c r="G121" s="661"/>
      <c r="H121" s="662"/>
      <c r="I121" s="668"/>
      <c r="J121" s="668"/>
      <c r="K121" s="1708">
        <v>229</v>
      </c>
      <c r="L121" s="673"/>
      <c r="M121" s="675"/>
      <c r="N121" s="381"/>
      <c r="O121" s="381"/>
      <c r="P121" s="1690">
        <f>SUM(J121:O121)</f>
        <v>229</v>
      </c>
      <c r="Q121" s="663"/>
    </row>
    <row r="122" spans="1:17" ht="25.15" customHeight="1" thickTop="1" x14ac:dyDescent="0.35">
      <c r="A122" s="228">
        <v>114</v>
      </c>
      <c r="B122" s="674"/>
      <c r="C122" s="387">
        <v>53</v>
      </c>
      <c r="D122" s="283" t="s">
        <v>536</v>
      </c>
      <c r="E122" s="349"/>
      <c r="F122" s="349"/>
      <c r="G122" s="336"/>
      <c r="H122" s="262" t="s">
        <v>24</v>
      </c>
      <c r="I122" s="676"/>
      <c r="J122" s="676"/>
      <c r="K122" s="676"/>
      <c r="L122" s="375"/>
      <c r="M122" s="676"/>
      <c r="N122" s="375"/>
      <c r="O122" s="375"/>
      <c r="P122" s="335"/>
      <c r="Q122" s="390"/>
    </row>
    <row r="123" spans="1:17" ht="18" customHeight="1" x14ac:dyDescent="0.35">
      <c r="A123" s="228">
        <v>115</v>
      </c>
      <c r="B123" s="674"/>
      <c r="C123" s="387"/>
      <c r="D123" s="670" t="s">
        <v>650</v>
      </c>
      <c r="E123" s="665">
        <f>F123+G123+P125</f>
        <v>43438</v>
      </c>
      <c r="F123" s="349"/>
      <c r="G123" s="658">
        <v>42357</v>
      </c>
      <c r="H123" s="388"/>
      <c r="I123" s="676"/>
      <c r="J123" s="676"/>
      <c r="K123" s="676"/>
      <c r="L123" s="375"/>
      <c r="M123" s="676"/>
      <c r="N123" s="375"/>
      <c r="O123" s="375"/>
      <c r="P123" s="335"/>
      <c r="Q123" s="390"/>
    </row>
    <row r="124" spans="1:17" ht="18" customHeight="1" x14ac:dyDescent="0.35">
      <c r="A124" s="228">
        <v>116</v>
      </c>
      <c r="B124" s="674"/>
      <c r="C124" s="382"/>
      <c r="D124" s="386" t="s">
        <v>252</v>
      </c>
      <c r="E124" s="347"/>
      <c r="F124" s="347"/>
      <c r="G124" s="227"/>
      <c r="H124" s="385"/>
      <c r="I124" s="260"/>
      <c r="J124" s="260"/>
      <c r="K124" s="671">
        <v>229</v>
      </c>
      <c r="L124" s="672"/>
      <c r="M124" s="671">
        <v>838</v>
      </c>
      <c r="N124" s="373"/>
      <c r="O124" s="671">
        <v>14</v>
      </c>
      <c r="P124" s="761">
        <f>SUM(I124:O124)</f>
        <v>1081</v>
      </c>
      <c r="Q124" s="383"/>
    </row>
    <row r="125" spans="1:17" ht="18" customHeight="1" x14ac:dyDescent="0.35">
      <c r="A125" s="228">
        <v>117</v>
      </c>
      <c r="B125" s="674"/>
      <c r="C125" s="382"/>
      <c r="D125" s="943" t="s">
        <v>921</v>
      </c>
      <c r="E125" s="347"/>
      <c r="F125" s="347"/>
      <c r="G125" s="227"/>
      <c r="H125" s="385"/>
      <c r="I125" s="260"/>
      <c r="J125" s="260"/>
      <c r="K125" s="260">
        <v>229</v>
      </c>
      <c r="L125" s="373"/>
      <c r="M125" s="260">
        <v>838</v>
      </c>
      <c r="N125" s="373"/>
      <c r="O125" s="260">
        <v>14</v>
      </c>
      <c r="P125" s="224">
        <f>SUM(I125:O125)</f>
        <v>1081</v>
      </c>
      <c r="Q125" s="383"/>
    </row>
    <row r="126" spans="1:17" ht="18" customHeight="1" thickBot="1" x14ac:dyDescent="0.4">
      <c r="A126" s="228">
        <v>118</v>
      </c>
      <c r="B126" s="674"/>
      <c r="C126" s="660"/>
      <c r="D126" s="1709" t="s">
        <v>973</v>
      </c>
      <c r="E126" s="380"/>
      <c r="F126" s="380"/>
      <c r="G126" s="661"/>
      <c r="H126" s="662"/>
      <c r="I126" s="668"/>
      <c r="J126" s="668"/>
      <c r="K126" s="1708">
        <v>229</v>
      </c>
      <c r="L126" s="1710"/>
      <c r="M126" s="1708">
        <v>838</v>
      </c>
      <c r="N126" s="1710"/>
      <c r="O126" s="1708">
        <v>14</v>
      </c>
      <c r="P126" s="1690">
        <f>SUM(J126:O126)</f>
        <v>1081</v>
      </c>
      <c r="Q126" s="663"/>
    </row>
    <row r="127" spans="1:17" ht="25.15" customHeight="1" thickTop="1" x14ac:dyDescent="0.35">
      <c r="A127" s="228">
        <v>119</v>
      </c>
      <c r="B127" s="198"/>
      <c r="C127" s="387">
        <v>54</v>
      </c>
      <c r="D127" s="283" t="s">
        <v>535</v>
      </c>
      <c r="E127" s="349"/>
      <c r="F127" s="349"/>
      <c r="G127" s="336"/>
      <c r="H127" s="262" t="s">
        <v>24</v>
      </c>
      <c r="I127" s="676"/>
      <c r="J127" s="676"/>
      <c r="K127" s="676"/>
      <c r="L127" s="375"/>
      <c r="M127" s="676"/>
      <c r="N127" s="375"/>
      <c r="O127" s="375"/>
      <c r="P127" s="335"/>
      <c r="Q127" s="390"/>
    </row>
    <row r="128" spans="1:17" ht="18" customHeight="1" x14ac:dyDescent="0.35">
      <c r="A128" s="228">
        <v>120</v>
      </c>
      <c r="B128" s="198"/>
      <c r="C128" s="387"/>
      <c r="D128" s="670" t="s">
        <v>651</v>
      </c>
      <c r="E128" s="665">
        <f>F128+G128+P130</f>
        <v>39841</v>
      </c>
      <c r="F128" s="349"/>
      <c r="G128" s="658">
        <v>37548</v>
      </c>
      <c r="H128" s="388"/>
      <c r="I128" s="676"/>
      <c r="J128" s="676"/>
      <c r="K128" s="676"/>
      <c r="L128" s="375"/>
      <c r="M128" s="676"/>
      <c r="N128" s="375"/>
      <c r="O128" s="375"/>
      <c r="P128" s="335"/>
      <c r="Q128" s="390"/>
    </row>
    <row r="129" spans="1:17" ht="18" customHeight="1" x14ac:dyDescent="0.35">
      <c r="A129" s="228">
        <v>121</v>
      </c>
      <c r="B129" s="198"/>
      <c r="C129" s="766"/>
      <c r="D129" s="762" t="s">
        <v>252</v>
      </c>
      <c r="E129" s="951"/>
      <c r="F129" s="951"/>
      <c r="G129" s="952"/>
      <c r="H129" s="953"/>
      <c r="I129" s="965"/>
      <c r="J129" s="965"/>
      <c r="K129" s="857">
        <v>356</v>
      </c>
      <c r="L129" s="963"/>
      <c r="M129" s="857">
        <v>1916</v>
      </c>
      <c r="N129" s="961"/>
      <c r="O129" s="961"/>
      <c r="P129" s="859">
        <f>SUM(I129:O129)</f>
        <v>2272</v>
      </c>
      <c r="Q129" s="955"/>
    </row>
    <row r="130" spans="1:17" ht="18" customHeight="1" x14ac:dyDescent="0.35">
      <c r="A130" s="228">
        <v>122</v>
      </c>
      <c r="B130" s="198"/>
      <c r="C130" s="766"/>
      <c r="D130" s="943" t="s">
        <v>921</v>
      </c>
      <c r="E130" s="951"/>
      <c r="F130" s="951"/>
      <c r="G130" s="952"/>
      <c r="H130" s="953"/>
      <c r="I130" s="965"/>
      <c r="J130" s="965"/>
      <c r="K130" s="965">
        <v>356</v>
      </c>
      <c r="L130" s="965">
        <v>21</v>
      </c>
      <c r="M130" s="965">
        <v>1904</v>
      </c>
      <c r="N130" s="965"/>
      <c r="O130" s="965">
        <v>12</v>
      </c>
      <c r="P130" s="1182">
        <f>SUM(I130:O130)</f>
        <v>2293</v>
      </c>
      <c r="Q130" s="955"/>
    </row>
    <row r="131" spans="1:17" ht="18" customHeight="1" thickBot="1" x14ac:dyDescent="0.4">
      <c r="A131" s="228">
        <v>123</v>
      </c>
      <c r="B131" s="198"/>
      <c r="C131" s="660"/>
      <c r="D131" s="1709" t="s">
        <v>972</v>
      </c>
      <c r="E131" s="380"/>
      <c r="F131" s="380"/>
      <c r="G131" s="661"/>
      <c r="H131" s="662"/>
      <c r="I131" s="1708"/>
      <c r="J131" s="1708"/>
      <c r="K131" s="1708">
        <v>356</v>
      </c>
      <c r="L131" s="1708">
        <v>21</v>
      </c>
      <c r="M131" s="1708">
        <v>1904</v>
      </c>
      <c r="N131" s="1708"/>
      <c r="O131" s="1708">
        <v>12</v>
      </c>
      <c r="P131" s="1690">
        <f>SUM(J131:O131)</f>
        <v>2293</v>
      </c>
      <c r="Q131" s="663"/>
    </row>
    <row r="132" spans="1:17" ht="25.15" customHeight="1" thickTop="1" x14ac:dyDescent="0.35">
      <c r="A132" s="228">
        <v>124</v>
      </c>
      <c r="B132" s="198"/>
      <c r="C132" s="387">
        <v>55</v>
      </c>
      <c r="D132" s="283" t="s">
        <v>652</v>
      </c>
      <c r="E132" s="349"/>
      <c r="F132" s="349"/>
      <c r="G132" s="336"/>
      <c r="H132" s="262" t="s">
        <v>24</v>
      </c>
      <c r="I132" s="676"/>
      <c r="J132" s="676"/>
      <c r="K132" s="676"/>
      <c r="L132" s="375"/>
      <c r="M132" s="676"/>
      <c r="N132" s="375"/>
      <c r="O132" s="375"/>
      <c r="P132" s="335"/>
      <c r="Q132" s="390"/>
    </row>
    <row r="133" spans="1:17" ht="18" customHeight="1" x14ac:dyDescent="0.35">
      <c r="A133" s="228">
        <v>125</v>
      </c>
      <c r="B133" s="198"/>
      <c r="C133" s="382"/>
      <c r="D133" s="670" t="s">
        <v>653</v>
      </c>
      <c r="E133" s="665">
        <f>F133+G133+P135</f>
        <v>29947</v>
      </c>
      <c r="F133" s="347"/>
      <c r="G133" s="227"/>
      <c r="H133" s="385"/>
      <c r="I133" s="260"/>
      <c r="J133" s="260"/>
      <c r="K133" s="260"/>
      <c r="L133" s="373"/>
      <c r="M133" s="260"/>
      <c r="N133" s="373"/>
      <c r="O133" s="373"/>
      <c r="P133" s="224"/>
      <c r="Q133" s="383"/>
    </row>
    <row r="134" spans="1:17" ht="18" customHeight="1" x14ac:dyDescent="0.35">
      <c r="A134" s="228">
        <v>126</v>
      </c>
      <c r="B134" s="198"/>
      <c r="C134" s="766"/>
      <c r="D134" s="762" t="s">
        <v>252</v>
      </c>
      <c r="E134" s="951"/>
      <c r="F134" s="951"/>
      <c r="G134" s="952"/>
      <c r="H134" s="953"/>
      <c r="I134" s="857"/>
      <c r="J134" s="857"/>
      <c r="K134" s="857">
        <v>1753</v>
      </c>
      <c r="L134" s="963"/>
      <c r="M134" s="857">
        <v>28194</v>
      </c>
      <c r="N134" s="963"/>
      <c r="O134" s="963"/>
      <c r="P134" s="859">
        <f>SUM(I134:O134)</f>
        <v>29947</v>
      </c>
      <c r="Q134" s="955"/>
    </row>
    <row r="135" spans="1:17" ht="18" customHeight="1" x14ac:dyDescent="0.35">
      <c r="A135" s="228">
        <v>127</v>
      </c>
      <c r="B135" s="198"/>
      <c r="C135" s="766"/>
      <c r="D135" s="943" t="s">
        <v>921</v>
      </c>
      <c r="E135" s="951"/>
      <c r="F135" s="951"/>
      <c r="G135" s="952"/>
      <c r="H135" s="953"/>
      <c r="I135" s="965"/>
      <c r="J135" s="965"/>
      <c r="K135" s="965">
        <v>0</v>
      </c>
      <c r="L135" s="965">
        <v>5182</v>
      </c>
      <c r="M135" s="965">
        <v>0</v>
      </c>
      <c r="N135" s="961"/>
      <c r="O135" s="965">
        <v>24765</v>
      </c>
      <c r="P135" s="1182">
        <f>SUM(I135:O135)</f>
        <v>29947</v>
      </c>
      <c r="Q135" s="955"/>
    </row>
    <row r="136" spans="1:17" ht="18" customHeight="1" thickBot="1" x14ac:dyDescent="0.4">
      <c r="A136" s="228">
        <v>128</v>
      </c>
      <c r="B136" s="198"/>
      <c r="C136" s="660"/>
      <c r="D136" s="1709" t="s">
        <v>973</v>
      </c>
      <c r="E136" s="380"/>
      <c r="F136" s="380"/>
      <c r="G136" s="661"/>
      <c r="H136" s="662"/>
      <c r="I136" s="1708"/>
      <c r="J136" s="1708"/>
      <c r="K136" s="1708">
        <v>0</v>
      </c>
      <c r="L136" s="1708">
        <v>5182</v>
      </c>
      <c r="M136" s="1708">
        <v>0</v>
      </c>
      <c r="N136" s="1708"/>
      <c r="O136" s="1708">
        <v>24765</v>
      </c>
      <c r="P136" s="1690">
        <f>SUM(J136:O136)</f>
        <v>29947</v>
      </c>
      <c r="Q136" s="663"/>
    </row>
    <row r="137" spans="1:17" ht="25.15" customHeight="1" thickTop="1" x14ac:dyDescent="0.35">
      <c r="A137" s="228">
        <v>129</v>
      </c>
      <c r="B137" s="198"/>
      <c r="C137" s="387">
        <v>57</v>
      </c>
      <c r="D137" s="283" t="s">
        <v>654</v>
      </c>
      <c r="E137" s="349"/>
      <c r="F137" s="349"/>
      <c r="G137" s="336"/>
      <c r="H137" s="262" t="s">
        <v>24</v>
      </c>
      <c r="I137" s="676"/>
      <c r="J137" s="676"/>
      <c r="K137" s="676"/>
      <c r="L137" s="375"/>
      <c r="M137" s="676"/>
      <c r="N137" s="375"/>
      <c r="O137" s="375"/>
      <c r="P137" s="335"/>
      <c r="Q137" s="390"/>
    </row>
    <row r="138" spans="1:17" ht="18" customHeight="1" x14ac:dyDescent="0.35">
      <c r="A138" s="228">
        <v>130</v>
      </c>
      <c r="B138" s="198"/>
      <c r="C138" s="382"/>
      <c r="D138" s="669" t="s">
        <v>655</v>
      </c>
      <c r="E138" s="665">
        <f>F138+G138+P140</f>
        <v>4501</v>
      </c>
      <c r="F138" s="347"/>
      <c r="G138" s="657">
        <v>4259</v>
      </c>
      <c r="H138" s="385"/>
      <c r="I138" s="260"/>
      <c r="J138" s="260"/>
      <c r="K138" s="260"/>
      <c r="L138" s="373"/>
      <c r="M138" s="260"/>
      <c r="N138" s="373"/>
      <c r="O138" s="373"/>
      <c r="P138" s="224"/>
      <c r="Q138" s="383"/>
    </row>
    <row r="139" spans="1:17" ht="18" customHeight="1" x14ac:dyDescent="0.35">
      <c r="A139" s="228">
        <v>131</v>
      </c>
      <c r="B139" s="198"/>
      <c r="C139" s="382"/>
      <c r="D139" s="386" t="s">
        <v>252</v>
      </c>
      <c r="E139" s="347"/>
      <c r="F139" s="347"/>
      <c r="G139" s="227"/>
      <c r="H139" s="385"/>
      <c r="I139" s="260"/>
      <c r="J139" s="260"/>
      <c r="K139" s="671">
        <v>229</v>
      </c>
      <c r="L139" s="671">
        <v>13</v>
      </c>
      <c r="M139" s="671"/>
      <c r="N139" s="373"/>
      <c r="O139" s="373"/>
      <c r="P139" s="761">
        <f>SUM(I139:O139)</f>
        <v>242</v>
      </c>
      <c r="Q139" s="383"/>
    </row>
    <row r="140" spans="1:17" ht="18" customHeight="1" x14ac:dyDescent="0.35">
      <c r="A140" s="228">
        <v>132</v>
      </c>
      <c r="B140" s="198"/>
      <c r="C140" s="382"/>
      <c r="D140" s="943" t="s">
        <v>921</v>
      </c>
      <c r="E140" s="347"/>
      <c r="F140" s="347"/>
      <c r="G140" s="227"/>
      <c r="H140" s="385"/>
      <c r="I140" s="260"/>
      <c r="J140" s="260"/>
      <c r="K140" s="260">
        <v>229</v>
      </c>
      <c r="L140" s="260">
        <v>13</v>
      </c>
      <c r="M140" s="260"/>
      <c r="N140" s="373"/>
      <c r="O140" s="373"/>
      <c r="P140" s="224">
        <f>SUM(I140:O140)</f>
        <v>242</v>
      </c>
      <c r="Q140" s="383"/>
    </row>
    <row r="141" spans="1:17" ht="18" customHeight="1" thickBot="1" x14ac:dyDescent="0.4">
      <c r="A141" s="228">
        <v>133</v>
      </c>
      <c r="B141" s="198"/>
      <c r="C141" s="660"/>
      <c r="D141" s="1709" t="s">
        <v>973</v>
      </c>
      <c r="E141" s="380"/>
      <c r="F141" s="380"/>
      <c r="G141" s="661"/>
      <c r="H141" s="662"/>
      <c r="I141" s="668"/>
      <c r="J141" s="668"/>
      <c r="K141" s="1708">
        <v>229</v>
      </c>
      <c r="L141" s="1708">
        <v>13</v>
      </c>
      <c r="M141" s="675"/>
      <c r="N141" s="381"/>
      <c r="O141" s="381"/>
      <c r="P141" s="1690">
        <f>SUM(J141:O141)</f>
        <v>242</v>
      </c>
      <c r="Q141" s="663"/>
    </row>
    <row r="142" spans="1:17" ht="25.15" customHeight="1" thickTop="1" x14ac:dyDescent="0.35">
      <c r="A142" s="228">
        <v>134</v>
      </c>
      <c r="B142" s="198"/>
      <c r="C142" s="387">
        <v>58</v>
      </c>
      <c r="D142" s="283" t="s">
        <v>466</v>
      </c>
      <c r="E142" s="349"/>
      <c r="F142" s="349"/>
      <c r="G142" s="336"/>
      <c r="H142" s="262" t="s">
        <v>24</v>
      </c>
      <c r="I142" s="676"/>
      <c r="J142" s="676"/>
      <c r="K142" s="676"/>
      <c r="L142" s="375"/>
      <c r="M142" s="676"/>
      <c r="N142" s="375"/>
      <c r="O142" s="375"/>
      <c r="P142" s="335"/>
      <c r="Q142" s="390"/>
    </row>
    <row r="143" spans="1:17" ht="18" customHeight="1" x14ac:dyDescent="0.35">
      <c r="A143" s="228">
        <v>135</v>
      </c>
      <c r="B143" s="198"/>
      <c r="C143" s="382"/>
      <c r="D143" s="670" t="s">
        <v>656</v>
      </c>
      <c r="E143" s="665">
        <f>F143+G143+P145</f>
        <v>233547</v>
      </c>
      <c r="F143" s="347"/>
      <c r="G143" s="657">
        <v>160770</v>
      </c>
      <c r="H143" s="385"/>
      <c r="I143" s="260"/>
      <c r="J143" s="260"/>
      <c r="K143" s="260"/>
      <c r="L143" s="373"/>
      <c r="M143" s="260"/>
      <c r="N143" s="373"/>
      <c r="O143" s="373"/>
      <c r="P143" s="224"/>
      <c r="Q143" s="383"/>
    </row>
    <row r="144" spans="1:17" ht="18" customHeight="1" x14ac:dyDescent="0.35">
      <c r="A144" s="228">
        <v>136</v>
      </c>
      <c r="B144" s="198"/>
      <c r="C144" s="766"/>
      <c r="D144" s="762" t="s">
        <v>252</v>
      </c>
      <c r="E144" s="951"/>
      <c r="F144" s="951"/>
      <c r="G144" s="952"/>
      <c r="H144" s="953"/>
      <c r="I144" s="857"/>
      <c r="J144" s="857"/>
      <c r="K144" s="857">
        <v>5601</v>
      </c>
      <c r="L144" s="963"/>
      <c r="M144" s="857">
        <v>67176</v>
      </c>
      <c r="N144" s="963"/>
      <c r="O144" s="963"/>
      <c r="P144" s="859">
        <f>SUM(I144:O144)</f>
        <v>72777</v>
      </c>
      <c r="Q144" s="955"/>
    </row>
    <row r="145" spans="1:17" ht="18" customHeight="1" x14ac:dyDescent="0.35">
      <c r="A145" s="228">
        <v>137</v>
      </c>
      <c r="B145" s="198"/>
      <c r="C145" s="766"/>
      <c r="D145" s="943" t="s">
        <v>921</v>
      </c>
      <c r="E145" s="951"/>
      <c r="F145" s="951"/>
      <c r="G145" s="952"/>
      <c r="H145" s="953"/>
      <c r="I145" s="965"/>
      <c r="J145" s="965"/>
      <c r="K145" s="965">
        <v>5601</v>
      </c>
      <c r="L145" s="961"/>
      <c r="M145" s="965">
        <v>67141</v>
      </c>
      <c r="N145" s="961"/>
      <c r="O145" s="965">
        <v>35</v>
      </c>
      <c r="P145" s="1182">
        <f>SUM(I145:O145)</f>
        <v>72777</v>
      </c>
      <c r="Q145" s="955"/>
    </row>
    <row r="146" spans="1:17" ht="18" customHeight="1" thickBot="1" x14ac:dyDescent="0.4">
      <c r="A146" s="228">
        <v>138</v>
      </c>
      <c r="B146" s="198"/>
      <c r="C146" s="660"/>
      <c r="D146" s="1709" t="s">
        <v>972</v>
      </c>
      <c r="E146" s="380"/>
      <c r="F146" s="380"/>
      <c r="G146" s="661"/>
      <c r="H146" s="662"/>
      <c r="I146" s="1708"/>
      <c r="J146" s="1708"/>
      <c r="K146" s="1708">
        <v>5601</v>
      </c>
      <c r="L146" s="1742"/>
      <c r="M146" s="1708">
        <v>67141</v>
      </c>
      <c r="N146" s="1742"/>
      <c r="O146" s="1708">
        <v>35</v>
      </c>
      <c r="P146" s="1690">
        <f>SUM(J146:O146)</f>
        <v>72777</v>
      </c>
      <c r="Q146" s="663"/>
    </row>
    <row r="147" spans="1:17" ht="25.15" customHeight="1" thickTop="1" x14ac:dyDescent="0.35">
      <c r="A147" s="228">
        <v>139</v>
      </c>
      <c r="B147" s="198"/>
      <c r="C147" s="387">
        <v>59</v>
      </c>
      <c r="D147" s="283" t="s">
        <v>657</v>
      </c>
      <c r="E147" s="349"/>
      <c r="F147" s="349"/>
      <c r="G147" s="336"/>
      <c r="H147" s="262" t="s">
        <v>24</v>
      </c>
      <c r="I147" s="676"/>
      <c r="J147" s="676"/>
      <c r="K147" s="676"/>
      <c r="L147" s="375"/>
      <c r="M147" s="676"/>
      <c r="N147" s="375"/>
      <c r="O147" s="375"/>
      <c r="P147" s="335"/>
      <c r="Q147" s="390"/>
    </row>
    <row r="148" spans="1:17" ht="18" customHeight="1" x14ac:dyDescent="0.35">
      <c r="A148" s="228">
        <v>140</v>
      </c>
      <c r="B148" s="198"/>
      <c r="C148" s="382"/>
      <c r="D148" s="753" t="s">
        <v>658</v>
      </c>
      <c r="E148" s="665">
        <f>F148+G148+P150+658+300</f>
        <v>740440</v>
      </c>
      <c r="F148" s="347"/>
      <c r="G148" s="657">
        <v>317290</v>
      </c>
      <c r="H148" s="385"/>
      <c r="I148" s="260"/>
      <c r="J148" s="260"/>
      <c r="K148" s="260"/>
      <c r="L148" s="373"/>
      <c r="M148" s="260"/>
      <c r="N148" s="373"/>
      <c r="O148" s="373"/>
      <c r="P148" s="224"/>
      <c r="Q148" s="383"/>
    </row>
    <row r="149" spans="1:17" ht="18" customHeight="1" x14ac:dyDescent="0.35">
      <c r="A149" s="228">
        <v>141</v>
      </c>
      <c r="B149" s="198"/>
      <c r="C149" s="382"/>
      <c r="D149" s="386" t="s">
        <v>252</v>
      </c>
      <c r="E149" s="347"/>
      <c r="F149" s="347"/>
      <c r="G149" s="227"/>
      <c r="H149" s="385"/>
      <c r="I149" s="260"/>
      <c r="J149" s="260"/>
      <c r="K149" s="671">
        <v>29185</v>
      </c>
      <c r="L149" s="672"/>
      <c r="M149" s="671">
        <v>393007</v>
      </c>
      <c r="N149" s="373"/>
      <c r="O149" s="373"/>
      <c r="P149" s="761">
        <f>SUM(I149:O149)</f>
        <v>422192</v>
      </c>
      <c r="Q149" s="383"/>
    </row>
    <row r="150" spans="1:17" ht="18" customHeight="1" x14ac:dyDescent="0.35">
      <c r="A150" s="228">
        <v>142</v>
      </c>
      <c r="B150" s="714"/>
      <c r="C150" s="382"/>
      <c r="D150" s="943" t="s">
        <v>921</v>
      </c>
      <c r="E150" s="347"/>
      <c r="F150" s="347"/>
      <c r="G150" s="227"/>
      <c r="H150" s="385"/>
      <c r="I150" s="260"/>
      <c r="J150" s="260"/>
      <c r="K150" s="260">
        <v>29185</v>
      </c>
      <c r="L150" s="373"/>
      <c r="M150" s="260">
        <v>393007</v>
      </c>
      <c r="N150" s="373"/>
      <c r="O150" s="373"/>
      <c r="P150" s="224">
        <f>SUM(I150:O150)</f>
        <v>422192</v>
      </c>
      <c r="Q150" s="383"/>
    </row>
    <row r="151" spans="1:17" ht="18" customHeight="1" thickBot="1" x14ac:dyDescent="0.4">
      <c r="A151" s="228">
        <v>143</v>
      </c>
      <c r="B151" s="714"/>
      <c r="C151" s="382"/>
      <c r="D151" s="920" t="s">
        <v>973</v>
      </c>
      <c r="E151" s="347"/>
      <c r="F151" s="347"/>
      <c r="G151" s="227"/>
      <c r="H151" s="1720"/>
      <c r="I151" s="260"/>
      <c r="J151" s="260"/>
      <c r="K151" s="1755">
        <v>29185</v>
      </c>
      <c r="L151" s="1741"/>
      <c r="M151" s="1755">
        <v>393007</v>
      </c>
      <c r="N151" s="373"/>
      <c r="O151" s="373"/>
      <c r="P151" s="922">
        <f>SUM(J151:O151)</f>
        <v>422192</v>
      </c>
      <c r="Q151" s="383"/>
    </row>
    <row r="152" spans="1:17" ht="25.15" customHeight="1" thickTop="1" x14ac:dyDescent="0.35">
      <c r="A152" s="228">
        <v>144</v>
      </c>
      <c r="B152" s="763"/>
      <c r="C152" s="756">
        <v>60</v>
      </c>
      <c r="D152" s="757" t="s">
        <v>660</v>
      </c>
      <c r="E152" s="758"/>
      <c r="F152" s="758"/>
      <c r="G152" s="759"/>
      <c r="H152" s="262" t="s">
        <v>24</v>
      </c>
      <c r="I152" s="758"/>
      <c r="J152" s="758"/>
      <c r="K152" s="758"/>
      <c r="L152" s="758"/>
      <c r="M152" s="758"/>
      <c r="N152" s="758"/>
      <c r="O152" s="758"/>
      <c r="P152" s="760"/>
      <c r="Q152" s="765"/>
    </row>
    <row r="153" spans="1:17" ht="18" customHeight="1" x14ac:dyDescent="0.35">
      <c r="A153" s="228">
        <v>145</v>
      </c>
      <c r="B153" s="198"/>
      <c r="C153" s="159"/>
      <c r="D153" s="753" t="s">
        <v>659</v>
      </c>
      <c r="E153" s="665">
        <f>F153+G153+P155</f>
        <v>10805</v>
      </c>
      <c r="F153" s="347"/>
      <c r="G153" s="657">
        <v>10678</v>
      </c>
      <c r="H153" s="385"/>
      <c r="I153" s="260"/>
      <c r="J153" s="260"/>
      <c r="K153" s="671"/>
      <c r="L153" s="672"/>
      <c r="M153" s="671"/>
      <c r="N153" s="373"/>
      <c r="O153" s="373"/>
      <c r="P153" s="761"/>
      <c r="Q153" s="383"/>
    </row>
    <row r="154" spans="1:17" ht="18" customHeight="1" x14ac:dyDescent="0.35">
      <c r="A154" s="228">
        <v>146</v>
      </c>
      <c r="B154" s="198"/>
      <c r="C154" s="382"/>
      <c r="D154" s="386" t="s">
        <v>252</v>
      </c>
      <c r="E154" s="347"/>
      <c r="F154" s="347"/>
      <c r="G154" s="227"/>
      <c r="H154" s="385"/>
      <c r="I154" s="260"/>
      <c r="J154" s="260"/>
      <c r="K154" s="671">
        <v>127</v>
      </c>
      <c r="L154" s="672"/>
      <c r="M154" s="671"/>
      <c r="N154" s="373"/>
      <c r="O154" s="373"/>
      <c r="P154" s="761">
        <f>SUM(I154:O154)</f>
        <v>127</v>
      </c>
      <c r="Q154" s="383"/>
    </row>
    <row r="155" spans="1:17" ht="18" customHeight="1" x14ac:dyDescent="0.35">
      <c r="A155" s="228">
        <v>147</v>
      </c>
      <c r="B155" s="198"/>
      <c r="C155" s="382"/>
      <c r="D155" s="943" t="s">
        <v>921</v>
      </c>
      <c r="E155" s="347"/>
      <c r="F155" s="347"/>
      <c r="G155" s="227"/>
      <c r="H155" s="385"/>
      <c r="I155" s="260"/>
      <c r="J155" s="260"/>
      <c r="K155" s="260">
        <v>127</v>
      </c>
      <c r="L155" s="373"/>
      <c r="M155" s="260"/>
      <c r="N155" s="373"/>
      <c r="O155" s="373"/>
      <c r="P155" s="224">
        <f>SUM(I155:O155)</f>
        <v>127</v>
      </c>
      <c r="Q155" s="383"/>
    </row>
    <row r="156" spans="1:17" ht="18" customHeight="1" thickBot="1" x14ac:dyDescent="0.4">
      <c r="A156" s="228">
        <v>148</v>
      </c>
      <c r="B156" s="198"/>
      <c r="C156" s="660"/>
      <c r="D156" s="1709" t="s">
        <v>973</v>
      </c>
      <c r="E156" s="380"/>
      <c r="F156" s="380"/>
      <c r="G156" s="661"/>
      <c r="H156" s="662"/>
      <c r="I156" s="668"/>
      <c r="J156" s="668"/>
      <c r="K156" s="1708">
        <v>127</v>
      </c>
      <c r="L156" s="673"/>
      <c r="M156" s="675"/>
      <c r="N156" s="381"/>
      <c r="O156" s="381"/>
      <c r="P156" s="1690">
        <f>SUM(J156:O156)</f>
        <v>127</v>
      </c>
      <c r="Q156" s="663"/>
    </row>
    <row r="157" spans="1:17" ht="25.15" customHeight="1" thickTop="1" x14ac:dyDescent="0.35">
      <c r="A157" s="228">
        <v>149</v>
      </c>
      <c r="B157" s="198"/>
      <c r="C157" s="387">
        <v>61</v>
      </c>
      <c r="D157" s="283" t="s">
        <v>661</v>
      </c>
      <c r="E157" s="349"/>
      <c r="F157" s="349"/>
      <c r="G157" s="336"/>
      <c r="H157" s="262" t="s">
        <v>24</v>
      </c>
      <c r="I157" s="676"/>
      <c r="J157" s="676"/>
      <c r="K157" s="676"/>
      <c r="L157" s="375"/>
      <c r="M157" s="676"/>
      <c r="N157" s="375"/>
      <c r="O157" s="375"/>
      <c r="P157" s="335"/>
      <c r="Q157" s="390"/>
    </row>
    <row r="158" spans="1:17" ht="18" customHeight="1" x14ac:dyDescent="0.35">
      <c r="A158" s="228">
        <v>150</v>
      </c>
      <c r="B158" s="198"/>
      <c r="C158" s="382"/>
      <c r="D158" s="670" t="s">
        <v>662</v>
      </c>
      <c r="E158" s="665">
        <f>F158+G158+P160</f>
        <v>186125</v>
      </c>
      <c r="F158" s="347"/>
      <c r="G158" s="657">
        <v>3644</v>
      </c>
      <c r="H158" s="385"/>
      <c r="I158" s="260"/>
      <c r="J158" s="260"/>
      <c r="K158" s="260"/>
      <c r="L158" s="373"/>
      <c r="M158" s="260"/>
      <c r="N158" s="373"/>
      <c r="O158" s="373"/>
      <c r="P158" s="224"/>
      <c r="Q158" s="383"/>
    </row>
    <row r="159" spans="1:17" ht="18" customHeight="1" x14ac:dyDescent="0.35">
      <c r="A159" s="228">
        <v>151</v>
      </c>
      <c r="B159" s="198"/>
      <c r="C159" s="766"/>
      <c r="D159" s="762" t="s">
        <v>252</v>
      </c>
      <c r="E159" s="951"/>
      <c r="F159" s="951"/>
      <c r="G159" s="952"/>
      <c r="H159" s="953"/>
      <c r="I159" s="857"/>
      <c r="J159" s="857"/>
      <c r="K159" s="857">
        <v>751</v>
      </c>
      <c r="L159" s="963"/>
      <c r="M159" s="857">
        <v>181730</v>
      </c>
      <c r="N159" s="961"/>
      <c r="O159" s="961"/>
      <c r="P159" s="859">
        <f>SUM(I159:O159)</f>
        <v>182481</v>
      </c>
      <c r="Q159" s="955"/>
    </row>
    <row r="160" spans="1:17" ht="18" customHeight="1" x14ac:dyDescent="0.35">
      <c r="A160" s="228">
        <v>152</v>
      </c>
      <c r="B160" s="198"/>
      <c r="C160" s="766"/>
      <c r="D160" s="943" t="s">
        <v>921</v>
      </c>
      <c r="E160" s="951"/>
      <c r="F160" s="951"/>
      <c r="G160" s="952"/>
      <c r="H160" s="953"/>
      <c r="I160" s="965"/>
      <c r="J160" s="965"/>
      <c r="K160" s="965">
        <v>751</v>
      </c>
      <c r="L160" s="961"/>
      <c r="M160" s="965">
        <v>181730</v>
      </c>
      <c r="N160" s="961"/>
      <c r="O160" s="961"/>
      <c r="P160" s="1182">
        <f>SUM(I160:O160)</f>
        <v>182481</v>
      </c>
      <c r="Q160" s="955"/>
    </row>
    <row r="161" spans="1:17" ht="18" customHeight="1" thickBot="1" x14ac:dyDescent="0.4">
      <c r="A161" s="228">
        <v>153</v>
      </c>
      <c r="B161" s="198"/>
      <c r="C161" s="660"/>
      <c r="D161" s="1709" t="s">
        <v>973</v>
      </c>
      <c r="E161" s="380"/>
      <c r="F161" s="380"/>
      <c r="G161" s="661"/>
      <c r="H161" s="662"/>
      <c r="I161" s="675"/>
      <c r="J161" s="675"/>
      <c r="K161" s="1708">
        <v>826</v>
      </c>
      <c r="L161" s="1710"/>
      <c r="M161" s="1708">
        <v>181730</v>
      </c>
      <c r="N161" s="381"/>
      <c r="O161" s="381"/>
      <c r="P161" s="1690">
        <f>SUM(J161:O161)</f>
        <v>182556</v>
      </c>
      <c r="Q161" s="663"/>
    </row>
    <row r="162" spans="1:17" ht="25.15" customHeight="1" thickTop="1" x14ac:dyDescent="0.35">
      <c r="A162" s="228">
        <v>154</v>
      </c>
      <c r="B162" s="198"/>
      <c r="C162" s="387">
        <v>62</v>
      </c>
      <c r="D162" s="283" t="s">
        <v>663</v>
      </c>
      <c r="E162" s="349"/>
      <c r="F162" s="349"/>
      <c r="G162" s="336"/>
      <c r="H162" s="262" t="s">
        <v>24</v>
      </c>
      <c r="I162" s="676"/>
      <c r="J162" s="676"/>
      <c r="K162" s="676"/>
      <c r="L162" s="375"/>
      <c r="M162" s="676"/>
      <c r="N162" s="375"/>
      <c r="O162" s="375"/>
      <c r="P162" s="335"/>
      <c r="Q162" s="390"/>
    </row>
    <row r="163" spans="1:17" ht="33.75" customHeight="1" x14ac:dyDescent="0.35">
      <c r="A163" s="228">
        <v>155</v>
      </c>
      <c r="B163" s="198"/>
      <c r="C163" s="382"/>
      <c r="D163" s="753" t="s">
        <v>664</v>
      </c>
      <c r="E163" s="665">
        <f>F163+G163+P165+1082</f>
        <v>202709</v>
      </c>
      <c r="F163" s="347"/>
      <c r="G163" s="667">
        <v>36884</v>
      </c>
      <c r="H163" s="385"/>
      <c r="I163" s="260"/>
      <c r="J163" s="260"/>
      <c r="K163" s="260"/>
      <c r="L163" s="373"/>
      <c r="M163" s="260"/>
      <c r="N163" s="373"/>
      <c r="O163" s="373"/>
      <c r="P163" s="224"/>
      <c r="Q163" s="383"/>
    </row>
    <row r="164" spans="1:17" ht="18" customHeight="1" x14ac:dyDescent="0.35">
      <c r="A164" s="228">
        <v>156</v>
      </c>
      <c r="B164" s="714"/>
      <c r="C164" s="285"/>
      <c r="D164" s="762" t="s">
        <v>252</v>
      </c>
      <c r="E164" s="289"/>
      <c r="F164" s="715"/>
      <c r="G164" s="290"/>
      <c r="H164" s="291"/>
      <c r="I164" s="857"/>
      <c r="J164" s="857"/>
      <c r="K164" s="857">
        <v>550</v>
      </c>
      <c r="L164" s="858"/>
      <c r="M164" s="286">
        <v>164193</v>
      </c>
      <c r="N164" s="858"/>
      <c r="O164" s="858"/>
      <c r="P164" s="859">
        <f>SUM(I164:O164)</f>
        <v>164743</v>
      </c>
      <c r="Q164" s="284"/>
    </row>
    <row r="165" spans="1:17" ht="18" customHeight="1" x14ac:dyDescent="0.35">
      <c r="A165" s="228">
        <v>157</v>
      </c>
      <c r="B165" s="1426"/>
      <c r="C165" s="285"/>
      <c r="D165" s="943" t="s">
        <v>921</v>
      </c>
      <c r="E165" s="289"/>
      <c r="F165" s="715"/>
      <c r="G165" s="731"/>
      <c r="H165" s="291"/>
      <c r="I165" s="965"/>
      <c r="J165" s="965"/>
      <c r="K165" s="965">
        <v>356</v>
      </c>
      <c r="L165" s="965">
        <v>193</v>
      </c>
      <c r="M165" s="965">
        <v>162931</v>
      </c>
      <c r="N165" s="965"/>
      <c r="O165" s="965">
        <v>1263</v>
      </c>
      <c r="P165" s="1182">
        <f>SUM(I165:O165)</f>
        <v>164743</v>
      </c>
      <c r="Q165" s="284"/>
    </row>
    <row r="166" spans="1:17" ht="18" customHeight="1" thickBot="1" x14ac:dyDescent="0.4">
      <c r="A166" s="228">
        <v>158</v>
      </c>
      <c r="B166" s="1714"/>
      <c r="C166" s="1715"/>
      <c r="D166" s="1716" t="s">
        <v>972</v>
      </c>
      <c r="E166" s="938"/>
      <c r="F166" s="1191"/>
      <c r="G166" s="936"/>
      <c r="H166" s="683"/>
      <c r="I166" s="1717"/>
      <c r="J166" s="1717"/>
      <c r="K166" s="1717">
        <v>356</v>
      </c>
      <c r="L166" s="1717">
        <v>193</v>
      </c>
      <c r="M166" s="1717">
        <v>162930</v>
      </c>
      <c r="N166" s="1717"/>
      <c r="O166" s="1717">
        <v>1263</v>
      </c>
      <c r="P166" s="1694">
        <f>SUM(J166:O166)</f>
        <v>164742</v>
      </c>
      <c r="Q166" s="220"/>
    </row>
    <row r="167" spans="1:17" ht="27" customHeight="1" x14ac:dyDescent="0.35">
      <c r="A167" s="228">
        <v>159</v>
      </c>
      <c r="B167" s="2001" t="s">
        <v>13</v>
      </c>
      <c r="C167" s="2002"/>
      <c r="D167" s="2002"/>
      <c r="E167" s="2002"/>
      <c r="F167" s="2002"/>
      <c r="G167" s="2003"/>
      <c r="H167" s="262"/>
      <c r="I167" s="1712"/>
      <c r="J167" s="1712"/>
      <c r="K167" s="1712"/>
      <c r="L167" s="676"/>
      <c r="M167" s="1713"/>
      <c r="N167" s="676"/>
      <c r="O167" s="676"/>
      <c r="P167" s="971"/>
      <c r="Q167" s="718"/>
    </row>
    <row r="168" spans="1:17" s="146" customFormat="1" ht="20.100000000000001" customHeight="1" x14ac:dyDescent="0.2">
      <c r="A168" s="228">
        <v>160</v>
      </c>
      <c r="B168" s="925"/>
      <c r="C168" s="926"/>
      <c r="D168" s="939" t="s">
        <v>252</v>
      </c>
      <c r="E168" s="929"/>
      <c r="F168" s="929"/>
      <c r="G168" s="927"/>
      <c r="H168" s="940"/>
      <c r="I168" s="930">
        <f t="shared" ref="I168:O169" si="3">I27+I89+I164+I159+I154+I149+I144+I139+I134+I129+I124+I119+I114+I54+I109+I104+I99+I94+I84+I79+I74+I69+I64+I59+I32+I23</f>
        <v>3135</v>
      </c>
      <c r="J168" s="930">
        <f t="shared" si="3"/>
        <v>2093</v>
      </c>
      <c r="K168" s="930">
        <f t="shared" si="3"/>
        <v>338774</v>
      </c>
      <c r="L168" s="930">
        <f t="shared" si="3"/>
        <v>84840</v>
      </c>
      <c r="M168" s="930">
        <f t="shared" si="3"/>
        <v>3436196</v>
      </c>
      <c r="N168" s="930">
        <f t="shared" si="3"/>
        <v>0</v>
      </c>
      <c r="O168" s="930">
        <f t="shared" si="3"/>
        <v>14</v>
      </c>
      <c r="P168" s="930">
        <f>SUM(I168:O168)</f>
        <v>3865052</v>
      </c>
      <c r="Q168" s="972"/>
    </row>
    <row r="169" spans="1:17" s="146" customFormat="1" ht="20.100000000000001" customHeight="1" x14ac:dyDescent="0.35">
      <c r="A169" s="228">
        <v>161</v>
      </c>
      <c r="B169" s="925"/>
      <c r="C169" s="926"/>
      <c r="D169" s="943" t="s">
        <v>921</v>
      </c>
      <c r="E169" s="929"/>
      <c r="F169" s="929"/>
      <c r="G169" s="927"/>
      <c r="H169" s="1418"/>
      <c r="I169" s="1421">
        <f t="shared" si="3"/>
        <v>917</v>
      </c>
      <c r="J169" s="1421">
        <f t="shared" si="3"/>
        <v>1921</v>
      </c>
      <c r="K169" s="1421">
        <f t="shared" si="3"/>
        <v>351799</v>
      </c>
      <c r="L169" s="1421">
        <f t="shared" si="3"/>
        <v>98269</v>
      </c>
      <c r="M169" s="1421">
        <f t="shared" si="3"/>
        <v>3588725</v>
      </c>
      <c r="N169" s="1421">
        <f t="shared" si="3"/>
        <v>0</v>
      </c>
      <c r="O169" s="1421">
        <f t="shared" si="3"/>
        <v>26089</v>
      </c>
      <c r="P169" s="1428">
        <f>SUM(I169:O169)</f>
        <v>4067720</v>
      </c>
      <c r="Q169" s="1427"/>
    </row>
    <row r="170" spans="1:17" s="146" customFormat="1" ht="20.100000000000001" customHeight="1" thickBot="1" x14ac:dyDescent="0.4">
      <c r="A170" s="228">
        <v>162</v>
      </c>
      <c r="B170" s="722"/>
      <c r="C170" s="723"/>
      <c r="D170" s="1692" t="s">
        <v>973</v>
      </c>
      <c r="E170" s="723"/>
      <c r="F170" s="723"/>
      <c r="G170" s="931"/>
      <c r="H170" s="948"/>
      <c r="I170" s="1754">
        <f>I166+I161+I156+I151+I146+I141+I136+I131+I126+I121+I116+I111+I106+I101+I96+I86+I81+I76+I71+I66+I61+I56+I34+I25+I29+I91</f>
        <v>917</v>
      </c>
      <c r="J170" s="1754">
        <f t="shared" ref="J170:O170" si="4">J166+J161+J156+J151+J146+J141+J136+J131+J126+J121+J116+J111+J106+J101+J96+J86+J81+J76+J71+J66+J61+J56+J34+J25+J29+J91</f>
        <v>1921</v>
      </c>
      <c r="K170" s="1754">
        <f t="shared" si="4"/>
        <v>262613</v>
      </c>
      <c r="L170" s="1754">
        <f t="shared" si="4"/>
        <v>75055</v>
      </c>
      <c r="M170" s="1754">
        <v>3416126</v>
      </c>
      <c r="N170" s="1754">
        <f t="shared" si="4"/>
        <v>0</v>
      </c>
      <c r="O170" s="1754">
        <f t="shared" si="4"/>
        <v>26089</v>
      </c>
      <c r="P170" s="1694">
        <f>SUM(I170:O170)</f>
        <v>3782721</v>
      </c>
      <c r="Q170" s="1579"/>
    </row>
    <row r="171" spans="1:17" ht="17.100000000000001" customHeight="1" x14ac:dyDescent="0.35">
      <c r="B171" s="221" t="s">
        <v>25</v>
      </c>
      <c r="C171" s="222"/>
      <c r="D171" s="221"/>
      <c r="E171" s="153"/>
      <c r="F171" s="154"/>
      <c r="G171" s="153"/>
      <c r="H171" s="210"/>
      <c r="I171" s="153"/>
      <c r="J171" s="153"/>
      <c r="K171" s="153"/>
      <c r="L171" s="153"/>
      <c r="M171" s="153"/>
      <c r="N171" s="153"/>
      <c r="O171" s="153"/>
      <c r="P171" s="230"/>
    </row>
    <row r="172" spans="1:17" ht="17.100000000000001" customHeight="1" x14ac:dyDescent="0.35">
      <c r="B172" s="221" t="s">
        <v>26</v>
      </c>
      <c r="C172" s="222"/>
      <c r="D172" s="221"/>
      <c r="E172" s="200"/>
      <c r="F172" s="154"/>
      <c r="G172" s="153"/>
      <c r="H172" s="210"/>
      <c r="I172" s="153"/>
      <c r="J172" s="153"/>
      <c r="K172" s="153"/>
      <c r="L172" s="153"/>
      <c r="M172" s="153"/>
      <c r="N172" s="153"/>
      <c r="O172" s="153"/>
      <c r="P172" s="230"/>
    </row>
    <row r="173" spans="1:17" ht="17.100000000000001" customHeight="1" x14ac:dyDescent="0.35">
      <c r="B173" s="221" t="s">
        <v>27</v>
      </c>
      <c r="C173" s="222"/>
      <c r="D173" s="221"/>
      <c r="E173" s="200"/>
      <c r="F173" s="154"/>
      <c r="G173" s="153"/>
      <c r="H173" s="210"/>
      <c r="I173" s="153"/>
      <c r="J173" s="153"/>
      <c r="K173" s="153"/>
      <c r="L173" s="153"/>
      <c r="M173" s="153"/>
      <c r="N173" s="153"/>
      <c r="O173" s="153"/>
      <c r="P173" s="230"/>
    </row>
    <row r="174" spans="1:17" ht="17.100000000000001" customHeight="1" x14ac:dyDescent="0.35">
      <c r="B174" s="150" t="s">
        <v>374</v>
      </c>
      <c r="C174" s="150"/>
    </row>
  </sheetData>
  <mergeCells count="17">
    <mergeCell ref="H6:H8"/>
    <mergeCell ref="B167:G167"/>
    <mergeCell ref="I1:Q1"/>
    <mergeCell ref="A2:Q2"/>
    <mergeCell ref="A3:Q3"/>
    <mergeCell ref="B6:B8"/>
    <mergeCell ref="C6:C8"/>
    <mergeCell ref="D6:D8"/>
    <mergeCell ref="E6:E8"/>
    <mergeCell ref="F6:F8"/>
    <mergeCell ref="G6:G8"/>
    <mergeCell ref="R6:S6"/>
    <mergeCell ref="I7:L7"/>
    <mergeCell ref="M7:O7"/>
    <mergeCell ref="P7:P8"/>
    <mergeCell ref="I6:P6"/>
    <mergeCell ref="Q6:Q8"/>
  </mergeCells>
  <printOptions horizontalCentered="1"/>
  <pageMargins left="0.19685039370078741" right="0.19685039370078741" top="0.59055118110236227" bottom="0.59055118110236227" header="0.51181102362204722" footer="0.51181102362204722"/>
  <pageSetup paperSize="9" scale="58" fitToHeight="0" orientation="landscape" r:id="rId1"/>
  <headerFooter>
    <oddFooter>&amp;C- &amp;P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AR38"/>
  <sheetViews>
    <sheetView view="pageBreakPreview" topLeftCell="B1" zoomScale="75" zoomScaleNormal="75" zoomScaleSheetLayoutView="75" workbookViewId="0">
      <selection activeCell="I8" sqref="I8"/>
    </sheetView>
  </sheetViews>
  <sheetFormatPr defaultColWidth="9.28515625" defaultRowHeight="16.5" x14ac:dyDescent="0.3"/>
  <cols>
    <col min="1" max="1" width="4.7109375" style="52" customWidth="1"/>
    <col min="2" max="3" width="5.7109375" style="105" customWidth="1"/>
    <col min="4" max="4" width="55.7109375" style="16" customWidth="1"/>
    <col min="5" max="6" width="15.7109375" style="2" customWidth="1"/>
    <col min="7" max="7" width="15.85546875" style="2" customWidth="1"/>
    <col min="8" max="9" width="17.7109375" style="2" customWidth="1"/>
    <col min="10" max="11" width="5.7109375" style="105" customWidth="1"/>
    <col min="12" max="12" width="60.7109375" style="16" customWidth="1"/>
    <col min="13" max="14" width="15.7109375" style="2" customWidth="1"/>
    <col min="15" max="15" width="17.7109375" style="2" customWidth="1"/>
    <col min="16" max="17" width="17.7109375" style="16" customWidth="1"/>
    <col min="18" max="16384" width="9.28515625" style="16"/>
  </cols>
  <sheetData>
    <row r="1" spans="1:17" s="1" customFormat="1" ht="18" customHeight="1" x14ac:dyDescent="0.2">
      <c r="A1" s="13"/>
      <c r="B1" s="2004" t="s">
        <v>1024</v>
      </c>
      <c r="C1" s="2004"/>
      <c r="D1" s="2004"/>
      <c r="E1" s="160"/>
      <c r="F1" s="160"/>
      <c r="G1" s="160"/>
      <c r="H1" s="160"/>
      <c r="I1" s="160"/>
      <c r="J1" s="161"/>
      <c r="K1" s="161"/>
      <c r="M1" s="160"/>
      <c r="N1" s="160"/>
      <c r="O1" s="160"/>
    </row>
    <row r="2" spans="1:17" s="1" customFormat="1" ht="24.75" customHeight="1" x14ac:dyDescent="0.2">
      <c r="A2" s="13"/>
      <c r="B2" s="1796" t="s">
        <v>181</v>
      </c>
      <c r="C2" s="1796"/>
      <c r="D2" s="1796"/>
      <c r="E2" s="1796"/>
      <c r="F2" s="1796"/>
      <c r="G2" s="1796"/>
      <c r="H2" s="1796"/>
      <c r="I2" s="1796"/>
      <c r="J2" s="1796"/>
      <c r="K2" s="1796"/>
      <c r="L2" s="1796"/>
      <c r="M2" s="1796"/>
      <c r="N2" s="1796"/>
      <c r="O2" s="1796"/>
      <c r="P2" s="1796"/>
      <c r="Q2" s="1796"/>
    </row>
    <row r="3" spans="1:17" s="1" customFormat="1" ht="24.75" customHeight="1" x14ac:dyDescent="0.2">
      <c r="A3" s="13"/>
      <c r="B3" s="1796" t="s">
        <v>543</v>
      </c>
      <c r="C3" s="1796"/>
      <c r="D3" s="1796"/>
      <c r="E3" s="1796"/>
      <c r="F3" s="1796"/>
      <c r="G3" s="1796"/>
      <c r="H3" s="1796"/>
      <c r="I3" s="1796"/>
      <c r="J3" s="1796"/>
      <c r="K3" s="1796"/>
      <c r="L3" s="1796"/>
      <c r="M3" s="1796"/>
      <c r="N3" s="1796"/>
      <c r="O3" s="1796"/>
      <c r="P3" s="1796"/>
      <c r="Q3" s="1796"/>
    </row>
    <row r="4" spans="1:17" s="266" customFormat="1" ht="13.15" customHeight="1" x14ac:dyDescent="0.2">
      <c r="A4" s="264"/>
      <c r="B4" s="265"/>
      <c r="C4" s="265"/>
      <c r="D4" s="265"/>
      <c r="E4" s="265"/>
      <c r="F4" s="265"/>
      <c r="G4" s="265"/>
      <c r="H4" s="265"/>
      <c r="I4" s="265"/>
      <c r="J4" s="265"/>
      <c r="K4" s="265"/>
      <c r="L4" s="265"/>
      <c r="M4" s="54"/>
      <c r="N4" s="54"/>
      <c r="O4" s="54"/>
      <c r="P4" s="54"/>
      <c r="Q4" s="54" t="s">
        <v>0</v>
      </c>
    </row>
    <row r="5" spans="1:17" s="49" customFormat="1" ht="18" customHeight="1" thickBot="1" x14ac:dyDescent="0.35">
      <c r="B5" s="50" t="s">
        <v>1</v>
      </c>
      <c r="C5" s="50" t="s">
        <v>3</v>
      </c>
      <c r="D5" s="50" t="s">
        <v>2</v>
      </c>
      <c r="E5" s="50" t="s">
        <v>4</v>
      </c>
      <c r="F5" s="50" t="s">
        <v>5</v>
      </c>
      <c r="G5" s="50" t="s">
        <v>15</v>
      </c>
      <c r="H5" s="50" t="s">
        <v>16</v>
      </c>
      <c r="I5" s="50" t="s">
        <v>17</v>
      </c>
      <c r="J5" s="50" t="s">
        <v>32</v>
      </c>
      <c r="K5" s="50" t="s">
        <v>28</v>
      </c>
      <c r="L5" s="17" t="s">
        <v>23</v>
      </c>
      <c r="M5" s="17" t="s">
        <v>33</v>
      </c>
      <c r="N5" s="17" t="s">
        <v>34</v>
      </c>
      <c r="O5" s="17" t="s">
        <v>126</v>
      </c>
      <c r="P5" s="49" t="s">
        <v>127</v>
      </c>
      <c r="Q5" s="49" t="s">
        <v>128</v>
      </c>
    </row>
    <row r="6" spans="1:17" ht="66" x14ac:dyDescent="0.3">
      <c r="A6" s="52">
        <v>1</v>
      </c>
      <c r="B6" s="637" t="s">
        <v>339</v>
      </c>
      <c r="C6" s="638" t="s">
        <v>340</v>
      </c>
      <c r="D6" s="653" t="s">
        <v>452</v>
      </c>
      <c r="E6" s="867" t="s">
        <v>523</v>
      </c>
      <c r="F6" s="1200" t="s">
        <v>897</v>
      </c>
      <c r="G6" s="867" t="s">
        <v>801</v>
      </c>
      <c r="H6" s="867" t="s">
        <v>920</v>
      </c>
      <c r="I6" s="1721" t="s">
        <v>971</v>
      </c>
      <c r="J6" s="638" t="s">
        <v>339</v>
      </c>
      <c r="K6" s="638" t="s">
        <v>340</v>
      </c>
      <c r="L6" s="653" t="s">
        <v>452</v>
      </c>
      <c r="M6" s="867" t="s">
        <v>523</v>
      </c>
      <c r="N6" s="1200" t="s">
        <v>897</v>
      </c>
      <c r="O6" s="867" t="s">
        <v>802</v>
      </c>
      <c r="P6" s="1730" t="s">
        <v>920</v>
      </c>
      <c r="Q6" s="1735" t="s">
        <v>971</v>
      </c>
    </row>
    <row r="7" spans="1:17" ht="24.75" customHeight="1" x14ac:dyDescent="0.35">
      <c r="A7" s="52">
        <v>2</v>
      </c>
      <c r="B7" s="46">
        <v>1</v>
      </c>
      <c r="C7" s="52"/>
      <c r="D7" s="71" t="s">
        <v>182</v>
      </c>
      <c r="E7" s="174"/>
      <c r="F7" s="174"/>
      <c r="G7" s="174"/>
      <c r="H7" s="174"/>
      <c r="I7" s="1157"/>
      <c r="J7" s="52">
        <v>1</v>
      </c>
      <c r="K7" s="52"/>
      <c r="L7" s="71" t="s">
        <v>183</v>
      </c>
      <c r="M7" s="868"/>
      <c r="N7" s="869"/>
      <c r="O7" s="868"/>
      <c r="P7" s="1731"/>
      <c r="Q7" s="1171"/>
    </row>
    <row r="8" spans="1:17" ht="15" customHeight="1" x14ac:dyDescent="0.3">
      <c r="A8" s="52">
        <v>3</v>
      </c>
      <c r="B8" s="46"/>
      <c r="C8" s="52">
        <v>1</v>
      </c>
      <c r="D8" s="16" t="s">
        <v>184</v>
      </c>
      <c r="E8" s="162">
        <v>6989779</v>
      </c>
      <c r="F8" s="162">
        <v>8286893</v>
      </c>
      <c r="G8" s="162">
        <f>'1.Onbe'!J8+'1.Onbe'!J20</f>
        <v>8440358</v>
      </c>
      <c r="H8" s="162">
        <f>'1.Onbe'!K8+'1.Onbe'!K20</f>
        <v>8695085</v>
      </c>
      <c r="I8" s="1158">
        <f>'1.Onbe'!L8+'1.Onbe'!L20</f>
        <v>5125362</v>
      </c>
      <c r="J8" s="52"/>
      <c r="K8" s="52">
        <v>1</v>
      </c>
      <c r="L8" s="16" t="s">
        <v>36</v>
      </c>
      <c r="M8" s="165">
        <v>6443145</v>
      </c>
      <c r="N8" s="870">
        <v>6738882</v>
      </c>
      <c r="O8" s="165">
        <f>'4.Inki'!K228+'6.Önk.műk.'!J829+'9.Projekt'!I75+'11.EKF'!I168</f>
        <v>7695400</v>
      </c>
      <c r="P8" s="165">
        <f>'4.Inki'!K229+'6.Önk.műk.'!J830+'9.Projekt'!I76+'10.MVP és hazai'!I35+'11.EKF'!I169</f>
        <v>8422176</v>
      </c>
      <c r="Q8" s="1170">
        <f>'4.Inki'!K230+'6.Önk.műk.'!J831+'9.Projekt'!I77+'10.MVP és hazai'!I36+'11.EKF'!I170</f>
        <v>3636897</v>
      </c>
    </row>
    <row r="9" spans="1:17" ht="16.5" customHeight="1" x14ac:dyDescent="0.3">
      <c r="A9" s="52">
        <v>4</v>
      </c>
      <c r="B9" s="46"/>
      <c r="C9" s="52">
        <v>2</v>
      </c>
      <c r="D9" s="16" t="s">
        <v>144</v>
      </c>
      <c r="E9" s="162">
        <v>10042100</v>
      </c>
      <c r="F9" s="162">
        <v>15107943</v>
      </c>
      <c r="G9" s="162">
        <f>'1.Onbe'!J21</f>
        <v>13625150</v>
      </c>
      <c r="H9" s="162">
        <f>'1.Onbe'!K21</f>
        <v>13629500</v>
      </c>
      <c r="I9" s="1158">
        <f>'1.Onbe'!L21</f>
        <v>7150769</v>
      </c>
      <c r="J9" s="52"/>
      <c r="K9" s="52">
        <v>2</v>
      </c>
      <c r="L9" s="16" t="s">
        <v>185</v>
      </c>
      <c r="M9" s="165">
        <v>957005</v>
      </c>
      <c r="N9" s="870">
        <v>977106</v>
      </c>
      <c r="O9" s="165">
        <f>'4.Inki'!L228+'6.Önk.műk.'!K829+'9.Projekt'!J75+'11.EKF'!J168</f>
        <v>1147909</v>
      </c>
      <c r="P9" s="165">
        <f>'4.Inki'!L229+'6.Önk.műk.'!K830+'9.Projekt'!J76+'10.MVP és hazai'!J35+'11.EKF'!J169</f>
        <v>1257445</v>
      </c>
      <c r="Q9" s="1170">
        <f>'4.Inki'!L230+'6.Önk.műk.'!K831+'9.Projekt'!J77+'10.MVP és hazai'!J36+'11.EKF'!J170</f>
        <v>531115</v>
      </c>
    </row>
    <row r="10" spans="1:17" x14ac:dyDescent="0.3">
      <c r="A10" s="52">
        <v>5</v>
      </c>
      <c r="B10" s="46"/>
      <c r="C10" s="52">
        <v>3</v>
      </c>
      <c r="D10" s="1722" t="s">
        <v>112</v>
      </c>
      <c r="E10" s="162">
        <v>5101299</v>
      </c>
      <c r="F10" s="162">
        <v>8978299</v>
      </c>
      <c r="G10" s="162">
        <f>'1.Onbe'!J33+'1.Onbe'!J38</f>
        <v>4590770</v>
      </c>
      <c r="H10" s="162">
        <f>'1.Onbe'!K33+'1.Onbe'!K38</f>
        <v>3458084</v>
      </c>
      <c r="I10" s="1158">
        <f>'1.Onbe'!L33+'1.Onbe'!L38</f>
        <v>1967766</v>
      </c>
      <c r="J10" s="52"/>
      <c r="K10" s="52">
        <v>3</v>
      </c>
      <c r="L10" s="16" t="s">
        <v>38</v>
      </c>
      <c r="M10" s="165">
        <v>9348866</v>
      </c>
      <c r="N10" s="870">
        <v>8854467</v>
      </c>
      <c r="O10" s="165">
        <f>'4.Inki'!M228+'6.Önk.műk.'!L829+'7.Beruh.'!I457+'8.Felúj.'!I216+'9.Projekt'!K75+'11.EKF'!K168+103489</f>
        <v>9216212</v>
      </c>
      <c r="P10" s="162">
        <f>'4.Inki'!M229+'6.Önk.műk.'!L830+'7.Beruh.'!I458+'8.Felúj.'!I217+'9.Projekt'!K76+'10.MVP és hazai'!K35+'11.EKF'!K169</f>
        <v>11396435</v>
      </c>
      <c r="Q10" s="1170">
        <f>'6.Önk.műk.'!L831+'4.Inki'!M230+'7.Beruh.'!I459+'8.Felúj.'!I218+'9.Projekt'!K77+'10.MVP és hazai'!K36+'11.EKF'!K170</f>
        <v>4126398</v>
      </c>
    </row>
    <row r="11" spans="1:17" x14ac:dyDescent="0.3">
      <c r="A11" s="52">
        <v>6</v>
      </c>
      <c r="B11" s="46"/>
      <c r="C11" s="52">
        <v>4</v>
      </c>
      <c r="D11" s="16" t="s">
        <v>149</v>
      </c>
      <c r="E11" s="162">
        <v>506232</v>
      </c>
      <c r="F11" s="162">
        <v>1339641</v>
      </c>
      <c r="G11" s="162">
        <f>'1.Onbe'!J39+'1.Onbe'!J42</f>
        <v>170538</v>
      </c>
      <c r="H11" s="162">
        <f>'1.Onbe'!K39+'1.Onbe'!K42</f>
        <v>242017</v>
      </c>
      <c r="I11" s="1158">
        <f>'1.Onbe'!L39+'1.Onbe'!L42</f>
        <v>236189</v>
      </c>
      <c r="J11" s="52"/>
      <c r="K11" s="52">
        <v>4</v>
      </c>
      <c r="L11" s="16" t="s">
        <v>186</v>
      </c>
      <c r="M11" s="165">
        <v>37995</v>
      </c>
      <c r="N11" s="870">
        <v>14059</v>
      </c>
      <c r="O11" s="165">
        <f>'4.Inki'!N228+'6.Önk.műk.'!M829</f>
        <v>56795</v>
      </c>
      <c r="P11" s="162">
        <f>'6.Önk.műk.'!M830</f>
        <v>61126</v>
      </c>
      <c r="Q11" s="1170">
        <f>'6.Önk.műk.'!M831</f>
        <v>9438</v>
      </c>
    </row>
    <row r="12" spans="1:17" x14ac:dyDescent="0.3">
      <c r="A12" s="52">
        <v>7</v>
      </c>
      <c r="B12" s="46"/>
      <c r="C12" s="52"/>
      <c r="D12" s="1722"/>
      <c r="E12" s="162"/>
      <c r="F12" s="162"/>
      <c r="G12" s="162"/>
      <c r="H12" s="162"/>
      <c r="I12" s="1158"/>
      <c r="J12" s="52"/>
      <c r="K12" s="52">
        <v>5</v>
      </c>
      <c r="L12" s="48" t="s">
        <v>187</v>
      </c>
      <c r="M12" s="165">
        <v>7005039</v>
      </c>
      <c r="N12" s="870">
        <v>8747969</v>
      </c>
      <c r="O12" s="165">
        <f>'4.Inki'!O228+'6.Önk.műk.'!N829+'9.Projekt'!L75+'11.EKF'!L168</f>
        <v>9224909</v>
      </c>
      <c r="P12" s="162">
        <f>'4.Inki'!O229+'6.Önk.műk.'!N830+'9.Projekt'!L76+'10.MVP és hazai'!L35+'11.EKF'!L169</f>
        <v>10251185</v>
      </c>
      <c r="Q12" s="1170">
        <f>'4.Inki'!O230+'6.Önk.műk.'!N831+'9.Projekt'!L77+'10.MVP és hazai'!L36+'11.EKF'!L170</f>
        <v>5150191</v>
      </c>
    </row>
    <row r="13" spans="1:17" x14ac:dyDescent="0.3">
      <c r="A13" s="52">
        <v>8</v>
      </c>
      <c r="B13" s="46"/>
      <c r="C13" s="52"/>
      <c r="D13" s="1722"/>
      <c r="E13" s="162"/>
      <c r="F13" s="162"/>
      <c r="G13" s="162"/>
      <c r="H13" s="162"/>
      <c r="I13" s="1158"/>
      <c r="J13" s="52"/>
      <c r="K13" s="52">
        <v>6</v>
      </c>
      <c r="L13" s="48" t="s">
        <v>321</v>
      </c>
      <c r="M13" s="165">
        <v>653367</v>
      </c>
      <c r="N13" s="870"/>
      <c r="O13" s="165">
        <f>'2.Onki'!J16+'2.Onki'!J30</f>
        <v>1021488</v>
      </c>
      <c r="P13" s="165">
        <f>'2.Onki'!K16+'2.Onki'!K30</f>
        <v>906535</v>
      </c>
      <c r="Q13" s="1723">
        <f>'2.Onki'!L16+'2.Onki'!L30</f>
        <v>0</v>
      </c>
    </row>
    <row r="14" spans="1:17" s="1" customFormat="1" ht="25.15" customHeight="1" x14ac:dyDescent="0.3">
      <c r="A14" s="52">
        <v>9</v>
      </c>
      <c r="B14" s="639"/>
      <c r="C14" s="640"/>
      <c r="D14" s="163" t="s">
        <v>188</v>
      </c>
      <c r="E14" s="164">
        <f>SUM(E8:E13)</f>
        <v>22639410</v>
      </c>
      <c r="F14" s="164">
        <f>SUM(F8:F13)</f>
        <v>33712776</v>
      </c>
      <c r="G14" s="164">
        <f>SUM(G8:G13)</f>
        <v>26826816</v>
      </c>
      <c r="H14" s="164">
        <f>SUM(H8:H13)</f>
        <v>26024686</v>
      </c>
      <c r="I14" s="1159">
        <f>SUM(I8:I13)</f>
        <v>14480086</v>
      </c>
      <c r="J14" s="650"/>
      <c r="K14" s="650"/>
      <c r="L14" s="163" t="s">
        <v>189</v>
      </c>
      <c r="M14" s="871">
        <f>SUM(M8:M13)</f>
        <v>24445417</v>
      </c>
      <c r="N14" s="872">
        <f>SUM(N8:N13)</f>
        <v>25332483</v>
      </c>
      <c r="O14" s="871">
        <f>SUM(O8:O13)</f>
        <v>28362713</v>
      </c>
      <c r="P14" s="871">
        <f>SUM(P8:P13)</f>
        <v>32294902</v>
      </c>
      <c r="Q14" s="1239">
        <f>SUM(Q8:Q13)</f>
        <v>13454039</v>
      </c>
    </row>
    <row r="15" spans="1:17" ht="24.75" customHeight="1" x14ac:dyDescent="0.35">
      <c r="A15" s="52">
        <v>10</v>
      </c>
      <c r="B15" s="46">
        <v>2</v>
      </c>
      <c r="C15" s="52"/>
      <c r="D15" s="71" t="s">
        <v>190</v>
      </c>
      <c r="E15" s="174"/>
      <c r="F15" s="174"/>
      <c r="G15" s="174"/>
      <c r="H15" s="174"/>
      <c r="I15" s="1157"/>
      <c r="J15" s="52">
        <v>2</v>
      </c>
      <c r="K15" s="52"/>
      <c r="L15" s="71" t="s">
        <v>191</v>
      </c>
      <c r="M15" s="868"/>
      <c r="N15" s="873"/>
      <c r="O15" s="868"/>
      <c r="P15" s="1732"/>
      <c r="Q15" s="1168"/>
    </row>
    <row r="16" spans="1:17" x14ac:dyDescent="0.3">
      <c r="A16" s="52">
        <v>11</v>
      </c>
      <c r="B16" s="46"/>
      <c r="C16" s="52">
        <v>5</v>
      </c>
      <c r="D16" s="1238" t="s">
        <v>192</v>
      </c>
      <c r="E16" s="165">
        <v>1315951</v>
      </c>
      <c r="F16" s="165">
        <v>2758980</v>
      </c>
      <c r="G16" s="165">
        <f>'1.Onbe'!J44+'1.Onbe'!J47</f>
        <v>2594724</v>
      </c>
      <c r="H16" s="165">
        <f>'1.Onbe'!K44+'1.Onbe'!K47</f>
        <v>2594724</v>
      </c>
      <c r="I16" s="1160">
        <f>'1.Onbe'!L44+'1.Onbe'!L47</f>
        <v>2594724</v>
      </c>
      <c r="J16" s="1724"/>
      <c r="K16" s="1724">
        <v>7</v>
      </c>
      <c r="L16" s="1238" t="s">
        <v>193</v>
      </c>
      <c r="M16" s="165">
        <v>24204926</v>
      </c>
      <c r="N16" s="870">
        <v>23912437</v>
      </c>
      <c r="O16" s="165">
        <f>'2.Onki'!J10+'2.Onki'!J32</f>
        <v>11430415</v>
      </c>
      <c r="P16" s="165">
        <f>'2.Onki'!K10+'2.Onki'!K32</f>
        <v>12055643</v>
      </c>
      <c r="Q16" s="1723">
        <f>'2.Onki'!L10+'2.Onki'!L32</f>
        <v>4029213</v>
      </c>
    </row>
    <row r="17" spans="1:44" x14ac:dyDescent="0.3">
      <c r="A17" s="52">
        <v>12</v>
      </c>
      <c r="B17" s="46"/>
      <c r="C17" s="52">
        <v>6</v>
      </c>
      <c r="D17" s="1238" t="s">
        <v>155</v>
      </c>
      <c r="E17" s="165">
        <v>750000</v>
      </c>
      <c r="F17" s="165">
        <v>579959</v>
      </c>
      <c r="G17" s="165">
        <f>'1.Onbe'!J48+'1.Onbe'!J50</f>
        <v>388700</v>
      </c>
      <c r="H17" s="165">
        <f>'1.Onbe'!K48+'1.Onbe'!K50</f>
        <v>396690</v>
      </c>
      <c r="I17" s="1160">
        <f>'1.Onbe'!L48+'1.Onbe'!L50</f>
        <v>25910</v>
      </c>
      <c r="J17" s="1724"/>
      <c r="K17" s="1724">
        <v>8</v>
      </c>
      <c r="L17" s="1238" t="s">
        <v>130</v>
      </c>
      <c r="M17" s="165">
        <v>403061</v>
      </c>
      <c r="N17" s="870">
        <v>2531872</v>
      </c>
      <c r="O17" s="165">
        <f>'2.Onki'!J33</f>
        <v>1837575</v>
      </c>
      <c r="P17" s="165">
        <f>'2.Onki'!K33+'2.Onki'!K11</f>
        <v>579001</v>
      </c>
      <c r="Q17" s="1723">
        <f>'2.Onki'!L33+'2.Onki'!L11</f>
        <v>394344</v>
      </c>
    </row>
    <row r="18" spans="1:44" x14ac:dyDescent="0.3">
      <c r="A18" s="52">
        <v>13</v>
      </c>
      <c r="B18" s="46"/>
      <c r="C18" s="52">
        <v>7</v>
      </c>
      <c r="D18" s="16" t="s">
        <v>158</v>
      </c>
      <c r="E18" s="165">
        <v>4245961</v>
      </c>
      <c r="F18" s="165">
        <v>8447965</v>
      </c>
      <c r="G18" s="165">
        <f>'1.Onbe'!J51+'1.Onbe'!J52</f>
        <v>1048134</v>
      </c>
      <c r="H18" s="165">
        <f>'1.Onbe'!K51+'1.Onbe'!K52</f>
        <v>1193834</v>
      </c>
      <c r="I18" s="1160">
        <f>'1.Onbe'!L51+'1.Onbe'!L52+'1.Onbe'!L53</f>
        <v>1148656</v>
      </c>
      <c r="J18" s="1724"/>
      <c r="K18" s="1724">
        <v>9</v>
      </c>
      <c r="L18" s="1238" t="s">
        <v>194</v>
      </c>
      <c r="M18" s="165">
        <v>103204</v>
      </c>
      <c r="N18" s="870">
        <v>277356</v>
      </c>
      <c r="O18" s="165">
        <f>'2.Onki'!J34</f>
        <v>884831</v>
      </c>
      <c r="P18" s="165">
        <f>'2.Onki'!K34</f>
        <v>1422545</v>
      </c>
      <c r="Q18" s="1723">
        <f>'2.Onki'!L34</f>
        <v>178493</v>
      </c>
    </row>
    <row r="19" spans="1:44" x14ac:dyDescent="0.3">
      <c r="A19" s="52">
        <v>14</v>
      </c>
      <c r="B19" s="46"/>
      <c r="C19" s="52"/>
      <c r="E19" s="165"/>
      <c r="F19" s="165"/>
      <c r="G19" s="165"/>
      <c r="H19" s="165"/>
      <c r="I19" s="1160"/>
      <c r="J19" s="1724"/>
      <c r="K19" s="1724">
        <v>10</v>
      </c>
      <c r="L19" s="1238" t="s">
        <v>322</v>
      </c>
      <c r="M19" s="165">
        <v>12996</v>
      </c>
      <c r="N19" s="870"/>
      <c r="O19" s="165">
        <f>'2.Onki'!J25</f>
        <v>574500</v>
      </c>
      <c r="P19" s="165">
        <f>'2.Onki'!K25</f>
        <v>6000</v>
      </c>
      <c r="Q19" s="1723">
        <f>'2.Onki'!L25</f>
        <v>0</v>
      </c>
    </row>
    <row r="20" spans="1:44" s="1" customFormat="1" ht="25.15" customHeight="1" thickBot="1" x14ac:dyDescent="0.35">
      <c r="A20" s="52">
        <v>15</v>
      </c>
      <c r="B20" s="641"/>
      <c r="C20" s="642"/>
      <c r="D20" s="166" t="s">
        <v>195</v>
      </c>
      <c r="E20" s="175">
        <f>SUM(E16:E19)</f>
        <v>6311912</v>
      </c>
      <c r="F20" s="175">
        <f>SUM(F16:F19)</f>
        <v>11786904</v>
      </c>
      <c r="G20" s="175">
        <f>SUM(G16:G19)</f>
        <v>4031558</v>
      </c>
      <c r="H20" s="175">
        <f>SUM(H16:H19)</f>
        <v>4185248</v>
      </c>
      <c r="I20" s="1161">
        <f>SUM(I16:I19)</f>
        <v>3769290</v>
      </c>
      <c r="J20" s="651"/>
      <c r="K20" s="651"/>
      <c r="L20" s="166" t="s">
        <v>196</v>
      </c>
      <c r="M20" s="175">
        <f>SUM(M16:M19)</f>
        <v>24724187</v>
      </c>
      <c r="N20" s="874">
        <f>SUM(N16:N19)</f>
        <v>26721665</v>
      </c>
      <c r="O20" s="175">
        <f>SUM(O16:O19)</f>
        <v>14727321</v>
      </c>
      <c r="P20" s="175">
        <f>SUM(P16:P19)</f>
        <v>14063189</v>
      </c>
      <c r="Q20" s="1240">
        <f>SUM(Q16:Q19)</f>
        <v>4602050</v>
      </c>
    </row>
    <row r="21" spans="1:44" s="1" customFormat="1" ht="24.75" customHeight="1" thickTop="1" thickBot="1" x14ac:dyDescent="0.35">
      <c r="A21" s="52">
        <v>16</v>
      </c>
      <c r="B21" s="643"/>
      <c r="C21" s="644"/>
      <c r="D21" s="167" t="s">
        <v>161</v>
      </c>
      <c r="E21" s="176">
        <f>SUM(E14,E20)</f>
        <v>28951322</v>
      </c>
      <c r="F21" s="176">
        <f>SUM(F14,F20)</f>
        <v>45499680</v>
      </c>
      <c r="G21" s="1156">
        <f>SUM(G14,G20)</f>
        <v>30858374</v>
      </c>
      <c r="H21" s="1156">
        <f>SUM(H14,H20)</f>
        <v>30209934</v>
      </c>
      <c r="I21" s="176">
        <f>SUM(I14,I20)</f>
        <v>18249376</v>
      </c>
      <c r="J21" s="644"/>
      <c r="K21" s="644"/>
      <c r="L21" s="167" t="s">
        <v>174</v>
      </c>
      <c r="M21" s="875">
        <f>SUM(M14,M20)</f>
        <v>49169604</v>
      </c>
      <c r="N21" s="876">
        <f>SUM(N14,N20)</f>
        <v>52054148</v>
      </c>
      <c r="O21" s="875">
        <f>SUM(O14,O20)</f>
        <v>43090034</v>
      </c>
      <c r="P21" s="875">
        <f>SUM(P14,P20)</f>
        <v>46358091</v>
      </c>
      <c r="Q21" s="1241">
        <f>SUM(Q14,Q20)</f>
        <v>18056089</v>
      </c>
    </row>
    <row r="22" spans="1:44" s="1" customFormat="1" ht="25.15" customHeight="1" thickTop="1" x14ac:dyDescent="0.35">
      <c r="A22" s="52">
        <v>17</v>
      </c>
      <c r="B22" s="46">
        <v>1</v>
      </c>
      <c r="C22" s="52"/>
      <c r="D22" s="71" t="s">
        <v>197</v>
      </c>
      <c r="E22" s="177"/>
      <c r="F22" s="177"/>
      <c r="G22" s="177"/>
      <c r="H22" s="177"/>
      <c r="I22" s="1162"/>
      <c r="J22" s="52">
        <v>1</v>
      </c>
      <c r="K22" s="52"/>
      <c r="L22" s="71" t="s">
        <v>198</v>
      </c>
      <c r="M22" s="177"/>
      <c r="N22" s="877"/>
      <c r="O22" s="177"/>
      <c r="P22" s="1733"/>
      <c r="Q22" s="1169"/>
    </row>
    <row r="23" spans="1:44" s="1" customFormat="1" x14ac:dyDescent="0.3">
      <c r="A23" s="52">
        <v>18</v>
      </c>
      <c r="B23" s="46"/>
      <c r="C23" s="52">
        <v>8</v>
      </c>
      <c r="D23" s="1" t="s">
        <v>251</v>
      </c>
      <c r="E23" s="177">
        <v>5112488</v>
      </c>
      <c r="F23" s="177">
        <v>7764718</v>
      </c>
      <c r="G23" s="177">
        <f>'1.Onbe'!J60</f>
        <v>6572145</v>
      </c>
      <c r="H23" s="177">
        <f>'1.Onbe'!K60</f>
        <v>10243449</v>
      </c>
      <c r="I23" s="1162">
        <f>'1.Onbe'!L60</f>
        <v>10243449</v>
      </c>
      <c r="J23" s="52"/>
      <c r="K23" s="52">
        <v>11</v>
      </c>
      <c r="L23" s="1" t="s">
        <v>222</v>
      </c>
      <c r="M23" s="177">
        <v>196121</v>
      </c>
      <c r="N23" s="877">
        <v>354955</v>
      </c>
      <c r="O23" s="177">
        <f>'2.Onki'!J41</f>
        <v>219898</v>
      </c>
      <c r="P23" s="177">
        <f>'2.Onki'!K41</f>
        <v>323417</v>
      </c>
      <c r="Q23" s="1725">
        <f>'2.Onki'!L41</f>
        <v>327111</v>
      </c>
    </row>
    <row r="24" spans="1:44" s="1" customFormat="1" x14ac:dyDescent="0.3">
      <c r="A24" s="52">
        <v>19</v>
      </c>
      <c r="B24" s="46"/>
      <c r="C24" s="52">
        <v>9</v>
      </c>
      <c r="D24" s="1" t="s">
        <v>221</v>
      </c>
      <c r="E24" s="177"/>
      <c r="F24" s="177">
        <v>378732</v>
      </c>
      <c r="G24" s="177">
        <f>'1.Onbe'!J58</f>
        <v>0</v>
      </c>
      <c r="H24" s="177">
        <f>'1.Onbe'!K58</f>
        <v>103519</v>
      </c>
      <c r="I24" s="1162">
        <f>'1.Onbe'!L58</f>
        <v>107214</v>
      </c>
      <c r="J24" s="52"/>
      <c r="K24" s="52"/>
      <c r="M24" s="177"/>
      <c r="N24" s="877"/>
      <c r="O24" s="177"/>
      <c r="P24" s="1733"/>
      <c r="Q24" s="1169"/>
    </row>
    <row r="25" spans="1:44" s="1" customFormat="1" ht="24" customHeight="1" x14ac:dyDescent="0.35">
      <c r="A25" s="52">
        <v>20</v>
      </c>
      <c r="B25" s="46">
        <v>2</v>
      </c>
      <c r="C25" s="52"/>
      <c r="D25" s="71" t="s">
        <v>199</v>
      </c>
      <c r="E25" s="177"/>
      <c r="F25" s="177"/>
      <c r="G25" s="177"/>
      <c r="H25" s="177"/>
      <c r="I25" s="1162"/>
      <c r="J25" s="52">
        <v>2</v>
      </c>
      <c r="K25" s="52"/>
      <c r="L25" s="71" t="s">
        <v>200</v>
      </c>
      <c r="M25" s="177"/>
      <c r="N25" s="877"/>
      <c r="O25" s="177"/>
      <c r="P25" s="1733"/>
      <c r="Q25" s="1169"/>
    </row>
    <row r="26" spans="1:44" s="1" customFormat="1" x14ac:dyDescent="0.3">
      <c r="A26" s="52">
        <v>21</v>
      </c>
      <c r="B26" s="46"/>
      <c r="C26" s="52">
        <v>10</v>
      </c>
      <c r="D26" s="1" t="s">
        <v>201</v>
      </c>
      <c r="E26" s="177">
        <v>525022</v>
      </c>
      <c r="F26" s="177">
        <v>519707</v>
      </c>
      <c r="G26" s="177">
        <f>'1.Onbe'!J71+'1.Onbe'!J70</f>
        <v>0</v>
      </c>
      <c r="H26" s="177">
        <f>'1.Onbe'!K71+'1.Onbe'!K70</f>
        <v>0</v>
      </c>
      <c r="I26" s="1162">
        <f>'1.Onbe'!L71+'1.Onbe'!L70</f>
        <v>0</v>
      </c>
      <c r="J26" s="52"/>
      <c r="K26" s="52">
        <v>12</v>
      </c>
      <c r="L26" s="1" t="s">
        <v>202</v>
      </c>
      <c r="M26" s="177">
        <v>236874</v>
      </c>
      <c r="N26" s="877">
        <v>281874</v>
      </c>
      <c r="O26" s="177">
        <f>'2.Onki'!J43</f>
        <v>237839</v>
      </c>
      <c r="P26" s="177">
        <f>'2.Onki'!K43</f>
        <v>237839</v>
      </c>
      <c r="Q26" s="1725">
        <f>'2.Onki'!L43</f>
        <v>118919</v>
      </c>
    </row>
    <row r="27" spans="1:44" s="1" customFormat="1" x14ac:dyDescent="0.3">
      <c r="A27" s="52">
        <v>22</v>
      </c>
      <c r="B27" s="46"/>
      <c r="C27" s="52">
        <v>11</v>
      </c>
      <c r="D27" s="1" t="s">
        <v>251</v>
      </c>
      <c r="E27" s="177">
        <v>15013767</v>
      </c>
      <c r="F27" s="177">
        <v>15134034</v>
      </c>
      <c r="G27" s="177">
        <f>'1.Onbe'!J64</f>
        <v>6117252</v>
      </c>
      <c r="H27" s="177">
        <f>'1.Onbe'!K64</f>
        <v>6362445</v>
      </c>
      <c r="I27" s="1162">
        <f>'1.Onbe'!L64</f>
        <v>6362445</v>
      </c>
      <c r="J27" s="52"/>
      <c r="K27" s="52"/>
      <c r="M27" s="177"/>
      <c r="N27" s="877"/>
      <c r="O27" s="177"/>
      <c r="P27" s="1733"/>
      <c r="Q27" s="1169"/>
    </row>
    <row r="28" spans="1:44" s="168" customFormat="1" ht="24.75" customHeight="1" thickBot="1" x14ac:dyDescent="0.35">
      <c r="A28" s="52">
        <v>23</v>
      </c>
      <c r="B28" s="641"/>
      <c r="C28" s="642"/>
      <c r="D28" s="86" t="s">
        <v>203</v>
      </c>
      <c r="E28" s="178">
        <f>SUM(E22:E27)</f>
        <v>20651277</v>
      </c>
      <c r="F28" s="178">
        <f>SUM(F22:F27)</f>
        <v>23797191</v>
      </c>
      <c r="G28" s="178">
        <f>SUM(G22:G27)</f>
        <v>12689397</v>
      </c>
      <c r="H28" s="178">
        <f>SUM(H22:H27)</f>
        <v>16709413</v>
      </c>
      <c r="I28" s="1163">
        <f>SUM(I22:I27)</f>
        <v>16713108</v>
      </c>
      <c r="J28" s="642"/>
      <c r="K28" s="642"/>
      <c r="L28" s="86" t="s">
        <v>204</v>
      </c>
      <c r="M28" s="178">
        <f>SUM(M22:M27)</f>
        <v>432995</v>
      </c>
      <c r="N28" s="878">
        <f>SUM(N22:N27)</f>
        <v>636829</v>
      </c>
      <c r="O28" s="178">
        <f>SUM(O22:O27)</f>
        <v>457737</v>
      </c>
      <c r="P28" s="178">
        <f>SUM(P22:P27)</f>
        <v>561256</v>
      </c>
      <c r="Q28" s="1242">
        <f>SUM(Q22:Q27)</f>
        <v>446030</v>
      </c>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row>
    <row r="29" spans="1:44" s="1" customFormat="1" ht="30" customHeight="1" thickTop="1" thickBot="1" x14ac:dyDescent="0.35">
      <c r="A29" s="52">
        <v>24</v>
      </c>
      <c r="B29" s="641"/>
      <c r="C29" s="642"/>
      <c r="D29" s="86" t="s">
        <v>205</v>
      </c>
      <c r="E29" s="175">
        <f>SUM(E21,E28)</f>
        <v>49602599</v>
      </c>
      <c r="F29" s="175">
        <f>SUM(F21,F28)</f>
        <v>69296871</v>
      </c>
      <c r="G29" s="175">
        <f>SUM(G21,G28)</f>
        <v>43547771</v>
      </c>
      <c r="H29" s="175">
        <f>SUM(H21,H28)</f>
        <v>46919347</v>
      </c>
      <c r="I29" s="1161">
        <f>SUM(I21,I28)</f>
        <v>34962484</v>
      </c>
      <c r="J29" s="642"/>
      <c r="K29" s="642"/>
      <c r="L29" s="86" t="s">
        <v>206</v>
      </c>
      <c r="M29" s="175">
        <f>SUM(M21,M28)</f>
        <v>49602599</v>
      </c>
      <c r="N29" s="874">
        <f>SUM(N21,N28)</f>
        <v>52690977</v>
      </c>
      <c r="O29" s="175">
        <f>SUM(O21,O28)</f>
        <v>43547771</v>
      </c>
      <c r="P29" s="175">
        <f>SUM(P21,P28)</f>
        <v>46919347</v>
      </c>
      <c r="Q29" s="1240">
        <f>SUM(Q21,Q28)</f>
        <v>18502119</v>
      </c>
    </row>
    <row r="30" spans="1:44" s="1" customFormat="1" ht="18" thickTop="1" x14ac:dyDescent="0.3">
      <c r="A30" s="52">
        <v>25</v>
      </c>
      <c r="B30" s="645"/>
      <c r="C30" s="646"/>
      <c r="D30" s="169" t="s">
        <v>162</v>
      </c>
      <c r="E30" s="179">
        <f>+E21-M21</f>
        <v>-20218282</v>
      </c>
      <c r="F30" s="179">
        <f>+F21-N21</f>
        <v>-6554468</v>
      </c>
      <c r="G30" s="179">
        <f>+G21-O21</f>
        <v>-12231660</v>
      </c>
      <c r="H30" s="179">
        <f>+H21-P21</f>
        <v>-16148157</v>
      </c>
      <c r="I30" s="1174">
        <f>+I21-Q21</f>
        <v>193287</v>
      </c>
      <c r="J30" s="1726"/>
      <c r="K30" s="1726"/>
      <c r="L30" s="1727"/>
      <c r="M30" s="177"/>
      <c r="N30" s="877"/>
      <c r="O30" s="177"/>
      <c r="P30" s="1733"/>
      <c r="Q30" s="1169"/>
      <c r="S30" s="48"/>
    </row>
    <row r="31" spans="1:44" s="1" customFormat="1" ht="17.25" x14ac:dyDescent="0.3">
      <c r="A31" s="52">
        <v>26</v>
      </c>
      <c r="B31" s="46"/>
      <c r="C31" s="52"/>
      <c r="D31" s="1728" t="s">
        <v>207</v>
      </c>
      <c r="E31" s="180">
        <f>+E14-M14</f>
        <v>-1806007</v>
      </c>
      <c r="F31" s="180">
        <f>+F14-N14</f>
        <v>8380293</v>
      </c>
      <c r="G31" s="180">
        <f>+G14-O14</f>
        <v>-1535897</v>
      </c>
      <c r="H31" s="180">
        <f>+H14-P14</f>
        <v>-6270216</v>
      </c>
      <c r="I31" s="1164">
        <f>+I14-Q14</f>
        <v>1026047</v>
      </c>
      <c r="J31" s="1726"/>
      <c r="K31" s="1726"/>
      <c r="L31" s="1727"/>
      <c r="M31" s="177"/>
      <c r="N31" s="877"/>
      <c r="O31" s="177"/>
      <c r="P31" s="1733"/>
      <c r="Q31" s="1169"/>
    </row>
    <row r="32" spans="1:44" s="1" customFormat="1" ht="17.25" x14ac:dyDescent="0.3">
      <c r="A32" s="52">
        <v>27</v>
      </c>
      <c r="B32" s="46"/>
      <c r="C32" s="52"/>
      <c r="D32" s="1728" t="s">
        <v>208</v>
      </c>
      <c r="E32" s="180">
        <f>+E20-M20</f>
        <v>-18412275</v>
      </c>
      <c r="F32" s="180">
        <f>+F20-N20</f>
        <v>-14934761</v>
      </c>
      <c r="G32" s="180">
        <f>+G20-O20</f>
        <v>-10695763</v>
      </c>
      <c r="H32" s="180">
        <f>+H20-P20</f>
        <v>-9877941</v>
      </c>
      <c r="I32" s="1164">
        <f>+I20-Q20</f>
        <v>-832760</v>
      </c>
      <c r="J32" s="1726"/>
      <c r="K32" s="1726"/>
      <c r="L32" s="1727"/>
      <c r="M32" s="177"/>
      <c r="N32" s="877"/>
      <c r="O32" s="177"/>
      <c r="P32" s="1733"/>
      <c r="Q32" s="1169"/>
    </row>
    <row r="33" spans="1:17" s="1" customFormat="1" ht="17.25" x14ac:dyDescent="0.3">
      <c r="A33" s="52">
        <v>28</v>
      </c>
      <c r="B33" s="46"/>
      <c r="C33" s="52"/>
      <c r="D33" s="170" t="s">
        <v>209</v>
      </c>
      <c r="E33" s="180">
        <f>+E30-M28</f>
        <v>-20651277</v>
      </c>
      <c r="F33" s="180">
        <f>+F30-N28</f>
        <v>-7191297</v>
      </c>
      <c r="G33" s="180">
        <f>+G30-O28</f>
        <v>-12689397</v>
      </c>
      <c r="H33" s="180">
        <f>+H30-P28</f>
        <v>-16709413</v>
      </c>
      <c r="I33" s="1164">
        <f>+I30-Q28</f>
        <v>-252743</v>
      </c>
      <c r="J33" s="1726"/>
      <c r="K33" s="1726"/>
      <c r="L33" s="1727"/>
      <c r="M33" s="177"/>
      <c r="N33" s="877"/>
      <c r="O33" s="177"/>
      <c r="P33" s="1733"/>
      <c r="Q33" s="1169"/>
    </row>
    <row r="34" spans="1:17" s="1" customFormat="1" ht="32.25" customHeight="1" x14ac:dyDescent="0.3">
      <c r="A34" s="52">
        <v>29</v>
      </c>
      <c r="B34" s="46"/>
      <c r="C34" s="52"/>
      <c r="D34" s="1729" t="s">
        <v>290</v>
      </c>
      <c r="E34" s="180">
        <f>E27+E23</f>
        <v>20126255</v>
      </c>
      <c r="F34" s="180">
        <f>F27+F23+F24</f>
        <v>23277484</v>
      </c>
      <c r="G34" s="180">
        <f>G27+G23</f>
        <v>12689397</v>
      </c>
      <c r="H34" s="180">
        <f>H27+H23+H24</f>
        <v>16709413</v>
      </c>
      <c r="I34" s="1164">
        <f>I27+I23+I24</f>
        <v>16713108</v>
      </c>
      <c r="J34" s="1726"/>
      <c r="K34" s="1726"/>
      <c r="L34" s="1727"/>
      <c r="M34" s="177"/>
      <c r="N34" s="877"/>
      <c r="O34" s="177"/>
      <c r="P34" s="1733"/>
      <c r="Q34" s="1169"/>
    </row>
    <row r="35" spans="1:17" s="1" customFormat="1" ht="33.75" customHeight="1" x14ac:dyDescent="0.3">
      <c r="A35" s="52">
        <v>30</v>
      </c>
      <c r="B35" s="647"/>
      <c r="C35" s="85"/>
      <c r="D35" s="171" t="s">
        <v>291</v>
      </c>
      <c r="E35" s="181">
        <f>E26</f>
        <v>525022</v>
      </c>
      <c r="F35" s="181">
        <f>F26</f>
        <v>519707</v>
      </c>
      <c r="G35" s="181">
        <f>G26</f>
        <v>0</v>
      </c>
      <c r="H35" s="181">
        <f>H26</f>
        <v>0</v>
      </c>
      <c r="I35" s="1165">
        <f>I26</f>
        <v>0</v>
      </c>
      <c r="J35" s="652"/>
      <c r="K35" s="652"/>
      <c r="L35" s="172"/>
      <c r="M35" s="879"/>
      <c r="N35" s="880"/>
      <c r="O35" s="879"/>
      <c r="P35" s="1734"/>
      <c r="Q35" s="1172"/>
    </row>
    <row r="36" spans="1:17" ht="20.100000000000001" customHeight="1" x14ac:dyDescent="0.3">
      <c r="A36" s="52">
        <v>31</v>
      </c>
      <c r="B36" s="46"/>
      <c r="C36" s="52"/>
      <c r="D36" s="16" t="s">
        <v>210</v>
      </c>
      <c r="E36" s="182">
        <f>(E14+E23+E24)/E29</f>
        <v>0.55948475603062653</v>
      </c>
      <c r="F36" s="182">
        <f>(F14+F23+F24)/F29</f>
        <v>0.60401321727787682</v>
      </c>
      <c r="G36" s="182">
        <f>(G14+G23+G24)/G29</f>
        <v>0.76694995479791606</v>
      </c>
      <c r="H36" s="182">
        <f>(H14+H23+H24)/H29</f>
        <v>0.77519523023199788</v>
      </c>
      <c r="I36" s="1166">
        <f>(I14+I23+I24)/I29</f>
        <v>0.71021123670732322</v>
      </c>
      <c r="J36" s="52"/>
      <c r="K36" s="52"/>
      <c r="L36" s="16" t="s">
        <v>211</v>
      </c>
      <c r="M36" s="182">
        <f>(M14+M23)/M29</f>
        <v>0.49677917078498246</v>
      </c>
      <c r="N36" s="881">
        <f>(N14+N23)/N29</f>
        <v>0.48751113497098375</v>
      </c>
      <c r="O36" s="182">
        <f>(O14+O23)/O29</f>
        <v>0.65635072343886436</v>
      </c>
      <c r="P36" s="182">
        <f>(P14+P23)/P29</f>
        <v>0.69519976482196144</v>
      </c>
      <c r="Q36" s="1243">
        <f>(Q14+Q23)/Q29</f>
        <v>0.74484171245466535</v>
      </c>
    </row>
    <row r="37" spans="1:17" ht="20.100000000000001" customHeight="1" thickBot="1" x14ac:dyDescent="0.35">
      <c r="A37" s="52">
        <v>32</v>
      </c>
      <c r="B37" s="648"/>
      <c r="C37" s="649"/>
      <c r="D37" s="173" t="s">
        <v>212</v>
      </c>
      <c r="E37" s="183">
        <f>(E20+E26+E27)/E29</f>
        <v>0.44051524396937347</v>
      </c>
      <c r="F37" s="183">
        <f>(F20+F26+F27)/F29</f>
        <v>0.39598678272212318</v>
      </c>
      <c r="G37" s="183">
        <f>(G20+G26+G27)/G29</f>
        <v>0.23305004520208394</v>
      </c>
      <c r="H37" s="183">
        <f>(H20+H26+H27)/H29</f>
        <v>0.22480476976800209</v>
      </c>
      <c r="I37" s="1167">
        <f>(I20+I26+I27)/I29</f>
        <v>0.28978876329267678</v>
      </c>
      <c r="J37" s="649"/>
      <c r="K37" s="649"/>
      <c r="L37" s="173" t="s">
        <v>213</v>
      </c>
      <c r="M37" s="183">
        <f>(M20+M26)/M29</f>
        <v>0.50322082921501754</v>
      </c>
      <c r="N37" s="882">
        <f>(N20+N26)/N29</f>
        <v>0.51248886502901625</v>
      </c>
      <c r="O37" s="183">
        <f>(O20+O26)/O29</f>
        <v>0.34364927656113559</v>
      </c>
      <c r="P37" s="183">
        <f>(P20+P26)/P29</f>
        <v>0.30480023517803861</v>
      </c>
      <c r="Q37" s="1244">
        <f>(Q20+Q26)/Q29</f>
        <v>0.25515828754533465</v>
      </c>
    </row>
    <row r="38" spans="1:17" x14ac:dyDescent="0.3">
      <c r="L38" s="16" t="s">
        <v>214</v>
      </c>
    </row>
  </sheetData>
  <mergeCells count="3">
    <mergeCell ref="B1:D1"/>
    <mergeCell ref="B3:Q3"/>
    <mergeCell ref="B2:Q2"/>
  </mergeCells>
  <printOptions horizontalCentered="1" verticalCentered="1"/>
  <pageMargins left="0.19685039370078741" right="0.19685039370078741" top="0.19685039370078741" bottom="0.19685039370078741" header="0.11811023622047245" footer="0.11811023622047245"/>
  <pageSetup paperSize="9" scale="47" fitToHeight="0" orientation="landscape" r:id="rId1"/>
  <headerFooter alignWithMargins="0">
    <oddFooter>&amp;C- &amp;P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B4AB7B-B151-4D54-B5A5-A418A3C57541}">
  <sheetPr>
    <pageSetUpPr fitToPage="1"/>
  </sheetPr>
  <dimension ref="A1:N19"/>
  <sheetViews>
    <sheetView view="pageBreakPreview" zoomScaleNormal="100" zoomScaleSheetLayoutView="100" workbookViewId="0">
      <selection activeCell="J16" sqref="J16"/>
    </sheetView>
  </sheetViews>
  <sheetFormatPr defaultRowHeight="16.5" x14ac:dyDescent="0.3"/>
  <cols>
    <col min="1" max="1" width="3" style="1765" customWidth="1"/>
    <col min="2" max="2" width="3.7109375" style="1781" customWidth="1"/>
    <col min="3" max="3" width="16.5703125" style="1782" customWidth="1"/>
    <col min="4" max="4" width="15.42578125" style="1781" customWidth="1"/>
    <col min="5" max="6" width="9.85546875" style="1781" bestFit="1" customWidth="1"/>
    <col min="7" max="7" width="9.42578125" style="1781" customWidth="1"/>
    <col min="8" max="8" width="9.85546875" style="1781" customWidth="1"/>
    <col min="9" max="9" width="11" style="1781" customWidth="1"/>
    <col min="10" max="10" width="10.85546875" style="1781" customWidth="1"/>
    <col min="11" max="11" width="9.85546875" style="1781" customWidth="1"/>
    <col min="12" max="12" width="11" style="1781" customWidth="1"/>
    <col min="13" max="13" width="13.42578125" style="1781" customWidth="1"/>
    <col min="14" max="14" width="13.85546875" style="1766" customWidth="1"/>
    <col min="15" max="232" width="8" style="1766" customWidth="1"/>
    <col min="233" max="233" width="2.42578125" style="1766" bestFit="1" customWidth="1"/>
    <col min="234" max="234" width="28.28515625" style="1766" bestFit="1" customWidth="1"/>
    <col min="235" max="235" width="14.28515625" style="1766" bestFit="1" customWidth="1"/>
    <col min="236" max="236" width="13.5703125" style="1766" bestFit="1" customWidth="1"/>
    <col min="237" max="237" width="10.7109375" style="1766" bestFit="1" customWidth="1"/>
    <col min="238" max="238" width="9.42578125" style="1766" bestFit="1" customWidth="1"/>
    <col min="239" max="239" width="9.85546875" style="1766" bestFit="1" customWidth="1"/>
    <col min="240" max="240" width="11.28515625" style="1766" bestFit="1" customWidth="1"/>
    <col min="241" max="241" width="9.140625" style="1766"/>
    <col min="242" max="243" width="3.7109375" style="1766" customWidth="1"/>
    <col min="244" max="244" width="18.85546875" style="1766" customWidth="1"/>
    <col min="245" max="245" width="19.7109375" style="1766" customWidth="1"/>
    <col min="246" max="246" width="13.5703125" style="1766" customWidth="1"/>
    <col min="247" max="249" width="11.7109375" style="1766" customWidth="1"/>
    <col min="250" max="250" width="12.7109375" style="1766" customWidth="1"/>
    <col min="251" max="260" width="11.7109375" style="1766" customWidth="1"/>
    <col min="261" max="488" width="8" style="1766" customWidth="1"/>
    <col min="489" max="489" width="2.42578125" style="1766" bestFit="1" customWidth="1"/>
    <col min="490" max="490" width="28.28515625" style="1766" bestFit="1" customWidth="1"/>
    <col min="491" max="491" width="14.28515625" style="1766" bestFit="1" customWidth="1"/>
    <col min="492" max="492" width="13.5703125" style="1766" bestFit="1" customWidth="1"/>
    <col min="493" max="493" width="10.7109375" style="1766" bestFit="1" customWidth="1"/>
    <col min="494" max="494" width="9.42578125" style="1766" bestFit="1" customWidth="1"/>
    <col min="495" max="495" width="9.85546875" style="1766" bestFit="1" customWidth="1"/>
    <col min="496" max="496" width="11.28515625" style="1766" bestFit="1" customWidth="1"/>
    <col min="497" max="497" width="9.140625" style="1766"/>
    <col min="498" max="499" width="3.7109375" style="1766" customWidth="1"/>
    <col min="500" max="500" width="18.85546875" style="1766" customWidth="1"/>
    <col min="501" max="501" width="19.7109375" style="1766" customWidth="1"/>
    <col min="502" max="502" width="13.5703125" style="1766" customWidth="1"/>
    <col min="503" max="505" width="11.7109375" style="1766" customWidth="1"/>
    <col min="506" max="506" width="12.7109375" style="1766" customWidth="1"/>
    <col min="507" max="516" width="11.7109375" style="1766" customWidth="1"/>
    <col min="517" max="744" width="8" style="1766" customWidth="1"/>
    <col min="745" max="745" width="2.42578125" style="1766" bestFit="1" customWidth="1"/>
    <col min="746" max="746" width="28.28515625" style="1766" bestFit="1" customWidth="1"/>
    <col min="747" max="747" width="14.28515625" style="1766" bestFit="1" customWidth="1"/>
    <col min="748" max="748" width="13.5703125" style="1766" bestFit="1" customWidth="1"/>
    <col min="749" max="749" width="10.7109375" style="1766" bestFit="1" customWidth="1"/>
    <col min="750" max="750" width="9.42578125" style="1766" bestFit="1" customWidth="1"/>
    <col min="751" max="751" width="9.85546875" style="1766" bestFit="1" customWidth="1"/>
    <col min="752" max="752" width="11.28515625" style="1766" bestFit="1" customWidth="1"/>
    <col min="753" max="753" width="9.140625" style="1766"/>
    <col min="754" max="755" width="3.7109375" style="1766" customWidth="1"/>
    <col min="756" max="756" width="18.85546875" style="1766" customWidth="1"/>
    <col min="757" max="757" width="19.7109375" style="1766" customWidth="1"/>
    <col min="758" max="758" width="13.5703125" style="1766" customWidth="1"/>
    <col min="759" max="761" width="11.7109375" style="1766" customWidth="1"/>
    <col min="762" max="762" width="12.7109375" style="1766" customWidth="1"/>
    <col min="763" max="772" width="11.7109375" style="1766" customWidth="1"/>
    <col min="773" max="1000" width="8" style="1766" customWidth="1"/>
    <col min="1001" max="1001" width="2.42578125" style="1766" bestFit="1" customWidth="1"/>
    <col min="1002" max="1002" width="28.28515625" style="1766" bestFit="1" customWidth="1"/>
    <col min="1003" max="1003" width="14.28515625" style="1766" bestFit="1" customWidth="1"/>
    <col min="1004" max="1004" width="13.5703125" style="1766" bestFit="1" customWidth="1"/>
    <col min="1005" max="1005" width="10.7109375" style="1766" bestFit="1" customWidth="1"/>
    <col min="1006" max="1006" width="9.42578125" style="1766" bestFit="1" customWidth="1"/>
    <col min="1007" max="1007" width="9.85546875" style="1766" bestFit="1" customWidth="1"/>
    <col min="1008" max="1008" width="11.28515625" style="1766" bestFit="1" customWidth="1"/>
    <col min="1009" max="1009" width="9.140625" style="1766"/>
    <col min="1010" max="1011" width="3.7109375" style="1766" customWidth="1"/>
    <col min="1012" max="1012" width="18.85546875" style="1766" customWidth="1"/>
    <col min="1013" max="1013" width="19.7109375" style="1766" customWidth="1"/>
    <col min="1014" max="1014" width="13.5703125" style="1766" customWidth="1"/>
    <col min="1015" max="1017" width="11.7109375" style="1766" customWidth="1"/>
    <col min="1018" max="1018" width="12.7109375" style="1766" customWidth="1"/>
    <col min="1019" max="1028" width="11.7109375" style="1766" customWidth="1"/>
    <col min="1029" max="1256" width="8" style="1766" customWidth="1"/>
    <col min="1257" max="1257" width="2.42578125" style="1766" bestFit="1" customWidth="1"/>
    <col min="1258" max="1258" width="28.28515625" style="1766" bestFit="1" customWidth="1"/>
    <col min="1259" max="1259" width="14.28515625" style="1766" bestFit="1" customWidth="1"/>
    <col min="1260" max="1260" width="13.5703125" style="1766" bestFit="1" customWidth="1"/>
    <col min="1261" max="1261" width="10.7109375" style="1766" bestFit="1" customWidth="1"/>
    <col min="1262" max="1262" width="9.42578125" style="1766" bestFit="1" customWidth="1"/>
    <col min="1263" max="1263" width="9.85546875" style="1766" bestFit="1" customWidth="1"/>
    <col min="1264" max="1264" width="11.28515625" style="1766" bestFit="1" customWidth="1"/>
    <col min="1265" max="1265" width="9.140625" style="1766"/>
    <col min="1266" max="1267" width="3.7109375" style="1766" customWidth="1"/>
    <col min="1268" max="1268" width="18.85546875" style="1766" customWidth="1"/>
    <col min="1269" max="1269" width="19.7109375" style="1766" customWidth="1"/>
    <col min="1270" max="1270" width="13.5703125" style="1766" customWidth="1"/>
    <col min="1271" max="1273" width="11.7109375" style="1766" customWidth="1"/>
    <col min="1274" max="1274" width="12.7109375" style="1766" customWidth="1"/>
    <col min="1275" max="1284" width="11.7109375" style="1766" customWidth="1"/>
    <col min="1285" max="1512" width="8" style="1766" customWidth="1"/>
    <col min="1513" max="1513" width="2.42578125" style="1766" bestFit="1" customWidth="1"/>
    <col min="1514" max="1514" width="28.28515625" style="1766" bestFit="1" customWidth="1"/>
    <col min="1515" max="1515" width="14.28515625" style="1766" bestFit="1" customWidth="1"/>
    <col min="1516" max="1516" width="13.5703125" style="1766" bestFit="1" customWidth="1"/>
    <col min="1517" max="1517" width="10.7109375" style="1766" bestFit="1" customWidth="1"/>
    <col min="1518" max="1518" width="9.42578125" style="1766" bestFit="1" customWidth="1"/>
    <col min="1519" max="1519" width="9.85546875" style="1766" bestFit="1" customWidth="1"/>
    <col min="1520" max="1520" width="11.28515625" style="1766" bestFit="1" customWidth="1"/>
    <col min="1521" max="1521" width="9.140625" style="1766"/>
    <col min="1522" max="1523" width="3.7109375" style="1766" customWidth="1"/>
    <col min="1524" max="1524" width="18.85546875" style="1766" customWidth="1"/>
    <col min="1525" max="1525" width="19.7109375" style="1766" customWidth="1"/>
    <col min="1526" max="1526" width="13.5703125" style="1766" customWidth="1"/>
    <col min="1527" max="1529" width="11.7109375" style="1766" customWidth="1"/>
    <col min="1530" max="1530" width="12.7109375" style="1766" customWidth="1"/>
    <col min="1531" max="1540" width="11.7109375" style="1766" customWidth="1"/>
    <col min="1541" max="1768" width="8" style="1766" customWidth="1"/>
    <col min="1769" max="1769" width="2.42578125" style="1766" bestFit="1" customWidth="1"/>
    <col min="1770" max="1770" width="28.28515625" style="1766" bestFit="1" customWidth="1"/>
    <col min="1771" max="1771" width="14.28515625" style="1766" bestFit="1" customWidth="1"/>
    <col min="1772" max="1772" width="13.5703125" style="1766" bestFit="1" customWidth="1"/>
    <col min="1773" max="1773" width="10.7109375" style="1766" bestFit="1" customWidth="1"/>
    <col min="1774" max="1774" width="9.42578125" style="1766" bestFit="1" customWidth="1"/>
    <col min="1775" max="1775" width="9.85546875" style="1766" bestFit="1" customWidth="1"/>
    <col min="1776" max="1776" width="11.28515625" style="1766" bestFit="1" customWidth="1"/>
    <col min="1777" max="1777" width="9.140625" style="1766"/>
    <col min="1778" max="1779" width="3.7109375" style="1766" customWidth="1"/>
    <col min="1780" max="1780" width="18.85546875" style="1766" customWidth="1"/>
    <col min="1781" max="1781" width="19.7109375" style="1766" customWidth="1"/>
    <col min="1782" max="1782" width="13.5703125" style="1766" customWidth="1"/>
    <col min="1783" max="1785" width="11.7109375" style="1766" customWidth="1"/>
    <col min="1786" max="1786" width="12.7109375" style="1766" customWidth="1"/>
    <col min="1787" max="1796" width="11.7109375" style="1766" customWidth="1"/>
    <col min="1797" max="2024" width="8" style="1766" customWidth="1"/>
    <col min="2025" max="2025" width="2.42578125" style="1766" bestFit="1" customWidth="1"/>
    <col min="2026" max="2026" width="28.28515625" style="1766" bestFit="1" customWidth="1"/>
    <col min="2027" max="2027" width="14.28515625" style="1766" bestFit="1" customWidth="1"/>
    <col min="2028" max="2028" width="13.5703125" style="1766" bestFit="1" customWidth="1"/>
    <col min="2029" max="2029" width="10.7109375" style="1766" bestFit="1" customWidth="1"/>
    <col min="2030" max="2030" width="9.42578125" style="1766" bestFit="1" customWidth="1"/>
    <col min="2031" max="2031" width="9.85546875" style="1766" bestFit="1" customWidth="1"/>
    <col min="2032" max="2032" width="11.28515625" style="1766" bestFit="1" customWidth="1"/>
    <col min="2033" max="2033" width="9.140625" style="1766"/>
    <col min="2034" max="2035" width="3.7109375" style="1766" customWidth="1"/>
    <col min="2036" max="2036" width="18.85546875" style="1766" customWidth="1"/>
    <col min="2037" max="2037" width="19.7109375" style="1766" customWidth="1"/>
    <col min="2038" max="2038" width="13.5703125" style="1766" customWidth="1"/>
    <col min="2039" max="2041" width="11.7109375" style="1766" customWidth="1"/>
    <col min="2042" max="2042" width="12.7109375" style="1766" customWidth="1"/>
    <col min="2043" max="2052" width="11.7109375" style="1766" customWidth="1"/>
    <col min="2053" max="2280" width="8" style="1766" customWidth="1"/>
    <col min="2281" max="2281" width="2.42578125" style="1766" bestFit="1" customWidth="1"/>
    <col min="2282" max="2282" width="28.28515625" style="1766" bestFit="1" customWidth="1"/>
    <col min="2283" max="2283" width="14.28515625" style="1766" bestFit="1" customWidth="1"/>
    <col min="2284" max="2284" width="13.5703125" style="1766" bestFit="1" customWidth="1"/>
    <col min="2285" max="2285" width="10.7109375" style="1766" bestFit="1" customWidth="1"/>
    <col min="2286" max="2286" width="9.42578125" style="1766" bestFit="1" customWidth="1"/>
    <col min="2287" max="2287" width="9.85546875" style="1766" bestFit="1" customWidth="1"/>
    <col min="2288" max="2288" width="11.28515625" style="1766" bestFit="1" customWidth="1"/>
    <col min="2289" max="2289" width="9.140625" style="1766"/>
    <col min="2290" max="2291" width="3.7109375" style="1766" customWidth="1"/>
    <col min="2292" max="2292" width="18.85546875" style="1766" customWidth="1"/>
    <col min="2293" max="2293" width="19.7109375" style="1766" customWidth="1"/>
    <col min="2294" max="2294" width="13.5703125" style="1766" customWidth="1"/>
    <col min="2295" max="2297" width="11.7109375" style="1766" customWidth="1"/>
    <col min="2298" max="2298" width="12.7109375" style="1766" customWidth="1"/>
    <col min="2299" max="2308" width="11.7109375" style="1766" customWidth="1"/>
    <col min="2309" max="2536" width="8" style="1766" customWidth="1"/>
    <col min="2537" max="2537" width="2.42578125" style="1766" bestFit="1" customWidth="1"/>
    <col min="2538" max="2538" width="28.28515625" style="1766" bestFit="1" customWidth="1"/>
    <col min="2539" max="2539" width="14.28515625" style="1766" bestFit="1" customWidth="1"/>
    <col min="2540" max="2540" width="13.5703125" style="1766" bestFit="1" customWidth="1"/>
    <col min="2541" max="2541" width="10.7109375" style="1766" bestFit="1" customWidth="1"/>
    <col min="2542" max="2542" width="9.42578125" style="1766" bestFit="1" customWidth="1"/>
    <col min="2543" max="2543" width="9.85546875" style="1766" bestFit="1" customWidth="1"/>
    <col min="2544" max="2544" width="11.28515625" style="1766" bestFit="1" customWidth="1"/>
    <col min="2545" max="2545" width="9.140625" style="1766"/>
    <col min="2546" max="2547" width="3.7109375" style="1766" customWidth="1"/>
    <col min="2548" max="2548" width="18.85546875" style="1766" customWidth="1"/>
    <col min="2549" max="2549" width="19.7109375" style="1766" customWidth="1"/>
    <col min="2550" max="2550" width="13.5703125" style="1766" customWidth="1"/>
    <col min="2551" max="2553" width="11.7109375" style="1766" customWidth="1"/>
    <col min="2554" max="2554" width="12.7109375" style="1766" customWidth="1"/>
    <col min="2555" max="2564" width="11.7109375" style="1766" customWidth="1"/>
    <col min="2565" max="2792" width="8" style="1766" customWidth="1"/>
    <col min="2793" max="2793" width="2.42578125" style="1766" bestFit="1" customWidth="1"/>
    <col min="2794" max="2794" width="28.28515625" style="1766" bestFit="1" customWidth="1"/>
    <col min="2795" max="2795" width="14.28515625" style="1766" bestFit="1" customWidth="1"/>
    <col min="2796" max="2796" width="13.5703125" style="1766" bestFit="1" customWidth="1"/>
    <col min="2797" max="2797" width="10.7109375" style="1766" bestFit="1" customWidth="1"/>
    <col min="2798" max="2798" width="9.42578125" style="1766" bestFit="1" customWidth="1"/>
    <col min="2799" max="2799" width="9.85546875" style="1766" bestFit="1" customWidth="1"/>
    <col min="2800" max="2800" width="11.28515625" style="1766" bestFit="1" customWidth="1"/>
    <col min="2801" max="2801" width="9.140625" style="1766"/>
    <col min="2802" max="2803" width="3.7109375" style="1766" customWidth="1"/>
    <col min="2804" max="2804" width="18.85546875" style="1766" customWidth="1"/>
    <col min="2805" max="2805" width="19.7109375" style="1766" customWidth="1"/>
    <col min="2806" max="2806" width="13.5703125" style="1766" customWidth="1"/>
    <col min="2807" max="2809" width="11.7109375" style="1766" customWidth="1"/>
    <col min="2810" max="2810" width="12.7109375" style="1766" customWidth="1"/>
    <col min="2811" max="2820" width="11.7109375" style="1766" customWidth="1"/>
    <col min="2821" max="3048" width="8" style="1766" customWidth="1"/>
    <col min="3049" max="3049" width="2.42578125" style="1766" bestFit="1" customWidth="1"/>
    <col min="3050" max="3050" width="28.28515625" style="1766" bestFit="1" customWidth="1"/>
    <col min="3051" max="3051" width="14.28515625" style="1766" bestFit="1" customWidth="1"/>
    <col min="3052" max="3052" width="13.5703125" style="1766" bestFit="1" customWidth="1"/>
    <col min="3053" max="3053" width="10.7109375" style="1766" bestFit="1" customWidth="1"/>
    <col min="3054" max="3054" width="9.42578125" style="1766" bestFit="1" customWidth="1"/>
    <col min="3055" max="3055" width="9.85546875" style="1766" bestFit="1" customWidth="1"/>
    <col min="3056" max="3056" width="11.28515625" style="1766" bestFit="1" customWidth="1"/>
    <col min="3057" max="3057" width="9.140625" style="1766"/>
    <col min="3058" max="3059" width="3.7109375" style="1766" customWidth="1"/>
    <col min="3060" max="3060" width="18.85546875" style="1766" customWidth="1"/>
    <col min="3061" max="3061" width="19.7109375" style="1766" customWidth="1"/>
    <col min="3062" max="3062" width="13.5703125" style="1766" customWidth="1"/>
    <col min="3063" max="3065" width="11.7109375" style="1766" customWidth="1"/>
    <col min="3066" max="3066" width="12.7109375" style="1766" customWidth="1"/>
    <col min="3067" max="3076" width="11.7109375" style="1766" customWidth="1"/>
    <col min="3077" max="3304" width="8" style="1766" customWidth="1"/>
    <col min="3305" max="3305" width="2.42578125" style="1766" bestFit="1" customWidth="1"/>
    <col min="3306" max="3306" width="28.28515625" style="1766" bestFit="1" customWidth="1"/>
    <col min="3307" max="3307" width="14.28515625" style="1766" bestFit="1" customWidth="1"/>
    <col min="3308" max="3308" width="13.5703125" style="1766" bestFit="1" customWidth="1"/>
    <col min="3309" max="3309" width="10.7109375" style="1766" bestFit="1" customWidth="1"/>
    <col min="3310" max="3310" width="9.42578125" style="1766" bestFit="1" customWidth="1"/>
    <col min="3311" max="3311" width="9.85546875" style="1766" bestFit="1" customWidth="1"/>
    <col min="3312" max="3312" width="11.28515625" style="1766" bestFit="1" customWidth="1"/>
    <col min="3313" max="3313" width="9.140625" style="1766"/>
    <col min="3314" max="3315" width="3.7109375" style="1766" customWidth="1"/>
    <col min="3316" max="3316" width="18.85546875" style="1766" customWidth="1"/>
    <col min="3317" max="3317" width="19.7109375" style="1766" customWidth="1"/>
    <col min="3318" max="3318" width="13.5703125" style="1766" customWidth="1"/>
    <col min="3319" max="3321" width="11.7109375" style="1766" customWidth="1"/>
    <col min="3322" max="3322" width="12.7109375" style="1766" customWidth="1"/>
    <col min="3323" max="3332" width="11.7109375" style="1766" customWidth="1"/>
    <col min="3333" max="3560" width="8" style="1766" customWidth="1"/>
    <col min="3561" max="3561" width="2.42578125" style="1766" bestFit="1" customWidth="1"/>
    <col min="3562" max="3562" width="28.28515625" style="1766" bestFit="1" customWidth="1"/>
    <col min="3563" max="3563" width="14.28515625" style="1766" bestFit="1" customWidth="1"/>
    <col min="3564" max="3564" width="13.5703125" style="1766" bestFit="1" customWidth="1"/>
    <col min="3565" max="3565" width="10.7109375" style="1766" bestFit="1" customWidth="1"/>
    <col min="3566" max="3566" width="9.42578125" style="1766" bestFit="1" customWidth="1"/>
    <col min="3567" max="3567" width="9.85546875" style="1766" bestFit="1" customWidth="1"/>
    <col min="3568" max="3568" width="11.28515625" style="1766" bestFit="1" customWidth="1"/>
    <col min="3569" max="3569" width="9.140625" style="1766"/>
    <col min="3570" max="3571" width="3.7109375" style="1766" customWidth="1"/>
    <col min="3572" max="3572" width="18.85546875" style="1766" customWidth="1"/>
    <col min="3573" max="3573" width="19.7109375" style="1766" customWidth="1"/>
    <col min="3574" max="3574" width="13.5703125" style="1766" customWidth="1"/>
    <col min="3575" max="3577" width="11.7109375" style="1766" customWidth="1"/>
    <col min="3578" max="3578" width="12.7109375" style="1766" customWidth="1"/>
    <col min="3579" max="3588" width="11.7109375" style="1766" customWidth="1"/>
    <col min="3589" max="3816" width="8" style="1766" customWidth="1"/>
    <col min="3817" max="3817" width="2.42578125" style="1766" bestFit="1" customWidth="1"/>
    <col min="3818" max="3818" width="28.28515625" style="1766" bestFit="1" customWidth="1"/>
    <col min="3819" max="3819" width="14.28515625" style="1766" bestFit="1" customWidth="1"/>
    <col min="3820" max="3820" width="13.5703125" style="1766" bestFit="1" customWidth="1"/>
    <col min="3821" max="3821" width="10.7109375" style="1766" bestFit="1" customWidth="1"/>
    <col min="3822" max="3822" width="9.42578125" style="1766" bestFit="1" customWidth="1"/>
    <col min="3823" max="3823" width="9.85546875" style="1766" bestFit="1" customWidth="1"/>
    <col min="3824" max="3824" width="11.28515625" style="1766" bestFit="1" customWidth="1"/>
    <col min="3825" max="3825" width="9.140625" style="1766"/>
    <col min="3826" max="3827" width="3.7109375" style="1766" customWidth="1"/>
    <col min="3828" max="3828" width="18.85546875" style="1766" customWidth="1"/>
    <col min="3829" max="3829" width="19.7109375" style="1766" customWidth="1"/>
    <col min="3830" max="3830" width="13.5703125" style="1766" customWidth="1"/>
    <col min="3831" max="3833" width="11.7109375" style="1766" customWidth="1"/>
    <col min="3834" max="3834" width="12.7109375" style="1766" customWidth="1"/>
    <col min="3835" max="3844" width="11.7109375" style="1766" customWidth="1"/>
    <col min="3845" max="4072" width="8" style="1766" customWidth="1"/>
    <col min="4073" max="4073" width="2.42578125" style="1766" bestFit="1" customWidth="1"/>
    <col min="4074" max="4074" width="28.28515625" style="1766" bestFit="1" customWidth="1"/>
    <col min="4075" max="4075" width="14.28515625" style="1766" bestFit="1" customWidth="1"/>
    <col min="4076" max="4076" width="13.5703125" style="1766" bestFit="1" customWidth="1"/>
    <col min="4077" max="4077" width="10.7109375" style="1766" bestFit="1" customWidth="1"/>
    <col min="4078" max="4078" width="9.42578125" style="1766" bestFit="1" customWidth="1"/>
    <col min="4079" max="4079" width="9.85546875" style="1766" bestFit="1" customWidth="1"/>
    <col min="4080" max="4080" width="11.28515625" style="1766" bestFit="1" customWidth="1"/>
    <col min="4081" max="4081" width="9.140625" style="1766"/>
    <col min="4082" max="4083" width="3.7109375" style="1766" customWidth="1"/>
    <col min="4084" max="4084" width="18.85546875" style="1766" customWidth="1"/>
    <col min="4085" max="4085" width="19.7109375" style="1766" customWidth="1"/>
    <col min="4086" max="4086" width="13.5703125" style="1766" customWidth="1"/>
    <col min="4087" max="4089" width="11.7109375" style="1766" customWidth="1"/>
    <col min="4090" max="4090" width="12.7109375" style="1766" customWidth="1"/>
    <col min="4091" max="4100" width="11.7109375" style="1766" customWidth="1"/>
    <col min="4101" max="4328" width="8" style="1766" customWidth="1"/>
    <col min="4329" max="4329" width="2.42578125" style="1766" bestFit="1" customWidth="1"/>
    <col min="4330" max="4330" width="28.28515625" style="1766" bestFit="1" customWidth="1"/>
    <col min="4331" max="4331" width="14.28515625" style="1766" bestFit="1" customWidth="1"/>
    <col min="4332" max="4332" width="13.5703125" style="1766" bestFit="1" customWidth="1"/>
    <col min="4333" max="4333" width="10.7109375" style="1766" bestFit="1" customWidth="1"/>
    <col min="4334" max="4334" width="9.42578125" style="1766" bestFit="1" customWidth="1"/>
    <col min="4335" max="4335" width="9.85546875" style="1766" bestFit="1" customWidth="1"/>
    <col min="4336" max="4336" width="11.28515625" style="1766" bestFit="1" customWidth="1"/>
    <col min="4337" max="4337" width="9.140625" style="1766"/>
    <col min="4338" max="4339" width="3.7109375" style="1766" customWidth="1"/>
    <col min="4340" max="4340" width="18.85546875" style="1766" customWidth="1"/>
    <col min="4341" max="4341" width="19.7109375" style="1766" customWidth="1"/>
    <col min="4342" max="4342" width="13.5703125" style="1766" customWidth="1"/>
    <col min="4343" max="4345" width="11.7109375" style="1766" customWidth="1"/>
    <col min="4346" max="4346" width="12.7109375" style="1766" customWidth="1"/>
    <col min="4347" max="4356" width="11.7109375" style="1766" customWidth="1"/>
    <col min="4357" max="4584" width="8" style="1766" customWidth="1"/>
    <col min="4585" max="4585" width="2.42578125" style="1766" bestFit="1" customWidth="1"/>
    <col min="4586" max="4586" width="28.28515625" style="1766" bestFit="1" customWidth="1"/>
    <col min="4587" max="4587" width="14.28515625" style="1766" bestFit="1" customWidth="1"/>
    <col min="4588" max="4588" width="13.5703125" style="1766" bestFit="1" customWidth="1"/>
    <col min="4589" max="4589" width="10.7109375" style="1766" bestFit="1" customWidth="1"/>
    <col min="4590" max="4590" width="9.42578125" style="1766" bestFit="1" customWidth="1"/>
    <col min="4591" max="4591" width="9.85546875" style="1766" bestFit="1" customWidth="1"/>
    <col min="4592" max="4592" width="11.28515625" style="1766" bestFit="1" customWidth="1"/>
    <col min="4593" max="4593" width="9.140625" style="1766"/>
    <col min="4594" max="4595" width="3.7109375" style="1766" customWidth="1"/>
    <col min="4596" max="4596" width="18.85546875" style="1766" customWidth="1"/>
    <col min="4597" max="4597" width="19.7109375" style="1766" customWidth="1"/>
    <col min="4598" max="4598" width="13.5703125" style="1766" customWidth="1"/>
    <col min="4599" max="4601" width="11.7109375" style="1766" customWidth="1"/>
    <col min="4602" max="4602" width="12.7109375" style="1766" customWidth="1"/>
    <col min="4603" max="4612" width="11.7109375" style="1766" customWidth="1"/>
    <col min="4613" max="4840" width="8" style="1766" customWidth="1"/>
    <col min="4841" max="4841" width="2.42578125" style="1766" bestFit="1" customWidth="1"/>
    <col min="4842" max="4842" width="28.28515625" style="1766" bestFit="1" customWidth="1"/>
    <col min="4843" max="4843" width="14.28515625" style="1766" bestFit="1" customWidth="1"/>
    <col min="4844" max="4844" width="13.5703125" style="1766" bestFit="1" customWidth="1"/>
    <col min="4845" max="4845" width="10.7109375" style="1766" bestFit="1" customWidth="1"/>
    <col min="4846" max="4846" width="9.42578125" style="1766" bestFit="1" customWidth="1"/>
    <col min="4847" max="4847" width="9.85546875" style="1766" bestFit="1" customWidth="1"/>
    <col min="4848" max="4848" width="11.28515625" style="1766" bestFit="1" customWidth="1"/>
    <col min="4849" max="4849" width="9.140625" style="1766"/>
    <col min="4850" max="4851" width="3.7109375" style="1766" customWidth="1"/>
    <col min="4852" max="4852" width="18.85546875" style="1766" customWidth="1"/>
    <col min="4853" max="4853" width="19.7109375" style="1766" customWidth="1"/>
    <col min="4854" max="4854" width="13.5703125" style="1766" customWidth="1"/>
    <col min="4855" max="4857" width="11.7109375" style="1766" customWidth="1"/>
    <col min="4858" max="4858" width="12.7109375" style="1766" customWidth="1"/>
    <col min="4859" max="4868" width="11.7109375" style="1766" customWidth="1"/>
    <col min="4869" max="5096" width="8" style="1766" customWidth="1"/>
    <col min="5097" max="5097" width="2.42578125" style="1766" bestFit="1" customWidth="1"/>
    <col min="5098" max="5098" width="28.28515625" style="1766" bestFit="1" customWidth="1"/>
    <col min="5099" max="5099" width="14.28515625" style="1766" bestFit="1" customWidth="1"/>
    <col min="5100" max="5100" width="13.5703125" style="1766" bestFit="1" customWidth="1"/>
    <col min="5101" max="5101" width="10.7109375" style="1766" bestFit="1" customWidth="1"/>
    <col min="5102" max="5102" width="9.42578125" style="1766" bestFit="1" customWidth="1"/>
    <col min="5103" max="5103" width="9.85546875" style="1766" bestFit="1" customWidth="1"/>
    <col min="5104" max="5104" width="11.28515625" style="1766" bestFit="1" customWidth="1"/>
    <col min="5105" max="5105" width="9.140625" style="1766"/>
    <col min="5106" max="5107" width="3.7109375" style="1766" customWidth="1"/>
    <col min="5108" max="5108" width="18.85546875" style="1766" customWidth="1"/>
    <col min="5109" max="5109" width="19.7109375" style="1766" customWidth="1"/>
    <col min="5110" max="5110" width="13.5703125" style="1766" customWidth="1"/>
    <col min="5111" max="5113" width="11.7109375" style="1766" customWidth="1"/>
    <col min="5114" max="5114" width="12.7109375" style="1766" customWidth="1"/>
    <col min="5115" max="5124" width="11.7109375" style="1766" customWidth="1"/>
    <col min="5125" max="5352" width="8" style="1766" customWidth="1"/>
    <col min="5353" max="5353" width="2.42578125" style="1766" bestFit="1" customWidth="1"/>
    <col min="5354" max="5354" width="28.28515625" style="1766" bestFit="1" customWidth="1"/>
    <col min="5355" max="5355" width="14.28515625" style="1766" bestFit="1" customWidth="1"/>
    <col min="5356" max="5356" width="13.5703125" style="1766" bestFit="1" customWidth="1"/>
    <col min="5357" max="5357" width="10.7109375" style="1766" bestFit="1" customWidth="1"/>
    <col min="5358" max="5358" width="9.42578125" style="1766" bestFit="1" customWidth="1"/>
    <col min="5359" max="5359" width="9.85546875" style="1766" bestFit="1" customWidth="1"/>
    <col min="5360" max="5360" width="11.28515625" style="1766" bestFit="1" customWidth="1"/>
    <col min="5361" max="5361" width="9.140625" style="1766"/>
    <col min="5362" max="5363" width="3.7109375" style="1766" customWidth="1"/>
    <col min="5364" max="5364" width="18.85546875" style="1766" customWidth="1"/>
    <col min="5365" max="5365" width="19.7109375" style="1766" customWidth="1"/>
    <col min="5366" max="5366" width="13.5703125" style="1766" customWidth="1"/>
    <col min="5367" max="5369" width="11.7109375" style="1766" customWidth="1"/>
    <col min="5370" max="5370" width="12.7109375" style="1766" customWidth="1"/>
    <col min="5371" max="5380" width="11.7109375" style="1766" customWidth="1"/>
    <col min="5381" max="5608" width="8" style="1766" customWidth="1"/>
    <col min="5609" max="5609" width="2.42578125" style="1766" bestFit="1" customWidth="1"/>
    <col min="5610" max="5610" width="28.28515625" style="1766" bestFit="1" customWidth="1"/>
    <col min="5611" max="5611" width="14.28515625" style="1766" bestFit="1" customWidth="1"/>
    <col min="5612" max="5612" width="13.5703125" style="1766" bestFit="1" customWidth="1"/>
    <col min="5613" max="5613" width="10.7109375" style="1766" bestFit="1" customWidth="1"/>
    <col min="5614" max="5614" width="9.42578125" style="1766" bestFit="1" customWidth="1"/>
    <col min="5615" max="5615" width="9.85546875" style="1766" bestFit="1" customWidth="1"/>
    <col min="5616" max="5616" width="11.28515625" style="1766" bestFit="1" customWidth="1"/>
    <col min="5617" max="5617" width="9.140625" style="1766"/>
    <col min="5618" max="5619" width="3.7109375" style="1766" customWidth="1"/>
    <col min="5620" max="5620" width="18.85546875" style="1766" customWidth="1"/>
    <col min="5621" max="5621" width="19.7109375" style="1766" customWidth="1"/>
    <col min="5622" max="5622" width="13.5703125" style="1766" customWidth="1"/>
    <col min="5623" max="5625" width="11.7109375" style="1766" customWidth="1"/>
    <col min="5626" max="5626" width="12.7109375" style="1766" customWidth="1"/>
    <col min="5627" max="5636" width="11.7109375" style="1766" customWidth="1"/>
    <col min="5637" max="5864" width="8" style="1766" customWidth="1"/>
    <col min="5865" max="5865" width="2.42578125" style="1766" bestFit="1" customWidth="1"/>
    <col min="5866" max="5866" width="28.28515625" style="1766" bestFit="1" customWidth="1"/>
    <col min="5867" max="5867" width="14.28515625" style="1766" bestFit="1" customWidth="1"/>
    <col min="5868" max="5868" width="13.5703125" style="1766" bestFit="1" customWidth="1"/>
    <col min="5869" max="5869" width="10.7109375" style="1766" bestFit="1" customWidth="1"/>
    <col min="5870" max="5870" width="9.42578125" style="1766" bestFit="1" customWidth="1"/>
    <col min="5871" max="5871" width="9.85546875" style="1766" bestFit="1" customWidth="1"/>
    <col min="5872" max="5872" width="11.28515625" style="1766" bestFit="1" customWidth="1"/>
    <col min="5873" max="5873" width="9.140625" style="1766"/>
    <col min="5874" max="5875" width="3.7109375" style="1766" customWidth="1"/>
    <col min="5876" max="5876" width="18.85546875" style="1766" customWidth="1"/>
    <col min="5877" max="5877" width="19.7109375" style="1766" customWidth="1"/>
    <col min="5878" max="5878" width="13.5703125" style="1766" customWidth="1"/>
    <col min="5879" max="5881" width="11.7109375" style="1766" customWidth="1"/>
    <col min="5882" max="5882" width="12.7109375" style="1766" customWidth="1"/>
    <col min="5883" max="5892" width="11.7109375" style="1766" customWidth="1"/>
    <col min="5893" max="6120" width="8" style="1766" customWidth="1"/>
    <col min="6121" max="6121" width="2.42578125" style="1766" bestFit="1" customWidth="1"/>
    <col min="6122" max="6122" width="28.28515625" style="1766" bestFit="1" customWidth="1"/>
    <col min="6123" max="6123" width="14.28515625" style="1766" bestFit="1" customWidth="1"/>
    <col min="6124" max="6124" width="13.5703125" style="1766" bestFit="1" customWidth="1"/>
    <col min="6125" max="6125" width="10.7109375" style="1766" bestFit="1" customWidth="1"/>
    <col min="6126" max="6126" width="9.42578125" style="1766" bestFit="1" customWidth="1"/>
    <col min="6127" max="6127" width="9.85546875" style="1766" bestFit="1" customWidth="1"/>
    <col min="6128" max="6128" width="11.28515625" style="1766" bestFit="1" customWidth="1"/>
    <col min="6129" max="6129" width="9.140625" style="1766"/>
    <col min="6130" max="6131" width="3.7109375" style="1766" customWidth="1"/>
    <col min="6132" max="6132" width="18.85546875" style="1766" customWidth="1"/>
    <col min="6133" max="6133" width="19.7109375" style="1766" customWidth="1"/>
    <col min="6134" max="6134" width="13.5703125" style="1766" customWidth="1"/>
    <col min="6135" max="6137" width="11.7109375" style="1766" customWidth="1"/>
    <col min="6138" max="6138" width="12.7109375" style="1766" customWidth="1"/>
    <col min="6139" max="6148" width="11.7109375" style="1766" customWidth="1"/>
    <col min="6149" max="6376" width="8" style="1766" customWidth="1"/>
    <col min="6377" max="6377" width="2.42578125" style="1766" bestFit="1" customWidth="1"/>
    <col min="6378" max="6378" width="28.28515625" style="1766" bestFit="1" customWidth="1"/>
    <col min="6379" max="6379" width="14.28515625" style="1766" bestFit="1" customWidth="1"/>
    <col min="6380" max="6380" width="13.5703125" style="1766" bestFit="1" customWidth="1"/>
    <col min="6381" max="6381" width="10.7109375" style="1766" bestFit="1" customWidth="1"/>
    <col min="6382" max="6382" width="9.42578125" style="1766" bestFit="1" customWidth="1"/>
    <col min="6383" max="6383" width="9.85546875" style="1766" bestFit="1" customWidth="1"/>
    <col min="6384" max="6384" width="11.28515625" style="1766" bestFit="1" customWidth="1"/>
    <col min="6385" max="6385" width="9.140625" style="1766"/>
    <col min="6386" max="6387" width="3.7109375" style="1766" customWidth="1"/>
    <col min="6388" max="6388" width="18.85546875" style="1766" customWidth="1"/>
    <col min="6389" max="6389" width="19.7109375" style="1766" customWidth="1"/>
    <col min="6390" max="6390" width="13.5703125" style="1766" customWidth="1"/>
    <col min="6391" max="6393" width="11.7109375" style="1766" customWidth="1"/>
    <col min="6394" max="6394" width="12.7109375" style="1766" customWidth="1"/>
    <col min="6395" max="6404" width="11.7109375" style="1766" customWidth="1"/>
    <col min="6405" max="6632" width="8" style="1766" customWidth="1"/>
    <col min="6633" max="6633" width="2.42578125" style="1766" bestFit="1" customWidth="1"/>
    <col min="6634" max="6634" width="28.28515625" style="1766" bestFit="1" customWidth="1"/>
    <col min="6635" max="6635" width="14.28515625" style="1766" bestFit="1" customWidth="1"/>
    <col min="6636" max="6636" width="13.5703125" style="1766" bestFit="1" customWidth="1"/>
    <col min="6637" max="6637" width="10.7109375" style="1766" bestFit="1" customWidth="1"/>
    <col min="6638" max="6638" width="9.42578125" style="1766" bestFit="1" customWidth="1"/>
    <col min="6639" max="6639" width="9.85546875" style="1766" bestFit="1" customWidth="1"/>
    <col min="6640" max="6640" width="11.28515625" style="1766" bestFit="1" customWidth="1"/>
    <col min="6641" max="6641" width="9.140625" style="1766"/>
    <col min="6642" max="6643" width="3.7109375" style="1766" customWidth="1"/>
    <col min="6644" max="6644" width="18.85546875" style="1766" customWidth="1"/>
    <col min="6645" max="6645" width="19.7109375" style="1766" customWidth="1"/>
    <col min="6646" max="6646" width="13.5703125" style="1766" customWidth="1"/>
    <col min="6647" max="6649" width="11.7109375" style="1766" customWidth="1"/>
    <col min="6650" max="6650" width="12.7109375" style="1766" customWidth="1"/>
    <col min="6651" max="6660" width="11.7109375" style="1766" customWidth="1"/>
    <col min="6661" max="6888" width="8" style="1766" customWidth="1"/>
    <col min="6889" max="6889" width="2.42578125" style="1766" bestFit="1" customWidth="1"/>
    <col min="6890" max="6890" width="28.28515625" style="1766" bestFit="1" customWidth="1"/>
    <col min="6891" max="6891" width="14.28515625" style="1766" bestFit="1" customWidth="1"/>
    <col min="6892" max="6892" width="13.5703125" style="1766" bestFit="1" customWidth="1"/>
    <col min="6893" max="6893" width="10.7109375" style="1766" bestFit="1" customWidth="1"/>
    <col min="6894" max="6894" width="9.42578125" style="1766" bestFit="1" customWidth="1"/>
    <col min="6895" max="6895" width="9.85546875" style="1766" bestFit="1" customWidth="1"/>
    <col min="6896" max="6896" width="11.28515625" style="1766" bestFit="1" customWidth="1"/>
    <col min="6897" max="6897" width="9.140625" style="1766"/>
    <col min="6898" max="6899" width="3.7109375" style="1766" customWidth="1"/>
    <col min="6900" max="6900" width="18.85546875" style="1766" customWidth="1"/>
    <col min="6901" max="6901" width="19.7109375" style="1766" customWidth="1"/>
    <col min="6902" max="6902" width="13.5703125" style="1766" customWidth="1"/>
    <col min="6903" max="6905" width="11.7109375" style="1766" customWidth="1"/>
    <col min="6906" max="6906" width="12.7109375" style="1766" customWidth="1"/>
    <col min="6907" max="6916" width="11.7109375" style="1766" customWidth="1"/>
    <col min="6917" max="7144" width="8" style="1766" customWidth="1"/>
    <col min="7145" max="7145" width="2.42578125" style="1766" bestFit="1" customWidth="1"/>
    <col min="7146" max="7146" width="28.28515625" style="1766" bestFit="1" customWidth="1"/>
    <col min="7147" max="7147" width="14.28515625" style="1766" bestFit="1" customWidth="1"/>
    <col min="7148" max="7148" width="13.5703125" style="1766" bestFit="1" customWidth="1"/>
    <col min="7149" max="7149" width="10.7109375" style="1766" bestFit="1" customWidth="1"/>
    <col min="7150" max="7150" width="9.42578125" style="1766" bestFit="1" customWidth="1"/>
    <col min="7151" max="7151" width="9.85546875" style="1766" bestFit="1" customWidth="1"/>
    <col min="7152" max="7152" width="11.28515625" style="1766" bestFit="1" customWidth="1"/>
    <col min="7153" max="7153" width="9.140625" style="1766"/>
    <col min="7154" max="7155" width="3.7109375" style="1766" customWidth="1"/>
    <col min="7156" max="7156" width="18.85546875" style="1766" customWidth="1"/>
    <col min="7157" max="7157" width="19.7109375" style="1766" customWidth="1"/>
    <col min="7158" max="7158" width="13.5703125" style="1766" customWidth="1"/>
    <col min="7159" max="7161" width="11.7109375" style="1766" customWidth="1"/>
    <col min="7162" max="7162" width="12.7109375" style="1766" customWidth="1"/>
    <col min="7163" max="7172" width="11.7109375" style="1766" customWidth="1"/>
    <col min="7173" max="7400" width="8" style="1766" customWidth="1"/>
    <col min="7401" max="7401" width="2.42578125" style="1766" bestFit="1" customWidth="1"/>
    <col min="7402" max="7402" width="28.28515625" style="1766" bestFit="1" customWidth="1"/>
    <col min="7403" max="7403" width="14.28515625" style="1766" bestFit="1" customWidth="1"/>
    <col min="7404" max="7404" width="13.5703125" style="1766" bestFit="1" customWidth="1"/>
    <col min="7405" max="7405" width="10.7109375" style="1766" bestFit="1" customWidth="1"/>
    <col min="7406" max="7406" width="9.42578125" style="1766" bestFit="1" customWidth="1"/>
    <col min="7407" max="7407" width="9.85546875" style="1766" bestFit="1" customWidth="1"/>
    <col min="7408" max="7408" width="11.28515625" style="1766" bestFit="1" customWidth="1"/>
    <col min="7409" max="7409" width="9.140625" style="1766"/>
    <col min="7410" max="7411" width="3.7109375" style="1766" customWidth="1"/>
    <col min="7412" max="7412" width="18.85546875" style="1766" customWidth="1"/>
    <col min="7413" max="7413" width="19.7109375" style="1766" customWidth="1"/>
    <col min="7414" max="7414" width="13.5703125" style="1766" customWidth="1"/>
    <col min="7415" max="7417" width="11.7109375" style="1766" customWidth="1"/>
    <col min="7418" max="7418" width="12.7109375" style="1766" customWidth="1"/>
    <col min="7419" max="7428" width="11.7109375" style="1766" customWidth="1"/>
    <col min="7429" max="7656" width="8" style="1766" customWidth="1"/>
    <col min="7657" max="7657" width="2.42578125" style="1766" bestFit="1" customWidth="1"/>
    <col min="7658" max="7658" width="28.28515625" style="1766" bestFit="1" customWidth="1"/>
    <col min="7659" max="7659" width="14.28515625" style="1766" bestFit="1" customWidth="1"/>
    <col min="7660" max="7660" width="13.5703125" style="1766" bestFit="1" customWidth="1"/>
    <col min="7661" max="7661" width="10.7109375" style="1766" bestFit="1" customWidth="1"/>
    <col min="7662" max="7662" width="9.42578125" style="1766" bestFit="1" customWidth="1"/>
    <col min="7663" max="7663" width="9.85546875" style="1766" bestFit="1" customWidth="1"/>
    <col min="7664" max="7664" width="11.28515625" style="1766" bestFit="1" customWidth="1"/>
    <col min="7665" max="7665" width="9.140625" style="1766"/>
    <col min="7666" max="7667" width="3.7109375" style="1766" customWidth="1"/>
    <col min="7668" max="7668" width="18.85546875" style="1766" customWidth="1"/>
    <col min="7669" max="7669" width="19.7109375" style="1766" customWidth="1"/>
    <col min="7670" max="7670" width="13.5703125" style="1766" customWidth="1"/>
    <col min="7671" max="7673" width="11.7109375" style="1766" customWidth="1"/>
    <col min="7674" max="7674" width="12.7109375" style="1766" customWidth="1"/>
    <col min="7675" max="7684" width="11.7109375" style="1766" customWidth="1"/>
    <col min="7685" max="7912" width="8" style="1766" customWidth="1"/>
    <col min="7913" max="7913" width="2.42578125" style="1766" bestFit="1" customWidth="1"/>
    <col min="7914" max="7914" width="28.28515625" style="1766" bestFit="1" customWidth="1"/>
    <col min="7915" max="7915" width="14.28515625" style="1766" bestFit="1" customWidth="1"/>
    <col min="7916" max="7916" width="13.5703125" style="1766" bestFit="1" customWidth="1"/>
    <col min="7917" max="7917" width="10.7109375" style="1766" bestFit="1" customWidth="1"/>
    <col min="7918" max="7918" width="9.42578125" style="1766" bestFit="1" customWidth="1"/>
    <col min="7919" max="7919" width="9.85546875" style="1766" bestFit="1" customWidth="1"/>
    <col min="7920" max="7920" width="11.28515625" style="1766" bestFit="1" customWidth="1"/>
    <col min="7921" max="7921" width="9.140625" style="1766"/>
    <col min="7922" max="7923" width="3.7109375" style="1766" customWidth="1"/>
    <col min="7924" max="7924" width="18.85546875" style="1766" customWidth="1"/>
    <col min="7925" max="7925" width="19.7109375" style="1766" customWidth="1"/>
    <col min="7926" max="7926" width="13.5703125" style="1766" customWidth="1"/>
    <col min="7927" max="7929" width="11.7109375" style="1766" customWidth="1"/>
    <col min="7930" max="7930" width="12.7109375" style="1766" customWidth="1"/>
    <col min="7931" max="7940" width="11.7109375" style="1766" customWidth="1"/>
    <col min="7941" max="8168" width="8" style="1766" customWidth="1"/>
    <col min="8169" max="8169" width="2.42578125" style="1766" bestFit="1" customWidth="1"/>
    <col min="8170" max="8170" width="28.28515625" style="1766" bestFit="1" customWidth="1"/>
    <col min="8171" max="8171" width="14.28515625" style="1766" bestFit="1" customWidth="1"/>
    <col min="8172" max="8172" width="13.5703125" style="1766" bestFit="1" customWidth="1"/>
    <col min="8173" max="8173" width="10.7109375" style="1766" bestFit="1" customWidth="1"/>
    <col min="8174" max="8174" width="9.42578125" style="1766" bestFit="1" customWidth="1"/>
    <col min="8175" max="8175" width="9.85546875" style="1766" bestFit="1" customWidth="1"/>
    <col min="8176" max="8176" width="11.28515625" style="1766" bestFit="1" customWidth="1"/>
    <col min="8177" max="8177" width="9.140625" style="1766"/>
    <col min="8178" max="8179" width="3.7109375" style="1766" customWidth="1"/>
    <col min="8180" max="8180" width="18.85546875" style="1766" customWidth="1"/>
    <col min="8181" max="8181" width="19.7109375" style="1766" customWidth="1"/>
    <col min="8182" max="8182" width="13.5703125" style="1766" customWidth="1"/>
    <col min="8183" max="8185" width="11.7109375" style="1766" customWidth="1"/>
    <col min="8186" max="8186" width="12.7109375" style="1766" customWidth="1"/>
    <col min="8187" max="8196" width="11.7109375" style="1766" customWidth="1"/>
    <col min="8197" max="8424" width="8" style="1766" customWidth="1"/>
    <col min="8425" max="8425" width="2.42578125" style="1766" bestFit="1" customWidth="1"/>
    <col min="8426" max="8426" width="28.28515625" style="1766" bestFit="1" customWidth="1"/>
    <col min="8427" max="8427" width="14.28515625" style="1766" bestFit="1" customWidth="1"/>
    <col min="8428" max="8428" width="13.5703125" style="1766" bestFit="1" customWidth="1"/>
    <col min="8429" max="8429" width="10.7109375" style="1766" bestFit="1" customWidth="1"/>
    <col min="8430" max="8430" width="9.42578125" style="1766" bestFit="1" customWidth="1"/>
    <col min="8431" max="8431" width="9.85546875" style="1766" bestFit="1" customWidth="1"/>
    <col min="8432" max="8432" width="11.28515625" style="1766" bestFit="1" customWidth="1"/>
    <col min="8433" max="8433" width="9.140625" style="1766"/>
    <col min="8434" max="8435" width="3.7109375" style="1766" customWidth="1"/>
    <col min="8436" max="8436" width="18.85546875" style="1766" customWidth="1"/>
    <col min="8437" max="8437" width="19.7109375" style="1766" customWidth="1"/>
    <col min="8438" max="8438" width="13.5703125" style="1766" customWidth="1"/>
    <col min="8439" max="8441" width="11.7109375" style="1766" customWidth="1"/>
    <col min="8442" max="8442" width="12.7109375" style="1766" customWidth="1"/>
    <col min="8443" max="8452" width="11.7109375" style="1766" customWidth="1"/>
    <col min="8453" max="8680" width="8" style="1766" customWidth="1"/>
    <col min="8681" max="8681" width="2.42578125" style="1766" bestFit="1" customWidth="1"/>
    <col min="8682" max="8682" width="28.28515625" style="1766" bestFit="1" customWidth="1"/>
    <col min="8683" max="8683" width="14.28515625" style="1766" bestFit="1" customWidth="1"/>
    <col min="8684" max="8684" width="13.5703125" style="1766" bestFit="1" customWidth="1"/>
    <col min="8685" max="8685" width="10.7109375" style="1766" bestFit="1" customWidth="1"/>
    <col min="8686" max="8686" width="9.42578125" style="1766" bestFit="1" customWidth="1"/>
    <col min="8687" max="8687" width="9.85546875" style="1766" bestFit="1" customWidth="1"/>
    <col min="8688" max="8688" width="11.28515625" style="1766" bestFit="1" customWidth="1"/>
    <col min="8689" max="8689" width="9.140625" style="1766"/>
    <col min="8690" max="8691" width="3.7109375" style="1766" customWidth="1"/>
    <col min="8692" max="8692" width="18.85546875" style="1766" customWidth="1"/>
    <col min="8693" max="8693" width="19.7109375" style="1766" customWidth="1"/>
    <col min="8694" max="8694" width="13.5703125" style="1766" customWidth="1"/>
    <col min="8695" max="8697" width="11.7109375" style="1766" customWidth="1"/>
    <col min="8698" max="8698" width="12.7109375" style="1766" customWidth="1"/>
    <col min="8699" max="8708" width="11.7109375" style="1766" customWidth="1"/>
    <col min="8709" max="8936" width="8" style="1766" customWidth="1"/>
    <col min="8937" max="8937" width="2.42578125" style="1766" bestFit="1" customWidth="1"/>
    <col min="8938" max="8938" width="28.28515625" style="1766" bestFit="1" customWidth="1"/>
    <col min="8939" max="8939" width="14.28515625" style="1766" bestFit="1" customWidth="1"/>
    <col min="8940" max="8940" width="13.5703125" style="1766" bestFit="1" customWidth="1"/>
    <col min="8941" max="8941" width="10.7109375" style="1766" bestFit="1" customWidth="1"/>
    <col min="8942" max="8942" width="9.42578125" style="1766" bestFit="1" customWidth="1"/>
    <col min="8943" max="8943" width="9.85546875" style="1766" bestFit="1" customWidth="1"/>
    <col min="8944" max="8944" width="11.28515625" style="1766" bestFit="1" customWidth="1"/>
    <col min="8945" max="8945" width="9.140625" style="1766"/>
    <col min="8946" max="8947" width="3.7109375" style="1766" customWidth="1"/>
    <col min="8948" max="8948" width="18.85546875" style="1766" customWidth="1"/>
    <col min="8949" max="8949" width="19.7109375" style="1766" customWidth="1"/>
    <col min="8950" max="8950" width="13.5703125" style="1766" customWidth="1"/>
    <col min="8951" max="8953" width="11.7109375" style="1766" customWidth="1"/>
    <col min="8954" max="8954" width="12.7109375" style="1766" customWidth="1"/>
    <col min="8955" max="8964" width="11.7109375" style="1766" customWidth="1"/>
    <col min="8965" max="9192" width="8" style="1766" customWidth="1"/>
    <col min="9193" max="9193" width="2.42578125" style="1766" bestFit="1" customWidth="1"/>
    <col min="9194" max="9194" width="28.28515625" style="1766" bestFit="1" customWidth="1"/>
    <col min="9195" max="9195" width="14.28515625" style="1766" bestFit="1" customWidth="1"/>
    <col min="9196" max="9196" width="13.5703125" style="1766" bestFit="1" customWidth="1"/>
    <col min="9197" max="9197" width="10.7109375" style="1766" bestFit="1" customWidth="1"/>
    <col min="9198" max="9198" width="9.42578125" style="1766" bestFit="1" customWidth="1"/>
    <col min="9199" max="9199" width="9.85546875" style="1766" bestFit="1" customWidth="1"/>
    <col min="9200" max="9200" width="11.28515625" style="1766" bestFit="1" customWidth="1"/>
    <col min="9201" max="9201" width="9.140625" style="1766"/>
    <col min="9202" max="9203" width="3.7109375" style="1766" customWidth="1"/>
    <col min="9204" max="9204" width="18.85546875" style="1766" customWidth="1"/>
    <col min="9205" max="9205" width="19.7109375" style="1766" customWidth="1"/>
    <col min="9206" max="9206" width="13.5703125" style="1766" customWidth="1"/>
    <col min="9207" max="9209" width="11.7109375" style="1766" customWidth="1"/>
    <col min="9210" max="9210" width="12.7109375" style="1766" customWidth="1"/>
    <col min="9211" max="9220" width="11.7109375" style="1766" customWidth="1"/>
    <col min="9221" max="9448" width="8" style="1766" customWidth="1"/>
    <col min="9449" max="9449" width="2.42578125" style="1766" bestFit="1" customWidth="1"/>
    <col min="9450" max="9450" width="28.28515625" style="1766" bestFit="1" customWidth="1"/>
    <col min="9451" max="9451" width="14.28515625" style="1766" bestFit="1" customWidth="1"/>
    <col min="9452" max="9452" width="13.5703125" style="1766" bestFit="1" customWidth="1"/>
    <col min="9453" max="9453" width="10.7109375" style="1766" bestFit="1" customWidth="1"/>
    <col min="9454" max="9454" width="9.42578125" style="1766" bestFit="1" customWidth="1"/>
    <col min="9455" max="9455" width="9.85546875" style="1766" bestFit="1" customWidth="1"/>
    <col min="9456" max="9456" width="11.28515625" style="1766" bestFit="1" customWidth="1"/>
    <col min="9457" max="9457" width="9.140625" style="1766"/>
    <col min="9458" max="9459" width="3.7109375" style="1766" customWidth="1"/>
    <col min="9460" max="9460" width="18.85546875" style="1766" customWidth="1"/>
    <col min="9461" max="9461" width="19.7109375" style="1766" customWidth="1"/>
    <col min="9462" max="9462" width="13.5703125" style="1766" customWidth="1"/>
    <col min="9463" max="9465" width="11.7109375" style="1766" customWidth="1"/>
    <col min="9466" max="9466" width="12.7109375" style="1766" customWidth="1"/>
    <col min="9467" max="9476" width="11.7109375" style="1766" customWidth="1"/>
    <col min="9477" max="9704" width="8" style="1766" customWidth="1"/>
    <col min="9705" max="9705" width="2.42578125" style="1766" bestFit="1" customWidth="1"/>
    <col min="9706" max="9706" width="28.28515625" style="1766" bestFit="1" customWidth="1"/>
    <col min="9707" max="9707" width="14.28515625" style="1766" bestFit="1" customWidth="1"/>
    <col min="9708" max="9708" width="13.5703125" style="1766" bestFit="1" customWidth="1"/>
    <col min="9709" max="9709" width="10.7109375" style="1766" bestFit="1" customWidth="1"/>
    <col min="9710" max="9710" width="9.42578125" style="1766" bestFit="1" customWidth="1"/>
    <col min="9711" max="9711" width="9.85546875" style="1766" bestFit="1" customWidth="1"/>
    <col min="9712" max="9712" width="11.28515625" style="1766" bestFit="1" customWidth="1"/>
    <col min="9713" max="9713" width="9.140625" style="1766"/>
    <col min="9714" max="9715" width="3.7109375" style="1766" customWidth="1"/>
    <col min="9716" max="9716" width="18.85546875" style="1766" customWidth="1"/>
    <col min="9717" max="9717" width="19.7109375" style="1766" customWidth="1"/>
    <col min="9718" max="9718" width="13.5703125" style="1766" customWidth="1"/>
    <col min="9719" max="9721" width="11.7109375" style="1766" customWidth="1"/>
    <col min="9722" max="9722" width="12.7109375" style="1766" customWidth="1"/>
    <col min="9723" max="9732" width="11.7109375" style="1766" customWidth="1"/>
    <col min="9733" max="9960" width="8" style="1766" customWidth="1"/>
    <col min="9961" max="9961" width="2.42578125" style="1766" bestFit="1" customWidth="1"/>
    <col min="9962" max="9962" width="28.28515625" style="1766" bestFit="1" customWidth="1"/>
    <col min="9963" max="9963" width="14.28515625" style="1766" bestFit="1" customWidth="1"/>
    <col min="9964" max="9964" width="13.5703125" style="1766" bestFit="1" customWidth="1"/>
    <col min="9965" max="9965" width="10.7109375" style="1766" bestFit="1" customWidth="1"/>
    <col min="9966" max="9966" width="9.42578125" style="1766" bestFit="1" customWidth="1"/>
    <col min="9967" max="9967" width="9.85546875" style="1766" bestFit="1" customWidth="1"/>
    <col min="9968" max="9968" width="11.28515625" style="1766" bestFit="1" customWidth="1"/>
    <col min="9969" max="9969" width="9.140625" style="1766"/>
    <col min="9970" max="9971" width="3.7109375" style="1766" customWidth="1"/>
    <col min="9972" max="9972" width="18.85546875" style="1766" customWidth="1"/>
    <col min="9973" max="9973" width="19.7109375" style="1766" customWidth="1"/>
    <col min="9974" max="9974" width="13.5703125" style="1766" customWidth="1"/>
    <col min="9975" max="9977" width="11.7109375" style="1766" customWidth="1"/>
    <col min="9978" max="9978" width="12.7109375" style="1766" customWidth="1"/>
    <col min="9979" max="9988" width="11.7109375" style="1766" customWidth="1"/>
    <col min="9989" max="10216" width="8" style="1766" customWidth="1"/>
    <col min="10217" max="10217" width="2.42578125" style="1766" bestFit="1" customWidth="1"/>
    <col min="10218" max="10218" width="28.28515625" style="1766" bestFit="1" customWidth="1"/>
    <col min="10219" max="10219" width="14.28515625" style="1766" bestFit="1" customWidth="1"/>
    <col min="10220" max="10220" width="13.5703125" style="1766" bestFit="1" customWidth="1"/>
    <col min="10221" max="10221" width="10.7109375" style="1766" bestFit="1" customWidth="1"/>
    <col min="10222" max="10222" width="9.42578125" style="1766" bestFit="1" customWidth="1"/>
    <col min="10223" max="10223" width="9.85546875" style="1766" bestFit="1" customWidth="1"/>
    <col min="10224" max="10224" width="11.28515625" style="1766" bestFit="1" customWidth="1"/>
    <col min="10225" max="10225" width="9.140625" style="1766"/>
    <col min="10226" max="10227" width="3.7109375" style="1766" customWidth="1"/>
    <col min="10228" max="10228" width="18.85546875" style="1766" customWidth="1"/>
    <col min="10229" max="10229" width="19.7109375" style="1766" customWidth="1"/>
    <col min="10230" max="10230" width="13.5703125" style="1766" customWidth="1"/>
    <col min="10231" max="10233" width="11.7109375" style="1766" customWidth="1"/>
    <col min="10234" max="10234" width="12.7109375" style="1766" customWidth="1"/>
    <col min="10235" max="10244" width="11.7109375" style="1766" customWidth="1"/>
    <col min="10245" max="10472" width="8" style="1766" customWidth="1"/>
    <col min="10473" max="10473" width="2.42578125" style="1766" bestFit="1" customWidth="1"/>
    <col min="10474" max="10474" width="28.28515625" style="1766" bestFit="1" customWidth="1"/>
    <col min="10475" max="10475" width="14.28515625" style="1766" bestFit="1" customWidth="1"/>
    <col min="10476" max="10476" width="13.5703125" style="1766" bestFit="1" customWidth="1"/>
    <col min="10477" max="10477" width="10.7109375" style="1766" bestFit="1" customWidth="1"/>
    <col min="10478" max="10478" width="9.42578125" style="1766" bestFit="1" customWidth="1"/>
    <col min="10479" max="10479" width="9.85546875" style="1766" bestFit="1" customWidth="1"/>
    <col min="10480" max="10480" width="11.28515625" style="1766" bestFit="1" customWidth="1"/>
    <col min="10481" max="10481" width="9.140625" style="1766"/>
    <col min="10482" max="10483" width="3.7109375" style="1766" customWidth="1"/>
    <col min="10484" max="10484" width="18.85546875" style="1766" customWidth="1"/>
    <col min="10485" max="10485" width="19.7109375" style="1766" customWidth="1"/>
    <col min="10486" max="10486" width="13.5703125" style="1766" customWidth="1"/>
    <col min="10487" max="10489" width="11.7109375" style="1766" customWidth="1"/>
    <col min="10490" max="10490" width="12.7109375" style="1766" customWidth="1"/>
    <col min="10491" max="10500" width="11.7109375" style="1766" customWidth="1"/>
    <col min="10501" max="10728" width="8" style="1766" customWidth="1"/>
    <col min="10729" max="10729" width="2.42578125" style="1766" bestFit="1" customWidth="1"/>
    <col min="10730" max="10730" width="28.28515625" style="1766" bestFit="1" customWidth="1"/>
    <col min="10731" max="10731" width="14.28515625" style="1766" bestFit="1" customWidth="1"/>
    <col min="10732" max="10732" width="13.5703125" style="1766" bestFit="1" customWidth="1"/>
    <col min="10733" max="10733" width="10.7109375" style="1766" bestFit="1" customWidth="1"/>
    <col min="10734" max="10734" width="9.42578125" style="1766" bestFit="1" customWidth="1"/>
    <col min="10735" max="10735" width="9.85546875" style="1766" bestFit="1" customWidth="1"/>
    <col min="10736" max="10736" width="11.28515625" style="1766" bestFit="1" customWidth="1"/>
    <col min="10737" max="10737" width="9.140625" style="1766"/>
    <col min="10738" max="10739" width="3.7109375" style="1766" customWidth="1"/>
    <col min="10740" max="10740" width="18.85546875" style="1766" customWidth="1"/>
    <col min="10741" max="10741" width="19.7109375" style="1766" customWidth="1"/>
    <col min="10742" max="10742" width="13.5703125" style="1766" customWidth="1"/>
    <col min="10743" max="10745" width="11.7109375" style="1766" customWidth="1"/>
    <col min="10746" max="10746" width="12.7109375" style="1766" customWidth="1"/>
    <col min="10747" max="10756" width="11.7109375" style="1766" customWidth="1"/>
    <col min="10757" max="10984" width="8" style="1766" customWidth="1"/>
    <col min="10985" max="10985" width="2.42578125" style="1766" bestFit="1" customWidth="1"/>
    <col min="10986" max="10986" width="28.28515625" style="1766" bestFit="1" customWidth="1"/>
    <col min="10987" max="10987" width="14.28515625" style="1766" bestFit="1" customWidth="1"/>
    <col min="10988" max="10988" width="13.5703125" style="1766" bestFit="1" customWidth="1"/>
    <col min="10989" max="10989" width="10.7109375" style="1766" bestFit="1" customWidth="1"/>
    <col min="10990" max="10990" width="9.42578125" style="1766" bestFit="1" customWidth="1"/>
    <col min="10991" max="10991" width="9.85546875" style="1766" bestFit="1" customWidth="1"/>
    <col min="10992" max="10992" width="11.28515625" style="1766" bestFit="1" customWidth="1"/>
    <col min="10993" max="10993" width="9.140625" style="1766"/>
    <col min="10994" max="10995" width="3.7109375" style="1766" customWidth="1"/>
    <col min="10996" max="10996" width="18.85546875" style="1766" customWidth="1"/>
    <col min="10997" max="10997" width="19.7109375" style="1766" customWidth="1"/>
    <col min="10998" max="10998" width="13.5703125" style="1766" customWidth="1"/>
    <col min="10999" max="11001" width="11.7109375" style="1766" customWidth="1"/>
    <col min="11002" max="11002" width="12.7109375" style="1766" customWidth="1"/>
    <col min="11003" max="11012" width="11.7109375" style="1766" customWidth="1"/>
    <col min="11013" max="11240" width="8" style="1766" customWidth="1"/>
    <col min="11241" max="11241" width="2.42578125" style="1766" bestFit="1" customWidth="1"/>
    <col min="11242" max="11242" width="28.28515625" style="1766" bestFit="1" customWidth="1"/>
    <col min="11243" max="11243" width="14.28515625" style="1766" bestFit="1" customWidth="1"/>
    <col min="11244" max="11244" width="13.5703125" style="1766" bestFit="1" customWidth="1"/>
    <col min="11245" max="11245" width="10.7109375" style="1766" bestFit="1" customWidth="1"/>
    <col min="11246" max="11246" width="9.42578125" style="1766" bestFit="1" customWidth="1"/>
    <col min="11247" max="11247" width="9.85546875" style="1766" bestFit="1" customWidth="1"/>
    <col min="11248" max="11248" width="11.28515625" style="1766" bestFit="1" customWidth="1"/>
    <col min="11249" max="11249" width="9.140625" style="1766"/>
    <col min="11250" max="11251" width="3.7109375" style="1766" customWidth="1"/>
    <col min="11252" max="11252" width="18.85546875" style="1766" customWidth="1"/>
    <col min="11253" max="11253" width="19.7109375" style="1766" customWidth="1"/>
    <col min="11254" max="11254" width="13.5703125" style="1766" customWidth="1"/>
    <col min="11255" max="11257" width="11.7109375" style="1766" customWidth="1"/>
    <col min="11258" max="11258" width="12.7109375" style="1766" customWidth="1"/>
    <col min="11259" max="11268" width="11.7109375" style="1766" customWidth="1"/>
    <col min="11269" max="11496" width="8" style="1766" customWidth="1"/>
    <col min="11497" max="11497" width="2.42578125" style="1766" bestFit="1" customWidth="1"/>
    <col min="11498" max="11498" width="28.28515625" style="1766" bestFit="1" customWidth="1"/>
    <col min="11499" max="11499" width="14.28515625" style="1766" bestFit="1" customWidth="1"/>
    <col min="11500" max="11500" width="13.5703125" style="1766" bestFit="1" customWidth="1"/>
    <col min="11501" max="11501" width="10.7109375" style="1766" bestFit="1" customWidth="1"/>
    <col min="11502" max="11502" width="9.42578125" style="1766" bestFit="1" customWidth="1"/>
    <col min="11503" max="11503" width="9.85546875" style="1766" bestFit="1" customWidth="1"/>
    <col min="11504" max="11504" width="11.28515625" style="1766" bestFit="1" customWidth="1"/>
    <col min="11505" max="11505" width="9.140625" style="1766"/>
    <col min="11506" max="11507" width="3.7109375" style="1766" customWidth="1"/>
    <col min="11508" max="11508" width="18.85546875" style="1766" customWidth="1"/>
    <col min="11509" max="11509" width="19.7109375" style="1766" customWidth="1"/>
    <col min="11510" max="11510" width="13.5703125" style="1766" customWidth="1"/>
    <col min="11511" max="11513" width="11.7109375" style="1766" customWidth="1"/>
    <col min="11514" max="11514" width="12.7109375" style="1766" customWidth="1"/>
    <col min="11515" max="11524" width="11.7109375" style="1766" customWidth="1"/>
    <col min="11525" max="11752" width="8" style="1766" customWidth="1"/>
    <col min="11753" max="11753" width="2.42578125" style="1766" bestFit="1" customWidth="1"/>
    <col min="11754" max="11754" width="28.28515625" style="1766" bestFit="1" customWidth="1"/>
    <col min="11755" max="11755" width="14.28515625" style="1766" bestFit="1" customWidth="1"/>
    <col min="11756" max="11756" width="13.5703125" style="1766" bestFit="1" customWidth="1"/>
    <col min="11757" max="11757" width="10.7109375" style="1766" bestFit="1" customWidth="1"/>
    <col min="11758" max="11758" width="9.42578125" style="1766" bestFit="1" customWidth="1"/>
    <col min="11759" max="11759" width="9.85546875" style="1766" bestFit="1" customWidth="1"/>
    <col min="11760" max="11760" width="11.28515625" style="1766" bestFit="1" customWidth="1"/>
    <col min="11761" max="11761" width="9.140625" style="1766"/>
    <col min="11762" max="11763" width="3.7109375" style="1766" customWidth="1"/>
    <col min="11764" max="11764" width="18.85546875" style="1766" customWidth="1"/>
    <col min="11765" max="11765" width="19.7109375" style="1766" customWidth="1"/>
    <col min="11766" max="11766" width="13.5703125" style="1766" customWidth="1"/>
    <col min="11767" max="11769" width="11.7109375" style="1766" customWidth="1"/>
    <col min="11770" max="11770" width="12.7109375" style="1766" customWidth="1"/>
    <col min="11771" max="11780" width="11.7109375" style="1766" customWidth="1"/>
    <col min="11781" max="12008" width="8" style="1766" customWidth="1"/>
    <col min="12009" max="12009" width="2.42578125" style="1766" bestFit="1" customWidth="1"/>
    <col min="12010" max="12010" width="28.28515625" style="1766" bestFit="1" customWidth="1"/>
    <col min="12011" max="12011" width="14.28515625" style="1766" bestFit="1" customWidth="1"/>
    <col min="12012" max="12012" width="13.5703125" style="1766" bestFit="1" customWidth="1"/>
    <col min="12013" max="12013" width="10.7109375" style="1766" bestFit="1" customWidth="1"/>
    <col min="12014" max="12014" width="9.42578125" style="1766" bestFit="1" customWidth="1"/>
    <col min="12015" max="12015" width="9.85546875" style="1766" bestFit="1" customWidth="1"/>
    <col min="12016" max="12016" width="11.28515625" style="1766" bestFit="1" customWidth="1"/>
    <col min="12017" max="12017" width="9.140625" style="1766"/>
    <col min="12018" max="12019" width="3.7109375" style="1766" customWidth="1"/>
    <col min="12020" max="12020" width="18.85546875" style="1766" customWidth="1"/>
    <col min="12021" max="12021" width="19.7109375" style="1766" customWidth="1"/>
    <col min="12022" max="12022" width="13.5703125" style="1766" customWidth="1"/>
    <col min="12023" max="12025" width="11.7109375" style="1766" customWidth="1"/>
    <col min="12026" max="12026" width="12.7109375" style="1766" customWidth="1"/>
    <col min="12027" max="12036" width="11.7109375" style="1766" customWidth="1"/>
    <col min="12037" max="12264" width="8" style="1766" customWidth="1"/>
    <col min="12265" max="12265" width="2.42578125" style="1766" bestFit="1" customWidth="1"/>
    <col min="12266" max="12266" width="28.28515625" style="1766" bestFit="1" customWidth="1"/>
    <col min="12267" max="12267" width="14.28515625" style="1766" bestFit="1" customWidth="1"/>
    <col min="12268" max="12268" width="13.5703125" style="1766" bestFit="1" customWidth="1"/>
    <col min="12269" max="12269" width="10.7109375" style="1766" bestFit="1" customWidth="1"/>
    <col min="12270" max="12270" width="9.42578125" style="1766" bestFit="1" customWidth="1"/>
    <col min="12271" max="12271" width="9.85546875" style="1766" bestFit="1" customWidth="1"/>
    <col min="12272" max="12272" width="11.28515625" style="1766" bestFit="1" customWidth="1"/>
    <col min="12273" max="12273" width="9.140625" style="1766"/>
    <col min="12274" max="12275" width="3.7109375" style="1766" customWidth="1"/>
    <col min="12276" max="12276" width="18.85546875" style="1766" customWidth="1"/>
    <col min="12277" max="12277" width="19.7109375" style="1766" customWidth="1"/>
    <col min="12278" max="12278" width="13.5703125" style="1766" customWidth="1"/>
    <col min="12279" max="12281" width="11.7109375" style="1766" customWidth="1"/>
    <col min="12282" max="12282" width="12.7109375" style="1766" customWidth="1"/>
    <col min="12283" max="12292" width="11.7109375" style="1766" customWidth="1"/>
    <col min="12293" max="12520" width="8" style="1766" customWidth="1"/>
    <col min="12521" max="12521" width="2.42578125" style="1766" bestFit="1" customWidth="1"/>
    <col min="12522" max="12522" width="28.28515625" style="1766" bestFit="1" customWidth="1"/>
    <col min="12523" max="12523" width="14.28515625" style="1766" bestFit="1" customWidth="1"/>
    <col min="12524" max="12524" width="13.5703125" style="1766" bestFit="1" customWidth="1"/>
    <col min="12525" max="12525" width="10.7109375" style="1766" bestFit="1" customWidth="1"/>
    <col min="12526" max="12526" width="9.42578125" style="1766" bestFit="1" customWidth="1"/>
    <col min="12527" max="12527" width="9.85546875" style="1766" bestFit="1" customWidth="1"/>
    <col min="12528" max="12528" width="11.28515625" style="1766" bestFit="1" customWidth="1"/>
    <col min="12529" max="12529" width="9.140625" style="1766"/>
    <col min="12530" max="12531" width="3.7109375" style="1766" customWidth="1"/>
    <col min="12532" max="12532" width="18.85546875" style="1766" customWidth="1"/>
    <col min="12533" max="12533" width="19.7109375" style="1766" customWidth="1"/>
    <col min="12534" max="12534" width="13.5703125" style="1766" customWidth="1"/>
    <col min="12535" max="12537" width="11.7109375" style="1766" customWidth="1"/>
    <col min="12538" max="12538" width="12.7109375" style="1766" customWidth="1"/>
    <col min="12539" max="12548" width="11.7109375" style="1766" customWidth="1"/>
    <col min="12549" max="12776" width="8" style="1766" customWidth="1"/>
    <col min="12777" max="12777" width="2.42578125" style="1766" bestFit="1" customWidth="1"/>
    <col min="12778" max="12778" width="28.28515625" style="1766" bestFit="1" customWidth="1"/>
    <col min="12779" max="12779" width="14.28515625" style="1766" bestFit="1" customWidth="1"/>
    <col min="12780" max="12780" width="13.5703125" style="1766" bestFit="1" customWidth="1"/>
    <col min="12781" max="12781" width="10.7109375" style="1766" bestFit="1" customWidth="1"/>
    <col min="12782" max="12782" width="9.42578125" style="1766" bestFit="1" customWidth="1"/>
    <col min="12783" max="12783" width="9.85546875" style="1766" bestFit="1" customWidth="1"/>
    <col min="12784" max="12784" width="11.28515625" style="1766" bestFit="1" customWidth="1"/>
    <col min="12785" max="12785" width="9.140625" style="1766"/>
    <col min="12786" max="12787" width="3.7109375" style="1766" customWidth="1"/>
    <col min="12788" max="12788" width="18.85546875" style="1766" customWidth="1"/>
    <col min="12789" max="12789" width="19.7109375" style="1766" customWidth="1"/>
    <col min="12790" max="12790" width="13.5703125" style="1766" customWidth="1"/>
    <col min="12791" max="12793" width="11.7109375" style="1766" customWidth="1"/>
    <col min="12794" max="12794" width="12.7109375" style="1766" customWidth="1"/>
    <col min="12795" max="12804" width="11.7109375" style="1766" customWidth="1"/>
    <col min="12805" max="13032" width="8" style="1766" customWidth="1"/>
    <col min="13033" max="13033" width="2.42578125" style="1766" bestFit="1" customWidth="1"/>
    <col min="13034" max="13034" width="28.28515625" style="1766" bestFit="1" customWidth="1"/>
    <col min="13035" max="13035" width="14.28515625" style="1766" bestFit="1" customWidth="1"/>
    <col min="13036" max="13036" width="13.5703125" style="1766" bestFit="1" customWidth="1"/>
    <col min="13037" max="13037" width="10.7109375" style="1766" bestFit="1" customWidth="1"/>
    <col min="13038" max="13038" width="9.42578125" style="1766" bestFit="1" customWidth="1"/>
    <col min="13039" max="13039" width="9.85546875" style="1766" bestFit="1" customWidth="1"/>
    <col min="13040" max="13040" width="11.28515625" style="1766" bestFit="1" customWidth="1"/>
    <col min="13041" max="13041" width="9.140625" style="1766"/>
    <col min="13042" max="13043" width="3.7109375" style="1766" customWidth="1"/>
    <col min="13044" max="13044" width="18.85546875" style="1766" customWidth="1"/>
    <col min="13045" max="13045" width="19.7109375" style="1766" customWidth="1"/>
    <col min="13046" max="13046" width="13.5703125" style="1766" customWidth="1"/>
    <col min="13047" max="13049" width="11.7109375" style="1766" customWidth="1"/>
    <col min="13050" max="13050" width="12.7109375" style="1766" customWidth="1"/>
    <col min="13051" max="13060" width="11.7109375" style="1766" customWidth="1"/>
    <col min="13061" max="13288" width="8" style="1766" customWidth="1"/>
    <col min="13289" max="13289" width="2.42578125" style="1766" bestFit="1" customWidth="1"/>
    <col min="13290" max="13290" width="28.28515625" style="1766" bestFit="1" customWidth="1"/>
    <col min="13291" max="13291" width="14.28515625" style="1766" bestFit="1" customWidth="1"/>
    <col min="13292" max="13292" width="13.5703125" style="1766" bestFit="1" customWidth="1"/>
    <col min="13293" max="13293" width="10.7109375" style="1766" bestFit="1" customWidth="1"/>
    <col min="13294" max="13294" width="9.42578125" style="1766" bestFit="1" customWidth="1"/>
    <col min="13295" max="13295" width="9.85546875" style="1766" bestFit="1" customWidth="1"/>
    <col min="13296" max="13296" width="11.28515625" style="1766" bestFit="1" customWidth="1"/>
    <col min="13297" max="13297" width="9.140625" style="1766"/>
    <col min="13298" max="13299" width="3.7109375" style="1766" customWidth="1"/>
    <col min="13300" max="13300" width="18.85546875" style="1766" customWidth="1"/>
    <col min="13301" max="13301" width="19.7109375" style="1766" customWidth="1"/>
    <col min="13302" max="13302" width="13.5703125" style="1766" customWidth="1"/>
    <col min="13303" max="13305" width="11.7109375" style="1766" customWidth="1"/>
    <col min="13306" max="13306" width="12.7109375" style="1766" customWidth="1"/>
    <col min="13307" max="13316" width="11.7109375" style="1766" customWidth="1"/>
    <col min="13317" max="13544" width="8" style="1766" customWidth="1"/>
    <col min="13545" max="13545" width="2.42578125" style="1766" bestFit="1" customWidth="1"/>
    <col min="13546" max="13546" width="28.28515625" style="1766" bestFit="1" customWidth="1"/>
    <col min="13547" max="13547" width="14.28515625" style="1766" bestFit="1" customWidth="1"/>
    <col min="13548" max="13548" width="13.5703125" style="1766" bestFit="1" customWidth="1"/>
    <col min="13549" max="13549" width="10.7109375" style="1766" bestFit="1" customWidth="1"/>
    <col min="13550" max="13550" width="9.42578125" style="1766" bestFit="1" customWidth="1"/>
    <col min="13551" max="13551" width="9.85546875" style="1766" bestFit="1" customWidth="1"/>
    <col min="13552" max="13552" width="11.28515625" style="1766" bestFit="1" customWidth="1"/>
    <col min="13553" max="13553" width="9.140625" style="1766"/>
    <col min="13554" max="13555" width="3.7109375" style="1766" customWidth="1"/>
    <col min="13556" max="13556" width="18.85546875" style="1766" customWidth="1"/>
    <col min="13557" max="13557" width="19.7109375" style="1766" customWidth="1"/>
    <col min="13558" max="13558" width="13.5703125" style="1766" customWidth="1"/>
    <col min="13559" max="13561" width="11.7109375" style="1766" customWidth="1"/>
    <col min="13562" max="13562" width="12.7109375" style="1766" customWidth="1"/>
    <col min="13563" max="13572" width="11.7109375" style="1766" customWidth="1"/>
    <col min="13573" max="13800" width="8" style="1766" customWidth="1"/>
    <col min="13801" max="13801" width="2.42578125" style="1766" bestFit="1" customWidth="1"/>
    <col min="13802" max="13802" width="28.28515625" style="1766" bestFit="1" customWidth="1"/>
    <col min="13803" max="13803" width="14.28515625" style="1766" bestFit="1" customWidth="1"/>
    <col min="13804" max="13804" width="13.5703125" style="1766" bestFit="1" customWidth="1"/>
    <col min="13805" max="13805" width="10.7109375" style="1766" bestFit="1" customWidth="1"/>
    <col min="13806" max="13806" width="9.42578125" style="1766" bestFit="1" customWidth="1"/>
    <col min="13807" max="13807" width="9.85546875" style="1766" bestFit="1" customWidth="1"/>
    <col min="13808" max="13808" width="11.28515625" style="1766" bestFit="1" customWidth="1"/>
    <col min="13809" max="13809" width="9.140625" style="1766"/>
    <col min="13810" max="13811" width="3.7109375" style="1766" customWidth="1"/>
    <col min="13812" max="13812" width="18.85546875" style="1766" customWidth="1"/>
    <col min="13813" max="13813" width="19.7109375" style="1766" customWidth="1"/>
    <col min="13814" max="13814" width="13.5703125" style="1766" customWidth="1"/>
    <col min="13815" max="13817" width="11.7109375" style="1766" customWidth="1"/>
    <col min="13818" max="13818" width="12.7109375" style="1766" customWidth="1"/>
    <col min="13819" max="13828" width="11.7109375" style="1766" customWidth="1"/>
    <col min="13829" max="14056" width="8" style="1766" customWidth="1"/>
    <col min="14057" max="14057" width="2.42578125" style="1766" bestFit="1" customWidth="1"/>
    <col min="14058" max="14058" width="28.28515625" style="1766" bestFit="1" customWidth="1"/>
    <col min="14059" max="14059" width="14.28515625" style="1766" bestFit="1" customWidth="1"/>
    <col min="14060" max="14060" width="13.5703125" style="1766" bestFit="1" customWidth="1"/>
    <col min="14061" max="14061" width="10.7109375" style="1766" bestFit="1" customWidth="1"/>
    <col min="14062" max="14062" width="9.42578125" style="1766" bestFit="1" customWidth="1"/>
    <col min="14063" max="14063" width="9.85546875" style="1766" bestFit="1" customWidth="1"/>
    <col min="14064" max="14064" width="11.28515625" style="1766" bestFit="1" customWidth="1"/>
    <col min="14065" max="14065" width="9.140625" style="1766"/>
    <col min="14066" max="14067" width="3.7109375" style="1766" customWidth="1"/>
    <col min="14068" max="14068" width="18.85546875" style="1766" customWidth="1"/>
    <col min="14069" max="14069" width="19.7109375" style="1766" customWidth="1"/>
    <col min="14070" max="14070" width="13.5703125" style="1766" customWidth="1"/>
    <col min="14071" max="14073" width="11.7109375" style="1766" customWidth="1"/>
    <col min="14074" max="14074" width="12.7109375" style="1766" customWidth="1"/>
    <col min="14075" max="14084" width="11.7109375" style="1766" customWidth="1"/>
    <col min="14085" max="14312" width="8" style="1766" customWidth="1"/>
    <col min="14313" max="14313" width="2.42578125" style="1766" bestFit="1" customWidth="1"/>
    <col min="14314" max="14314" width="28.28515625" style="1766" bestFit="1" customWidth="1"/>
    <col min="14315" max="14315" width="14.28515625" style="1766" bestFit="1" customWidth="1"/>
    <col min="14316" max="14316" width="13.5703125" style="1766" bestFit="1" customWidth="1"/>
    <col min="14317" max="14317" width="10.7109375" style="1766" bestFit="1" customWidth="1"/>
    <col min="14318" max="14318" width="9.42578125" style="1766" bestFit="1" customWidth="1"/>
    <col min="14319" max="14319" width="9.85546875" style="1766" bestFit="1" customWidth="1"/>
    <col min="14320" max="14320" width="11.28515625" style="1766" bestFit="1" customWidth="1"/>
    <col min="14321" max="14321" width="9.140625" style="1766"/>
    <col min="14322" max="14323" width="3.7109375" style="1766" customWidth="1"/>
    <col min="14324" max="14324" width="18.85546875" style="1766" customWidth="1"/>
    <col min="14325" max="14325" width="19.7109375" style="1766" customWidth="1"/>
    <col min="14326" max="14326" width="13.5703125" style="1766" customWidth="1"/>
    <col min="14327" max="14329" width="11.7109375" style="1766" customWidth="1"/>
    <col min="14330" max="14330" width="12.7109375" style="1766" customWidth="1"/>
    <col min="14331" max="14340" width="11.7109375" style="1766" customWidth="1"/>
    <col min="14341" max="14568" width="8" style="1766" customWidth="1"/>
    <col min="14569" max="14569" width="2.42578125" style="1766" bestFit="1" customWidth="1"/>
    <col min="14570" max="14570" width="28.28515625" style="1766" bestFit="1" customWidth="1"/>
    <col min="14571" max="14571" width="14.28515625" style="1766" bestFit="1" customWidth="1"/>
    <col min="14572" max="14572" width="13.5703125" style="1766" bestFit="1" customWidth="1"/>
    <col min="14573" max="14573" width="10.7109375" style="1766" bestFit="1" customWidth="1"/>
    <col min="14574" max="14574" width="9.42578125" style="1766" bestFit="1" customWidth="1"/>
    <col min="14575" max="14575" width="9.85546875" style="1766" bestFit="1" customWidth="1"/>
    <col min="14576" max="14576" width="11.28515625" style="1766" bestFit="1" customWidth="1"/>
    <col min="14577" max="14577" width="9.140625" style="1766"/>
    <col min="14578" max="14579" width="3.7109375" style="1766" customWidth="1"/>
    <col min="14580" max="14580" width="18.85546875" style="1766" customWidth="1"/>
    <col min="14581" max="14581" width="19.7109375" style="1766" customWidth="1"/>
    <col min="14582" max="14582" width="13.5703125" style="1766" customWidth="1"/>
    <col min="14583" max="14585" width="11.7109375" style="1766" customWidth="1"/>
    <col min="14586" max="14586" width="12.7109375" style="1766" customWidth="1"/>
    <col min="14587" max="14596" width="11.7109375" style="1766" customWidth="1"/>
    <col min="14597" max="14824" width="8" style="1766" customWidth="1"/>
    <col min="14825" max="14825" width="2.42578125" style="1766" bestFit="1" customWidth="1"/>
    <col min="14826" max="14826" width="28.28515625" style="1766" bestFit="1" customWidth="1"/>
    <col min="14827" max="14827" width="14.28515625" style="1766" bestFit="1" customWidth="1"/>
    <col min="14828" max="14828" width="13.5703125" style="1766" bestFit="1" customWidth="1"/>
    <col min="14829" max="14829" width="10.7109375" style="1766" bestFit="1" customWidth="1"/>
    <col min="14830" max="14830" width="9.42578125" style="1766" bestFit="1" customWidth="1"/>
    <col min="14831" max="14831" width="9.85546875" style="1766" bestFit="1" customWidth="1"/>
    <col min="14832" max="14832" width="11.28515625" style="1766" bestFit="1" customWidth="1"/>
    <col min="14833" max="14833" width="9.140625" style="1766"/>
    <col min="14834" max="14835" width="3.7109375" style="1766" customWidth="1"/>
    <col min="14836" max="14836" width="18.85546875" style="1766" customWidth="1"/>
    <col min="14837" max="14837" width="19.7109375" style="1766" customWidth="1"/>
    <col min="14838" max="14838" width="13.5703125" style="1766" customWidth="1"/>
    <col min="14839" max="14841" width="11.7109375" style="1766" customWidth="1"/>
    <col min="14842" max="14842" width="12.7109375" style="1766" customWidth="1"/>
    <col min="14843" max="14852" width="11.7109375" style="1766" customWidth="1"/>
    <col min="14853" max="15080" width="8" style="1766" customWidth="1"/>
    <col min="15081" max="15081" width="2.42578125" style="1766" bestFit="1" customWidth="1"/>
    <col min="15082" max="15082" width="28.28515625" style="1766" bestFit="1" customWidth="1"/>
    <col min="15083" max="15083" width="14.28515625" style="1766" bestFit="1" customWidth="1"/>
    <col min="15084" max="15084" width="13.5703125" style="1766" bestFit="1" customWidth="1"/>
    <col min="15085" max="15085" width="10.7109375" style="1766" bestFit="1" customWidth="1"/>
    <col min="15086" max="15086" width="9.42578125" style="1766" bestFit="1" customWidth="1"/>
    <col min="15087" max="15087" width="9.85546875" style="1766" bestFit="1" customWidth="1"/>
    <col min="15088" max="15088" width="11.28515625" style="1766" bestFit="1" customWidth="1"/>
    <col min="15089" max="15089" width="9.140625" style="1766"/>
    <col min="15090" max="15091" width="3.7109375" style="1766" customWidth="1"/>
    <col min="15092" max="15092" width="18.85546875" style="1766" customWidth="1"/>
    <col min="15093" max="15093" width="19.7109375" style="1766" customWidth="1"/>
    <col min="15094" max="15094" width="13.5703125" style="1766" customWidth="1"/>
    <col min="15095" max="15097" width="11.7109375" style="1766" customWidth="1"/>
    <col min="15098" max="15098" width="12.7109375" style="1766" customWidth="1"/>
    <col min="15099" max="15108" width="11.7109375" style="1766" customWidth="1"/>
    <col min="15109" max="15336" width="8" style="1766" customWidth="1"/>
    <col min="15337" max="15337" width="2.42578125" style="1766" bestFit="1" customWidth="1"/>
    <col min="15338" max="15338" width="28.28515625" style="1766" bestFit="1" customWidth="1"/>
    <col min="15339" max="15339" width="14.28515625" style="1766" bestFit="1" customWidth="1"/>
    <col min="15340" max="15340" width="13.5703125" style="1766" bestFit="1" customWidth="1"/>
    <col min="15341" max="15341" width="10.7109375" style="1766" bestFit="1" customWidth="1"/>
    <col min="15342" max="15342" width="9.42578125" style="1766" bestFit="1" customWidth="1"/>
    <col min="15343" max="15343" width="9.85546875" style="1766" bestFit="1" customWidth="1"/>
    <col min="15344" max="15344" width="11.28515625" style="1766" bestFit="1" customWidth="1"/>
    <col min="15345" max="15345" width="9.140625" style="1766"/>
    <col min="15346" max="15347" width="3.7109375" style="1766" customWidth="1"/>
    <col min="15348" max="15348" width="18.85546875" style="1766" customWidth="1"/>
    <col min="15349" max="15349" width="19.7109375" style="1766" customWidth="1"/>
    <col min="15350" max="15350" width="13.5703125" style="1766" customWidth="1"/>
    <col min="15351" max="15353" width="11.7109375" style="1766" customWidth="1"/>
    <col min="15354" max="15354" width="12.7109375" style="1766" customWidth="1"/>
    <col min="15355" max="15364" width="11.7109375" style="1766" customWidth="1"/>
    <col min="15365" max="15592" width="8" style="1766" customWidth="1"/>
    <col min="15593" max="15593" width="2.42578125" style="1766" bestFit="1" customWidth="1"/>
    <col min="15594" max="15594" width="28.28515625" style="1766" bestFit="1" customWidth="1"/>
    <col min="15595" max="15595" width="14.28515625" style="1766" bestFit="1" customWidth="1"/>
    <col min="15596" max="15596" width="13.5703125" style="1766" bestFit="1" customWidth="1"/>
    <col min="15597" max="15597" width="10.7109375" style="1766" bestFit="1" customWidth="1"/>
    <col min="15598" max="15598" width="9.42578125" style="1766" bestFit="1" customWidth="1"/>
    <col min="15599" max="15599" width="9.85546875" style="1766" bestFit="1" customWidth="1"/>
    <col min="15600" max="15600" width="11.28515625" style="1766" bestFit="1" customWidth="1"/>
    <col min="15601" max="15601" width="9.140625" style="1766"/>
    <col min="15602" max="15603" width="3.7109375" style="1766" customWidth="1"/>
    <col min="15604" max="15604" width="18.85546875" style="1766" customWidth="1"/>
    <col min="15605" max="15605" width="19.7109375" style="1766" customWidth="1"/>
    <col min="15606" max="15606" width="13.5703125" style="1766" customWidth="1"/>
    <col min="15607" max="15609" width="11.7109375" style="1766" customWidth="1"/>
    <col min="15610" max="15610" width="12.7109375" style="1766" customWidth="1"/>
    <col min="15611" max="15620" width="11.7109375" style="1766" customWidth="1"/>
    <col min="15621" max="15848" width="8" style="1766" customWidth="1"/>
    <col min="15849" max="15849" width="2.42578125" style="1766" bestFit="1" customWidth="1"/>
    <col min="15850" max="15850" width="28.28515625" style="1766" bestFit="1" customWidth="1"/>
    <col min="15851" max="15851" width="14.28515625" style="1766" bestFit="1" customWidth="1"/>
    <col min="15852" max="15852" width="13.5703125" style="1766" bestFit="1" customWidth="1"/>
    <col min="15853" max="15853" width="10.7109375" style="1766" bestFit="1" customWidth="1"/>
    <col min="15854" max="15854" width="9.42578125" style="1766" bestFit="1" customWidth="1"/>
    <col min="15855" max="15855" width="9.85546875" style="1766" bestFit="1" customWidth="1"/>
    <col min="15856" max="15856" width="11.28515625" style="1766" bestFit="1" customWidth="1"/>
    <col min="15857" max="15857" width="9.140625" style="1766"/>
    <col min="15858" max="15859" width="3.7109375" style="1766" customWidth="1"/>
    <col min="15860" max="15860" width="18.85546875" style="1766" customWidth="1"/>
    <col min="15861" max="15861" width="19.7109375" style="1766" customWidth="1"/>
    <col min="15862" max="15862" width="13.5703125" style="1766" customWidth="1"/>
    <col min="15863" max="15865" width="11.7109375" style="1766" customWidth="1"/>
    <col min="15866" max="15866" width="12.7109375" style="1766" customWidth="1"/>
    <col min="15867" max="15876" width="11.7109375" style="1766" customWidth="1"/>
    <col min="15877" max="16104" width="8" style="1766" customWidth="1"/>
    <col min="16105" max="16105" width="2.42578125" style="1766" bestFit="1" customWidth="1"/>
    <col min="16106" max="16106" width="28.28515625" style="1766" bestFit="1" customWidth="1"/>
    <col min="16107" max="16107" width="14.28515625" style="1766" bestFit="1" customWidth="1"/>
    <col min="16108" max="16108" width="13.5703125" style="1766" bestFit="1" customWidth="1"/>
    <col min="16109" max="16109" width="10.7109375" style="1766" bestFit="1" customWidth="1"/>
    <col min="16110" max="16110" width="9.42578125" style="1766" bestFit="1" customWidth="1"/>
    <col min="16111" max="16111" width="9.85546875" style="1766" bestFit="1" customWidth="1"/>
    <col min="16112" max="16112" width="11.28515625" style="1766" bestFit="1" customWidth="1"/>
    <col min="16113" max="16113" width="9.140625" style="1766"/>
    <col min="16114" max="16115" width="3.7109375" style="1766" customWidth="1"/>
    <col min="16116" max="16116" width="18.85546875" style="1766" customWidth="1"/>
    <col min="16117" max="16117" width="19.7109375" style="1766" customWidth="1"/>
    <col min="16118" max="16118" width="13.5703125" style="1766" customWidth="1"/>
    <col min="16119" max="16121" width="11.7109375" style="1766" customWidth="1"/>
    <col min="16122" max="16122" width="12.7109375" style="1766" customWidth="1"/>
    <col min="16123" max="16132" width="11.7109375" style="1766" customWidth="1"/>
    <col min="16133" max="16360" width="8" style="1766" customWidth="1"/>
    <col min="16361" max="16361" width="2.42578125" style="1766" bestFit="1" customWidth="1"/>
    <col min="16362" max="16362" width="28.28515625" style="1766" bestFit="1" customWidth="1"/>
    <col min="16363" max="16363" width="14.28515625" style="1766" bestFit="1" customWidth="1"/>
    <col min="16364" max="16364" width="13.5703125" style="1766" bestFit="1" customWidth="1"/>
    <col min="16365" max="16365" width="10.7109375" style="1766" bestFit="1" customWidth="1"/>
    <col min="16366" max="16366" width="9.42578125" style="1766" bestFit="1" customWidth="1"/>
    <col min="16367" max="16367" width="9.85546875" style="1766" bestFit="1" customWidth="1"/>
    <col min="16368" max="16384" width="9.85546875" style="1766" customWidth="1"/>
  </cols>
  <sheetData>
    <row r="1" spans="1:14" ht="22.5" x14ac:dyDescent="0.4">
      <c r="B1" s="1797" t="s">
        <v>976</v>
      </c>
      <c r="C1" s="1797">
        <v>0</v>
      </c>
      <c r="D1" s="1797">
        <v>0</v>
      </c>
      <c r="E1" s="1797">
        <v>0</v>
      </c>
      <c r="F1" s="1797">
        <v>0</v>
      </c>
      <c r="G1" s="2011"/>
      <c r="H1" s="2011"/>
      <c r="I1" s="2011"/>
      <c r="J1" s="2011"/>
      <c r="K1" s="2011"/>
      <c r="L1" s="1766"/>
      <c r="M1" s="1766"/>
    </row>
    <row r="2" spans="1:14" s="1767" customFormat="1" ht="17.25" x14ac:dyDescent="0.2">
      <c r="A2" s="1765"/>
      <c r="B2" s="2012" t="s">
        <v>99</v>
      </c>
      <c r="C2" s="2012"/>
      <c r="D2" s="2012"/>
      <c r="E2" s="2012"/>
      <c r="F2" s="2012"/>
      <c r="G2" s="2012"/>
      <c r="H2" s="2012"/>
      <c r="I2" s="2012"/>
      <c r="J2" s="2012"/>
      <c r="K2" s="2012"/>
      <c r="L2" s="2012"/>
      <c r="M2" s="2012"/>
      <c r="N2" s="2012"/>
    </row>
    <row r="3" spans="1:14" s="1767" customFormat="1" ht="17.25" x14ac:dyDescent="0.2">
      <c r="A3" s="1765"/>
      <c r="B3" s="2012" t="s">
        <v>14</v>
      </c>
      <c r="C3" s="2012">
        <v>0</v>
      </c>
      <c r="D3" s="2012">
        <v>0</v>
      </c>
      <c r="E3" s="2012">
        <v>0</v>
      </c>
      <c r="F3" s="2012">
        <v>0</v>
      </c>
      <c r="G3" s="2012">
        <v>0</v>
      </c>
      <c r="H3" s="2012">
        <v>0</v>
      </c>
      <c r="I3" s="2012"/>
      <c r="J3" s="2012"/>
      <c r="K3" s="2012"/>
      <c r="L3" s="2012"/>
      <c r="M3" s="2012"/>
      <c r="N3" s="2012"/>
    </row>
    <row r="4" spans="1:14" s="1767" customFormat="1" ht="17.25" x14ac:dyDescent="0.2">
      <c r="A4" s="1765"/>
      <c r="B4" s="2012" t="s">
        <v>977</v>
      </c>
      <c r="C4" s="2012">
        <v>0</v>
      </c>
      <c r="D4" s="2012">
        <v>0</v>
      </c>
      <c r="E4" s="2012">
        <v>0</v>
      </c>
      <c r="F4" s="2012">
        <v>0</v>
      </c>
      <c r="G4" s="2012">
        <v>0</v>
      </c>
      <c r="H4" s="2012">
        <v>0</v>
      </c>
      <c r="I4" s="2012"/>
      <c r="J4" s="2012"/>
      <c r="K4" s="2012"/>
      <c r="L4" s="2012"/>
      <c r="M4" s="2012"/>
      <c r="N4" s="2012"/>
    </row>
    <row r="5" spans="1:14" x14ac:dyDescent="0.3">
      <c r="B5" s="1768"/>
      <c r="C5" s="1768"/>
      <c r="D5" s="1768"/>
      <c r="E5" s="1768"/>
      <c r="F5" s="1768"/>
      <c r="G5" s="1768"/>
      <c r="H5" s="1768"/>
      <c r="I5" s="1768"/>
      <c r="J5" s="1768"/>
      <c r="K5" s="1768"/>
      <c r="L5" s="1768"/>
      <c r="M5" s="1768"/>
    </row>
    <row r="6" spans="1:14" s="1771" customFormat="1" ht="15.75" thickBot="1" x14ac:dyDescent="0.35">
      <c r="A6" s="1769"/>
      <c r="B6" s="2005"/>
      <c r="C6" s="2005"/>
      <c r="D6" s="1770"/>
      <c r="E6" s="1770"/>
      <c r="F6" s="1770"/>
      <c r="G6" s="1770"/>
      <c r="H6" s="1770"/>
      <c r="I6" s="1770"/>
      <c r="J6" s="1770"/>
      <c r="K6" s="1770"/>
      <c r="L6" s="1770"/>
      <c r="M6" s="1770"/>
    </row>
    <row r="7" spans="1:14" s="1774" customFormat="1" ht="45.75" thickBot="1" x14ac:dyDescent="0.25">
      <c r="A7" s="1769"/>
      <c r="B7" s="2006" t="s">
        <v>978</v>
      </c>
      <c r="C7" s="2007">
        <v>0</v>
      </c>
      <c r="D7" s="1772" t="s">
        <v>979</v>
      </c>
      <c r="E7" s="1772" t="s">
        <v>980</v>
      </c>
      <c r="F7" s="1772" t="s">
        <v>981</v>
      </c>
      <c r="G7" s="1772" t="s">
        <v>982</v>
      </c>
      <c r="H7" s="1772" t="s">
        <v>983</v>
      </c>
      <c r="I7" s="1772" t="s">
        <v>984</v>
      </c>
      <c r="J7" s="1772" t="s">
        <v>985</v>
      </c>
      <c r="K7" s="1772" t="s">
        <v>986</v>
      </c>
      <c r="L7" s="1772" t="s">
        <v>987</v>
      </c>
      <c r="M7" s="1772" t="s">
        <v>988</v>
      </c>
      <c r="N7" s="1773" t="s">
        <v>989</v>
      </c>
    </row>
    <row r="8" spans="1:14" s="1771" customFormat="1" ht="15" thickTop="1" x14ac:dyDescent="0.3">
      <c r="A8" s="2013">
        <v>1</v>
      </c>
      <c r="B8" s="2014" t="s">
        <v>990</v>
      </c>
      <c r="C8" s="2016" t="s">
        <v>991</v>
      </c>
      <c r="D8" s="2016" t="s">
        <v>992</v>
      </c>
      <c r="E8" s="2020">
        <v>41555</v>
      </c>
      <c r="F8" s="2020">
        <v>48859</v>
      </c>
      <c r="G8" s="2018">
        <v>200000</v>
      </c>
      <c r="H8" s="2018">
        <v>77912</v>
      </c>
      <c r="I8" s="2018"/>
      <c r="J8" s="2008">
        <v>4058</v>
      </c>
      <c r="K8" s="2018">
        <f t="shared" ref="K8" si="0">H8-J8+I8</f>
        <v>73854</v>
      </c>
      <c r="L8" s="2018"/>
      <c r="M8" s="2008">
        <v>4059</v>
      </c>
      <c r="N8" s="2009">
        <f>K8+L8-M8</f>
        <v>69795</v>
      </c>
    </row>
    <row r="9" spans="1:14" s="1771" customFormat="1" ht="14.25" x14ac:dyDescent="0.3">
      <c r="A9" s="2013">
        <v>0</v>
      </c>
      <c r="B9" s="2015">
        <v>0</v>
      </c>
      <c r="C9" s="2017">
        <v>0</v>
      </c>
      <c r="D9" s="2017">
        <v>0</v>
      </c>
      <c r="E9" s="2021">
        <v>0</v>
      </c>
      <c r="F9" s="2021">
        <v>0</v>
      </c>
      <c r="G9" s="2019">
        <v>0</v>
      </c>
      <c r="H9" s="2019"/>
      <c r="I9" s="2019"/>
      <c r="J9" s="2008"/>
      <c r="K9" s="2019"/>
      <c r="L9" s="2019"/>
      <c r="M9" s="2008"/>
      <c r="N9" s="2010"/>
    </row>
    <row r="10" spans="1:14" s="1771" customFormat="1" ht="14.25" x14ac:dyDescent="0.3">
      <c r="A10" s="2013">
        <v>2</v>
      </c>
      <c r="B10" s="2014" t="s">
        <v>993</v>
      </c>
      <c r="C10" s="2016" t="s">
        <v>994</v>
      </c>
      <c r="D10" s="2016" t="s">
        <v>995</v>
      </c>
      <c r="E10" s="2020">
        <v>41759</v>
      </c>
      <c r="F10" s="2020">
        <v>49064</v>
      </c>
      <c r="G10" s="2018">
        <v>200000</v>
      </c>
      <c r="H10" s="2018">
        <v>93296</v>
      </c>
      <c r="I10" s="2018"/>
      <c r="J10" s="2008">
        <v>4443</v>
      </c>
      <c r="K10" s="2018">
        <f t="shared" ref="K10" si="1">H10-J10+I10</f>
        <v>88853</v>
      </c>
      <c r="L10" s="2018"/>
      <c r="M10" s="2008">
        <v>4444</v>
      </c>
      <c r="N10" s="2009">
        <f>K10+L10-M10</f>
        <v>84409</v>
      </c>
    </row>
    <row r="11" spans="1:14" s="1771" customFormat="1" ht="14.25" x14ac:dyDescent="0.3">
      <c r="A11" s="2013">
        <v>0</v>
      </c>
      <c r="B11" s="2015">
        <v>0</v>
      </c>
      <c r="C11" s="2017">
        <v>0</v>
      </c>
      <c r="D11" s="2017">
        <v>0</v>
      </c>
      <c r="E11" s="2021">
        <v>0</v>
      </c>
      <c r="F11" s="2021">
        <v>0</v>
      </c>
      <c r="G11" s="2019">
        <v>0</v>
      </c>
      <c r="H11" s="2019"/>
      <c r="I11" s="2019"/>
      <c r="J11" s="2008"/>
      <c r="K11" s="2019"/>
      <c r="L11" s="2019"/>
      <c r="M11" s="2008"/>
      <c r="N11" s="2010"/>
    </row>
    <row r="12" spans="1:14" s="1771" customFormat="1" ht="14.25" x14ac:dyDescent="0.3">
      <c r="A12" s="2013">
        <v>3</v>
      </c>
      <c r="B12" s="2014" t="s">
        <v>996</v>
      </c>
      <c r="C12" s="2016" t="s">
        <v>997</v>
      </c>
      <c r="D12" s="2016" t="s">
        <v>998</v>
      </c>
      <c r="E12" s="2022">
        <v>43641</v>
      </c>
      <c r="F12" s="2022">
        <v>47299</v>
      </c>
      <c r="G12" s="2018">
        <v>1260000</v>
      </c>
      <c r="H12" s="2018">
        <v>655045</v>
      </c>
      <c r="I12" s="2018"/>
      <c r="J12" s="2008">
        <f>152728/2</f>
        <v>76364</v>
      </c>
      <c r="K12" s="2018">
        <f t="shared" ref="K12" si="2">H12-J12+I12</f>
        <v>578681</v>
      </c>
      <c r="L12" s="2018"/>
      <c r="M12" s="2008">
        <f>152728/2-1</f>
        <v>76363</v>
      </c>
      <c r="N12" s="2009">
        <f>K12+L12-M12</f>
        <v>502318</v>
      </c>
    </row>
    <row r="13" spans="1:14" s="1771" customFormat="1" ht="14.25" x14ac:dyDescent="0.3">
      <c r="A13" s="2013">
        <v>0</v>
      </c>
      <c r="B13" s="2015">
        <v>0</v>
      </c>
      <c r="C13" s="2017">
        <v>0</v>
      </c>
      <c r="D13" s="2017">
        <v>0</v>
      </c>
      <c r="E13" s="2023">
        <v>0</v>
      </c>
      <c r="F13" s="2023">
        <v>0</v>
      </c>
      <c r="G13" s="2019">
        <v>0</v>
      </c>
      <c r="H13" s="2019"/>
      <c r="I13" s="2019"/>
      <c r="J13" s="2008"/>
      <c r="K13" s="2019"/>
      <c r="L13" s="2019"/>
      <c r="M13" s="2008"/>
      <c r="N13" s="2010"/>
    </row>
    <row r="14" spans="1:14" s="1771" customFormat="1" ht="14.25" x14ac:dyDescent="0.3">
      <c r="A14" s="2013">
        <v>4</v>
      </c>
      <c r="B14" s="2014" t="s">
        <v>999</v>
      </c>
      <c r="C14" s="2016" t="s">
        <v>1000</v>
      </c>
      <c r="D14" s="2016" t="s">
        <v>1001</v>
      </c>
      <c r="E14" s="2022">
        <v>44424</v>
      </c>
      <c r="F14" s="2022">
        <v>48029</v>
      </c>
      <c r="G14" s="2018">
        <v>561891</v>
      </c>
      <c r="H14" s="2018">
        <v>522522</v>
      </c>
      <c r="I14" s="2018"/>
      <c r="J14" s="2008">
        <v>34054</v>
      </c>
      <c r="K14" s="2018">
        <f t="shared" ref="K14" si="3">H14-J14+I14</f>
        <v>488468</v>
      </c>
      <c r="L14" s="2018"/>
      <c r="M14" s="2008">
        <v>34054</v>
      </c>
      <c r="N14" s="2009">
        <f>K14+L14-M14</f>
        <v>454414</v>
      </c>
    </row>
    <row r="15" spans="1:14" s="1771" customFormat="1" ht="15" thickBot="1" x14ac:dyDescent="0.35">
      <c r="A15" s="2013">
        <v>0</v>
      </c>
      <c r="B15" s="2015">
        <v>0</v>
      </c>
      <c r="C15" s="2017">
        <v>0</v>
      </c>
      <c r="D15" s="2017">
        <v>0</v>
      </c>
      <c r="E15" s="2023">
        <v>0</v>
      </c>
      <c r="F15" s="2023">
        <v>0</v>
      </c>
      <c r="G15" s="2019">
        <v>0</v>
      </c>
      <c r="H15" s="2019"/>
      <c r="I15" s="2019"/>
      <c r="J15" s="2008"/>
      <c r="K15" s="2019"/>
      <c r="L15" s="2019"/>
      <c r="M15" s="2008"/>
      <c r="N15" s="2010"/>
    </row>
    <row r="16" spans="1:14" s="1779" customFormat="1" thickTop="1" thickBot="1" x14ac:dyDescent="0.25">
      <c r="A16" s="1769">
        <v>5</v>
      </c>
      <c r="B16" s="1775" t="s">
        <v>1002</v>
      </c>
      <c r="C16" s="1776" t="s">
        <v>1003</v>
      </c>
      <c r="D16" s="1776"/>
      <c r="E16" s="1776"/>
      <c r="F16" s="1776"/>
      <c r="G16" s="1776"/>
      <c r="H16" s="1777">
        <f t="shared" ref="H16:N16" si="4">SUM(H8:H15)</f>
        <v>1348775</v>
      </c>
      <c r="I16" s="1777">
        <f t="shared" si="4"/>
        <v>0</v>
      </c>
      <c r="J16" s="1777">
        <f t="shared" si="4"/>
        <v>118919</v>
      </c>
      <c r="K16" s="1777">
        <f t="shared" si="4"/>
        <v>1229856</v>
      </c>
      <c r="L16" s="1777">
        <f t="shared" si="4"/>
        <v>0</v>
      </c>
      <c r="M16" s="1777">
        <f t="shared" si="4"/>
        <v>118920</v>
      </c>
      <c r="N16" s="1778">
        <f t="shared" si="4"/>
        <v>1110936</v>
      </c>
    </row>
    <row r="19" spans="13:13" x14ac:dyDescent="0.3">
      <c r="M19" s="1780"/>
    </row>
  </sheetData>
  <mergeCells count="63">
    <mergeCell ref="L14:L15"/>
    <mergeCell ref="M14:M15"/>
    <mergeCell ref="N14:N15"/>
    <mergeCell ref="F14:F15"/>
    <mergeCell ref="G14:G15"/>
    <mergeCell ref="H14:H15"/>
    <mergeCell ref="I14:I15"/>
    <mergeCell ref="J14:J15"/>
    <mergeCell ref="K14:K15"/>
    <mergeCell ref="J12:J13"/>
    <mergeCell ref="K12:K13"/>
    <mergeCell ref="L12:L13"/>
    <mergeCell ref="M12:M13"/>
    <mergeCell ref="N12:N13"/>
    <mergeCell ref="A14:A15"/>
    <mergeCell ref="B14:B15"/>
    <mergeCell ref="C14:C15"/>
    <mergeCell ref="D14:D15"/>
    <mergeCell ref="E14:E15"/>
    <mergeCell ref="N10:N11"/>
    <mergeCell ref="A12:A13"/>
    <mergeCell ref="B12:B13"/>
    <mergeCell ref="C12:C13"/>
    <mergeCell ref="D12:D13"/>
    <mergeCell ref="E12:E13"/>
    <mergeCell ref="F12:F13"/>
    <mergeCell ref="G12:G13"/>
    <mergeCell ref="H12:H13"/>
    <mergeCell ref="I12:I13"/>
    <mergeCell ref="H10:H11"/>
    <mergeCell ref="I10:I11"/>
    <mergeCell ref="J10:J11"/>
    <mergeCell ref="K10:K11"/>
    <mergeCell ref="L10:L11"/>
    <mergeCell ref="M10:M11"/>
    <mergeCell ref="F10:F11"/>
    <mergeCell ref="G10:G11"/>
    <mergeCell ref="F8:F9"/>
    <mergeCell ref="G8:G9"/>
    <mergeCell ref="H8:H9"/>
    <mergeCell ref="A10:A11"/>
    <mergeCell ref="B10:B11"/>
    <mergeCell ref="C10:C11"/>
    <mergeCell ref="D10:D11"/>
    <mergeCell ref="E10:E11"/>
    <mergeCell ref="A8:A9"/>
    <mergeCell ref="B8:B9"/>
    <mergeCell ref="C8:C9"/>
    <mergeCell ref="D8:D9"/>
    <mergeCell ref="L8:L9"/>
    <mergeCell ref="I8:I9"/>
    <mergeCell ref="J8:J9"/>
    <mergeCell ref="K8:K9"/>
    <mergeCell ref="E8:E9"/>
    <mergeCell ref="B6:C6"/>
    <mergeCell ref="B7:C7"/>
    <mergeCell ref="M8:M9"/>
    <mergeCell ref="N8:N9"/>
    <mergeCell ref="B1:F1"/>
    <mergeCell ref="G1:K1"/>
    <mergeCell ref="B2:N2"/>
    <mergeCell ref="B3:N3"/>
    <mergeCell ref="B4:N4"/>
  </mergeCells>
  <pageMargins left="0.70866141732283472" right="0.70866141732283472" top="0.74803149606299213" bottom="0.74803149606299213" header="0.31496062992125984" footer="0.31496062992125984"/>
  <pageSetup paperSize="9" scale="90" orientation="landscape" verticalDpi="0" r:id="rId1"/>
  <headerFooter>
    <oddFooter>&amp;C- &amp;P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AB30"/>
  <sheetViews>
    <sheetView view="pageBreakPreview" zoomScaleNormal="100" workbookViewId="0">
      <selection activeCell="B3" sqref="B3:AA3"/>
    </sheetView>
  </sheetViews>
  <sheetFormatPr defaultColWidth="10.42578125" defaultRowHeight="16.5" x14ac:dyDescent="0.3"/>
  <cols>
    <col min="1" max="1" width="3.7109375" style="268" customWidth="1"/>
    <col min="2" max="3" width="5.7109375" style="100" customWidth="1"/>
    <col min="4" max="4" width="51.7109375" style="334" customWidth="1"/>
    <col min="5" max="5" width="19.7109375" style="101" customWidth="1"/>
    <col min="6" max="6" width="3" style="99" customWidth="1"/>
    <col min="7" max="8" width="13.7109375" style="99" customWidth="1"/>
    <col min="9" max="9" width="12.28515625" style="99" customWidth="1"/>
    <col min="10" max="16" width="13.7109375" style="99" customWidth="1"/>
    <col min="17" max="18" width="15.7109375" style="99" customWidth="1"/>
    <col min="19" max="19" width="12.28515625" style="99" customWidth="1"/>
    <col min="20" max="26" width="13.7109375" style="99" customWidth="1"/>
    <col min="27" max="28" width="15.7109375" style="99" customWidth="1"/>
    <col min="29" max="16384" width="10.42578125" style="99"/>
  </cols>
  <sheetData>
    <row r="1" spans="1:28" x14ac:dyDescent="0.3">
      <c r="B1" s="16" t="s">
        <v>1027</v>
      </c>
      <c r="C1" s="16"/>
      <c r="D1" s="16"/>
      <c r="E1" s="16"/>
      <c r="F1" s="16"/>
      <c r="G1" s="16"/>
      <c r="H1" s="16"/>
      <c r="I1" s="16"/>
      <c r="J1" s="16"/>
    </row>
    <row r="2" spans="1:28" x14ac:dyDescent="0.3">
      <c r="A2" s="337"/>
      <c r="B2" s="2024"/>
      <c r="C2" s="2024"/>
      <c r="D2" s="2024"/>
      <c r="E2" s="2024"/>
      <c r="F2" s="2024"/>
      <c r="G2" s="2024"/>
      <c r="H2" s="2024"/>
      <c r="I2" s="2024"/>
      <c r="J2" s="2024"/>
      <c r="K2" s="2024"/>
      <c r="L2" s="2024"/>
      <c r="M2" s="2024"/>
      <c r="N2" s="2024"/>
      <c r="O2" s="2024"/>
      <c r="P2" s="2024"/>
      <c r="Q2" s="2024"/>
      <c r="R2" s="2024"/>
      <c r="S2" s="2024"/>
      <c r="T2" s="2024"/>
      <c r="U2" s="2024"/>
      <c r="V2" s="16"/>
      <c r="W2" s="16"/>
      <c r="X2" s="16"/>
      <c r="Y2" s="16"/>
      <c r="Z2" s="16"/>
      <c r="AA2" s="16"/>
    </row>
    <row r="3" spans="1:28" ht="24.75" customHeight="1" x14ac:dyDescent="0.35">
      <c r="B3" s="2025" t="s">
        <v>99</v>
      </c>
      <c r="C3" s="2025"/>
      <c r="D3" s="2025"/>
      <c r="E3" s="2025"/>
      <c r="F3" s="2025"/>
      <c r="G3" s="2025"/>
      <c r="H3" s="2025"/>
      <c r="I3" s="2025"/>
      <c r="J3" s="2025"/>
      <c r="K3" s="2025"/>
      <c r="L3" s="2025"/>
      <c r="M3" s="2025"/>
      <c r="N3" s="2025"/>
      <c r="O3" s="2025"/>
      <c r="P3" s="2025"/>
      <c r="Q3" s="2025"/>
      <c r="R3" s="2025"/>
      <c r="S3" s="2025"/>
      <c r="T3" s="2025"/>
      <c r="U3" s="2025"/>
      <c r="V3" s="2025"/>
      <c r="W3" s="2025"/>
      <c r="X3" s="2025"/>
      <c r="Y3" s="2025"/>
      <c r="Z3" s="2025"/>
      <c r="AA3" s="2025"/>
    </row>
    <row r="4" spans="1:28" ht="24.75" customHeight="1" x14ac:dyDescent="0.35">
      <c r="B4" s="2025" t="s">
        <v>836</v>
      </c>
      <c r="C4" s="2025"/>
      <c r="D4" s="2025"/>
      <c r="E4" s="2025"/>
      <c r="F4" s="2025"/>
      <c r="G4" s="2025"/>
      <c r="H4" s="2025"/>
      <c r="I4" s="2025"/>
      <c r="J4" s="2025"/>
      <c r="K4" s="2025"/>
      <c r="L4" s="2025"/>
      <c r="M4" s="2025"/>
      <c r="N4" s="2025"/>
      <c r="O4" s="2025"/>
      <c r="P4" s="2025"/>
      <c r="Q4" s="2025"/>
      <c r="R4" s="2025"/>
      <c r="S4" s="2025"/>
      <c r="T4" s="2025"/>
      <c r="U4" s="2025"/>
      <c r="V4" s="2025"/>
      <c r="W4" s="2025"/>
      <c r="X4" s="2025"/>
      <c r="Y4" s="2025"/>
      <c r="Z4" s="2025"/>
      <c r="AA4" s="2025"/>
    </row>
    <row r="5" spans="1:28" ht="24.75" customHeight="1" x14ac:dyDescent="0.35">
      <c r="B5" s="2025" t="s">
        <v>837</v>
      </c>
      <c r="C5" s="2025"/>
      <c r="D5" s="2025"/>
      <c r="E5" s="2025"/>
      <c r="F5" s="2025"/>
      <c r="G5" s="2025"/>
      <c r="H5" s="2025"/>
      <c r="I5" s="2025"/>
      <c r="J5" s="2025"/>
      <c r="K5" s="2025"/>
      <c r="L5" s="2025"/>
      <c r="M5" s="2025"/>
      <c r="N5" s="2025"/>
      <c r="O5" s="2025"/>
      <c r="P5" s="2025"/>
      <c r="Q5" s="2025"/>
      <c r="R5" s="2025"/>
      <c r="S5" s="2025"/>
      <c r="T5" s="2025"/>
      <c r="U5" s="2025"/>
      <c r="V5" s="2025"/>
      <c r="W5" s="2025"/>
      <c r="X5" s="2025"/>
      <c r="Y5" s="2025"/>
      <c r="Z5" s="2025"/>
      <c r="AA5" s="2025"/>
    </row>
    <row r="6" spans="1:28" s="267" customFormat="1" ht="15" x14ac:dyDescent="0.3">
      <c r="A6" s="268"/>
      <c r="B6" s="268"/>
      <c r="C6" s="268"/>
      <c r="D6" s="269"/>
      <c r="E6" s="270"/>
      <c r="W6" s="1763"/>
      <c r="X6" s="1763"/>
      <c r="Y6" s="1763"/>
      <c r="Z6" s="1763"/>
      <c r="AA6" s="1763"/>
      <c r="AB6" s="1763" t="s">
        <v>0</v>
      </c>
    </row>
    <row r="7" spans="1:28" s="268" customFormat="1" ht="15.75" thickBot="1" x14ac:dyDescent="0.35">
      <c r="B7" s="268" t="s">
        <v>367</v>
      </c>
      <c r="C7" s="268" t="s">
        <v>3</v>
      </c>
      <c r="D7" s="292" t="s">
        <v>2</v>
      </c>
      <c r="E7" s="270" t="s">
        <v>4</v>
      </c>
      <c r="G7" s="268" t="s">
        <v>5</v>
      </c>
      <c r="H7" s="268" t="s">
        <v>15</v>
      </c>
      <c r="I7" s="268" t="s">
        <v>16</v>
      </c>
      <c r="J7" s="268" t="s">
        <v>17</v>
      </c>
      <c r="K7" s="268" t="s">
        <v>32</v>
      </c>
      <c r="L7" s="268" t="s">
        <v>28</v>
      </c>
      <c r="M7" s="268" t="s">
        <v>23</v>
      </c>
      <c r="N7" s="268" t="s">
        <v>33</v>
      </c>
      <c r="O7" s="268" t="s">
        <v>34</v>
      </c>
      <c r="P7" s="268" t="s">
        <v>126</v>
      </c>
      <c r="Q7" s="268" t="s">
        <v>127</v>
      </c>
      <c r="R7" s="268" t="s">
        <v>128</v>
      </c>
      <c r="S7" s="268" t="s">
        <v>259</v>
      </c>
      <c r="T7" s="268" t="s">
        <v>325</v>
      </c>
      <c r="U7" s="268" t="s">
        <v>326</v>
      </c>
      <c r="V7" s="268" t="s">
        <v>368</v>
      </c>
      <c r="W7" s="268" t="s">
        <v>439</v>
      </c>
      <c r="X7" s="268" t="s">
        <v>440</v>
      </c>
      <c r="Y7" s="268" t="s">
        <v>778</v>
      </c>
      <c r="Z7" s="268" t="s">
        <v>974</v>
      </c>
      <c r="AA7" s="268" t="s">
        <v>975</v>
      </c>
      <c r="AB7" s="268" t="s">
        <v>779</v>
      </c>
    </row>
    <row r="8" spans="1:28" s="102" customFormat="1" ht="24.75" customHeight="1" thickBot="1" x14ac:dyDescent="0.25">
      <c r="A8" s="293"/>
      <c r="B8" s="2045" t="s">
        <v>18</v>
      </c>
      <c r="C8" s="2046" t="s">
        <v>19</v>
      </c>
      <c r="D8" s="2047" t="s">
        <v>264</v>
      </c>
      <c r="E8" s="2048" t="s">
        <v>265</v>
      </c>
      <c r="F8" s="294"/>
      <c r="G8" s="2049" t="s">
        <v>271</v>
      </c>
      <c r="H8" s="2049"/>
      <c r="I8" s="2049"/>
      <c r="J8" s="2049"/>
      <c r="K8" s="2049"/>
      <c r="L8" s="2049"/>
      <c r="M8" s="2049"/>
      <c r="N8" s="2049"/>
      <c r="O8" s="2049"/>
      <c r="P8" s="2049"/>
      <c r="Q8" s="2050"/>
      <c r="R8" s="2029" t="s">
        <v>1025</v>
      </c>
      <c r="S8" s="2034" t="s">
        <v>272</v>
      </c>
      <c r="T8" s="2034"/>
      <c r="U8" s="2034"/>
      <c r="V8" s="2034"/>
      <c r="W8" s="2034"/>
      <c r="X8" s="2034"/>
      <c r="Y8" s="2034"/>
      <c r="Z8" s="2035"/>
      <c r="AA8" s="2038" t="s">
        <v>327</v>
      </c>
      <c r="AB8" s="2026" t="s">
        <v>1026</v>
      </c>
    </row>
    <row r="9" spans="1:28" s="102" customFormat="1" ht="24.75" customHeight="1" thickBot="1" x14ac:dyDescent="0.25">
      <c r="A9" s="293"/>
      <c r="B9" s="2045"/>
      <c r="C9" s="2046"/>
      <c r="D9" s="2047"/>
      <c r="E9" s="2048"/>
      <c r="F9" s="295"/>
      <c r="G9" s="2039" t="s">
        <v>266</v>
      </c>
      <c r="H9" s="2040" t="s">
        <v>372</v>
      </c>
      <c r="I9" s="2041" t="s">
        <v>268</v>
      </c>
      <c r="J9" s="2042"/>
      <c r="K9" s="2042"/>
      <c r="L9" s="2042"/>
      <c r="M9" s="2042"/>
      <c r="N9" s="2042"/>
      <c r="O9" s="2042"/>
      <c r="P9" s="2043"/>
      <c r="Q9" s="2044" t="s">
        <v>267</v>
      </c>
      <c r="R9" s="2030"/>
      <c r="S9" s="2036"/>
      <c r="T9" s="2036"/>
      <c r="U9" s="2036"/>
      <c r="V9" s="2036"/>
      <c r="W9" s="2036"/>
      <c r="X9" s="2036"/>
      <c r="Y9" s="2036"/>
      <c r="Z9" s="2037"/>
      <c r="AA9" s="2038"/>
      <c r="AB9" s="2027"/>
    </row>
    <row r="10" spans="1:28" s="102" customFormat="1" ht="60.75" customHeight="1" thickBot="1" x14ac:dyDescent="0.25">
      <c r="A10" s="293"/>
      <c r="B10" s="2045"/>
      <c r="C10" s="2046"/>
      <c r="D10" s="2047"/>
      <c r="E10" s="2048"/>
      <c r="F10" s="295"/>
      <c r="G10" s="2039"/>
      <c r="H10" s="2040"/>
      <c r="I10" s="622" t="s">
        <v>329</v>
      </c>
      <c r="J10" s="622" t="s">
        <v>369</v>
      </c>
      <c r="K10" s="622" t="s">
        <v>379</v>
      </c>
      <c r="L10" s="622" t="s">
        <v>478</v>
      </c>
      <c r="M10" s="622" t="s">
        <v>532</v>
      </c>
      <c r="N10" s="623" t="s">
        <v>545</v>
      </c>
      <c r="O10" s="623" t="s">
        <v>524</v>
      </c>
      <c r="P10" s="623" t="s">
        <v>544</v>
      </c>
      <c r="Q10" s="2044"/>
      <c r="R10" s="2031"/>
      <c r="S10" s="1762" t="s">
        <v>329</v>
      </c>
      <c r="T10" s="109" t="s">
        <v>369</v>
      </c>
      <c r="U10" s="109" t="s">
        <v>379</v>
      </c>
      <c r="V10" s="109" t="s">
        <v>478</v>
      </c>
      <c r="W10" s="109" t="s">
        <v>532</v>
      </c>
      <c r="X10" s="620" t="s">
        <v>545</v>
      </c>
      <c r="Y10" s="620" t="s">
        <v>524</v>
      </c>
      <c r="Z10" s="109" t="s">
        <v>544</v>
      </c>
      <c r="AA10" s="2038"/>
      <c r="AB10" s="2028"/>
    </row>
    <row r="11" spans="1:28" s="102" customFormat="1" ht="33" customHeight="1" x14ac:dyDescent="0.35">
      <c r="A11" s="296">
        <v>1</v>
      </c>
      <c r="B11" s="297">
        <v>18</v>
      </c>
      <c r="C11" s="298" t="s">
        <v>14</v>
      </c>
      <c r="D11" s="299"/>
      <c r="E11" s="699"/>
      <c r="G11" s="300"/>
      <c r="H11" s="624"/>
      <c r="I11" s="625"/>
      <c r="J11" s="625"/>
      <c r="K11" s="625"/>
      <c r="L11" s="625"/>
      <c r="M11" s="625"/>
      <c r="N11" s="626"/>
      <c r="O11" s="626"/>
      <c r="P11" s="626"/>
      <c r="Q11" s="621"/>
      <c r="R11" s="1783"/>
      <c r="S11" s="624"/>
      <c r="T11" s="301"/>
      <c r="U11" s="301"/>
      <c r="V11" s="301"/>
      <c r="W11" s="301"/>
      <c r="X11" s="621"/>
      <c r="Y11" s="621"/>
      <c r="Z11" s="621"/>
      <c r="AA11" s="621"/>
      <c r="AB11" s="1787"/>
    </row>
    <row r="12" spans="1:28" s="102" customFormat="1" ht="33" customHeight="1" x14ac:dyDescent="0.3">
      <c r="A12" s="296">
        <v>2</v>
      </c>
      <c r="B12" s="700"/>
      <c r="C12" s="306">
        <v>1</v>
      </c>
      <c r="D12" s="252" t="s">
        <v>515</v>
      </c>
      <c r="E12" s="302" t="s">
        <v>514</v>
      </c>
      <c r="F12" s="701"/>
      <c r="G12" s="303">
        <f t="shared" ref="G12:G22" si="0">+AA12-Q12-H12</f>
        <v>1250</v>
      </c>
      <c r="H12" s="616"/>
      <c r="I12" s="702"/>
      <c r="J12" s="702"/>
      <c r="K12" s="702"/>
      <c r="L12" s="702"/>
      <c r="M12" s="702"/>
      <c r="N12" s="618">
        <v>74087</v>
      </c>
      <c r="O12" s="618">
        <v>5913</v>
      </c>
      <c r="P12" s="618"/>
      <c r="Q12" s="618">
        <f>SUM(I12:P12)</f>
        <v>80000</v>
      </c>
      <c r="R12" s="1784">
        <v>5913</v>
      </c>
      <c r="S12" s="616"/>
      <c r="T12" s="309"/>
      <c r="U12" s="309"/>
      <c r="V12" s="309"/>
      <c r="W12" s="309"/>
      <c r="X12" s="618">
        <v>21668</v>
      </c>
      <c r="Y12" s="618">
        <f>57375+2207</f>
        <v>59582</v>
      </c>
      <c r="Z12" s="618"/>
      <c r="AA12" s="618">
        <f>SUM(S12:Z12)</f>
        <v>81250</v>
      </c>
      <c r="AB12" s="1788">
        <f>1397+10033</f>
        <v>11430</v>
      </c>
    </row>
    <row r="13" spans="1:28" ht="54" customHeight="1" x14ac:dyDescent="0.35">
      <c r="A13" s="296">
        <v>3</v>
      </c>
      <c r="B13" s="202"/>
      <c r="C13" s="306">
        <v>3</v>
      </c>
      <c r="D13" s="729" t="s">
        <v>377</v>
      </c>
      <c r="E13" s="302" t="s">
        <v>450</v>
      </c>
      <c r="F13" s="104"/>
      <c r="G13" s="307">
        <f t="shared" si="0"/>
        <v>1200</v>
      </c>
      <c r="H13" s="308"/>
      <c r="I13" s="305">
        <v>19671</v>
      </c>
      <c r="J13" s="305"/>
      <c r="K13" s="305"/>
      <c r="L13" s="305">
        <v>206228</v>
      </c>
      <c r="M13" s="305"/>
      <c r="N13" s="618">
        <v>6690</v>
      </c>
      <c r="O13" s="618"/>
      <c r="P13" s="618"/>
      <c r="Q13" s="618">
        <f t="shared" ref="Q13:Q22" si="1">SUM(I13:P13)</f>
        <v>232589</v>
      </c>
      <c r="R13" s="1784"/>
      <c r="S13" s="304">
        <v>9749</v>
      </c>
      <c r="T13" s="305">
        <v>3835</v>
      </c>
      <c r="U13" s="305">
        <v>7697</v>
      </c>
      <c r="V13" s="305">
        <v>140243</v>
      </c>
      <c r="W13" s="305">
        <v>15</v>
      </c>
      <c r="X13" s="618">
        <v>71235</v>
      </c>
      <c r="Y13" s="618">
        <v>1015</v>
      </c>
      <c r="Z13" s="618"/>
      <c r="AA13" s="618">
        <f>SUM(S13:Z13)</f>
        <v>233789</v>
      </c>
      <c r="AB13" s="1789"/>
    </row>
    <row r="14" spans="1:28" s="102" customFormat="1" ht="33" x14ac:dyDescent="0.2">
      <c r="A14" s="296">
        <v>4</v>
      </c>
      <c r="B14" s="202"/>
      <c r="C14" s="306">
        <v>4</v>
      </c>
      <c r="D14" s="729" t="s">
        <v>347</v>
      </c>
      <c r="E14" s="302" t="s">
        <v>370</v>
      </c>
      <c r="F14" s="203"/>
      <c r="G14" s="307">
        <f t="shared" si="0"/>
        <v>8000</v>
      </c>
      <c r="H14" s="308"/>
      <c r="I14" s="305"/>
      <c r="J14" s="305">
        <v>480600</v>
      </c>
      <c r="K14" s="305"/>
      <c r="L14" s="305"/>
      <c r="M14" s="305"/>
      <c r="N14" s="618"/>
      <c r="O14" s="618"/>
      <c r="P14" s="618"/>
      <c r="Q14" s="618">
        <f t="shared" si="1"/>
        <v>480600</v>
      </c>
      <c r="R14" s="1784"/>
      <c r="S14" s="304">
        <v>326</v>
      </c>
      <c r="T14" s="305">
        <v>17127</v>
      </c>
      <c r="U14" s="305">
        <f>1549+2433</f>
        <v>3982</v>
      </c>
      <c r="V14" s="305">
        <v>72298</v>
      </c>
      <c r="W14" s="305">
        <v>198271</v>
      </c>
      <c r="X14" s="618">
        <v>191677</v>
      </c>
      <c r="Y14" s="618">
        <v>4919</v>
      </c>
      <c r="Z14" s="618"/>
      <c r="AA14" s="618">
        <f t="shared" ref="AA14:AA22" si="2">SUM(S14:Z14)</f>
        <v>488600</v>
      </c>
      <c r="AB14" s="1788">
        <v>3598</v>
      </c>
    </row>
    <row r="15" spans="1:28" s="102" customFormat="1" ht="55.5" customHeight="1" x14ac:dyDescent="0.2">
      <c r="A15" s="296">
        <v>5</v>
      </c>
      <c r="B15" s="202"/>
      <c r="C15" s="306">
        <v>5</v>
      </c>
      <c r="D15" s="729" t="s">
        <v>380</v>
      </c>
      <c r="E15" s="302" t="s">
        <v>371</v>
      </c>
      <c r="F15" s="203"/>
      <c r="G15" s="307">
        <f t="shared" si="0"/>
        <v>59423</v>
      </c>
      <c r="H15" s="308"/>
      <c r="I15" s="305"/>
      <c r="J15" s="305"/>
      <c r="K15" s="305"/>
      <c r="L15" s="305">
        <v>73653</v>
      </c>
      <c r="M15" s="305">
        <f>832347-45001</f>
        <v>787346</v>
      </c>
      <c r="N15" s="618">
        <f>45001+102320</f>
        <v>147321</v>
      </c>
      <c r="O15" s="618"/>
      <c r="P15" s="618"/>
      <c r="Q15" s="618">
        <f t="shared" si="1"/>
        <v>1008320</v>
      </c>
      <c r="R15" s="1784"/>
      <c r="S15" s="304"/>
      <c r="T15" s="305"/>
      <c r="U15" s="305">
        <v>5906</v>
      </c>
      <c r="V15" s="305">
        <v>14982</v>
      </c>
      <c r="W15" s="305">
        <v>252998</v>
      </c>
      <c r="X15" s="618">
        <v>780059</v>
      </c>
      <c r="Y15" s="618">
        <v>13798</v>
      </c>
      <c r="Z15" s="618"/>
      <c r="AA15" s="618">
        <f t="shared" si="2"/>
        <v>1067743</v>
      </c>
      <c r="AB15" s="1788"/>
    </row>
    <row r="16" spans="1:28" ht="33" customHeight="1" x14ac:dyDescent="0.35">
      <c r="A16" s="296">
        <v>6</v>
      </c>
      <c r="B16" s="202"/>
      <c r="C16" s="306">
        <v>7</v>
      </c>
      <c r="D16" s="729" t="s">
        <v>383</v>
      </c>
      <c r="E16" s="302" t="s">
        <v>451</v>
      </c>
      <c r="F16" s="104"/>
      <c r="G16" s="307">
        <f t="shared" si="0"/>
        <v>18715</v>
      </c>
      <c r="H16" s="308">
        <f>277946+174688</f>
        <v>452634</v>
      </c>
      <c r="I16" s="305">
        <v>558299</v>
      </c>
      <c r="J16" s="305"/>
      <c r="K16" s="305"/>
      <c r="L16" s="305"/>
      <c r="M16" s="305"/>
      <c r="N16" s="618">
        <f>793085+881849</f>
        <v>1674934</v>
      </c>
      <c r="O16" s="618"/>
      <c r="P16" s="618"/>
      <c r="Q16" s="618">
        <f t="shared" si="1"/>
        <v>2233233</v>
      </c>
      <c r="R16" s="1784"/>
      <c r="S16" s="304">
        <v>28000</v>
      </c>
      <c r="T16" s="305">
        <v>26441</v>
      </c>
      <c r="U16" s="305">
        <v>46228</v>
      </c>
      <c r="V16" s="305">
        <v>12816</v>
      </c>
      <c r="W16" s="305">
        <v>60536</v>
      </c>
      <c r="X16" s="618">
        <f>2512461+2195</f>
        <v>2514656</v>
      </c>
      <c r="Y16" s="618">
        <f>18100-2195</f>
        <v>15905</v>
      </c>
      <c r="Z16" s="618"/>
      <c r="AA16" s="618">
        <f t="shared" si="2"/>
        <v>2704582</v>
      </c>
      <c r="AB16" s="1789"/>
    </row>
    <row r="17" spans="1:28" ht="49.5" x14ac:dyDescent="0.35">
      <c r="A17" s="296">
        <v>7</v>
      </c>
      <c r="B17" s="202"/>
      <c r="C17" s="306">
        <v>10</v>
      </c>
      <c r="D17" s="729" t="s">
        <v>308</v>
      </c>
      <c r="E17" s="302" t="s">
        <v>370</v>
      </c>
      <c r="F17" s="104"/>
      <c r="G17" s="307">
        <f t="shared" si="0"/>
        <v>45</v>
      </c>
      <c r="H17" s="308"/>
      <c r="I17" s="305">
        <v>24175</v>
      </c>
      <c r="J17" s="305"/>
      <c r="K17" s="305">
        <v>26185</v>
      </c>
      <c r="L17" s="305"/>
      <c r="M17" s="305"/>
      <c r="N17" s="618"/>
      <c r="O17" s="618"/>
      <c r="P17" s="618"/>
      <c r="Q17" s="618">
        <f t="shared" si="1"/>
        <v>50360</v>
      </c>
      <c r="R17" s="1784"/>
      <c r="S17" s="304">
        <v>1176</v>
      </c>
      <c r="T17" s="305">
        <v>23808</v>
      </c>
      <c r="U17" s="305">
        <f>744+333+7845</f>
        <v>8922</v>
      </c>
      <c r="V17" s="305">
        <v>11615</v>
      </c>
      <c r="W17" s="305">
        <v>3272</v>
      </c>
      <c r="X17" s="618"/>
      <c r="Y17" s="618">
        <v>1612</v>
      </c>
      <c r="Z17" s="618"/>
      <c r="AA17" s="618">
        <f t="shared" si="2"/>
        <v>50405</v>
      </c>
      <c r="AB17" s="1789"/>
    </row>
    <row r="18" spans="1:28" ht="42" customHeight="1" x14ac:dyDescent="0.35">
      <c r="A18" s="296">
        <v>8</v>
      </c>
      <c r="B18" s="338"/>
      <c r="C18" s="887">
        <v>11</v>
      </c>
      <c r="D18" s="278" t="s">
        <v>395</v>
      </c>
      <c r="E18" s="615" t="s">
        <v>381</v>
      </c>
      <c r="F18" s="617"/>
      <c r="G18" s="307">
        <f t="shared" si="0"/>
        <v>9105</v>
      </c>
      <c r="H18" s="304"/>
      <c r="I18" s="305"/>
      <c r="J18" s="305"/>
      <c r="K18" s="305"/>
      <c r="L18" s="305"/>
      <c r="M18" s="305">
        <v>3240</v>
      </c>
      <c r="N18" s="618">
        <v>13720</v>
      </c>
      <c r="O18" s="618"/>
      <c r="P18" s="618"/>
      <c r="Q18" s="618">
        <f t="shared" si="1"/>
        <v>16960</v>
      </c>
      <c r="R18" s="1784"/>
      <c r="S18" s="304"/>
      <c r="T18" s="305"/>
      <c r="U18" s="305"/>
      <c r="V18" s="305">
        <v>4452</v>
      </c>
      <c r="W18" s="305">
        <f>13257+6022</f>
        <v>19279</v>
      </c>
      <c r="X18" s="618">
        <v>1334</v>
      </c>
      <c r="Y18" s="618">
        <v>1000</v>
      </c>
      <c r="Z18" s="618"/>
      <c r="AA18" s="618">
        <f t="shared" si="2"/>
        <v>26065</v>
      </c>
      <c r="AB18" s="1789"/>
    </row>
    <row r="19" spans="1:28" ht="27.75" customHeight="1" x14ac:dyDescent="0.35">
      <c r="A19" s="296">
        <v>9</v>
      </c>
      <c r="B19" s="338"/>
      <c r="C19" s="306">
        <v>12</v>
      </c>
      <c r="D19" s="226" t="s">
        <v>809</v>
      </c>
      <c r="E19" s="615" t="s">
        <v>382</v>
      </c>
      <c r="F19" s="617"/>
      <c r="G19" s="303">
        <f t="shared" si="0"/>
        <v>3511</v>
      </c>
      <c r="H19" s="305"/>
      <c r="I19" s="305"/>
      <c r="J19" s="305"/>
      <c r="K19" s="305"/>
      <c r="L19" s="305">
        <v>5926</v>
      </c>
      <c r="M19" s="305">
        <v>11152</v>
      </c>
      <c r="N19" s="618">
        <v>14619</v>
      </c>
      <c r="O19" s="618"/>
      <c r="P19" s="618"/>
      <c r="Q19" s="618">
        <f t="shared" si="1"/>
        <v>31697</v>
      </c>
      <c r="R19" s="1784"/>
      <c r="S19" s="304"/>
      <c r="T19" s="305"/>
      <c r="U19" s="305">
        <v>2593</v>
      </c>
      <c r="V19" s="305">
        <v>7749</v>
      </c>
      <c r="W19" s="305">
        <v>22269</v>
      </c>
      <c r="X19" s="618">
        <v>1597</v>
      </c>
      <c r="Y19" s="618">
        <v>1000</v>
      </c>
      <c r="Z19" s="618"/>
      <c r="AA19" s="618">
        <f t="shared" si="2"/>
        <v>35208</v>
      </c>
      <c r="AB19" s="1789"/>
    </row>
    <row r="20" spans="1:28" ht="33" customHeight="1" x14ac:dyDescent="0.3">
      <c r="A20" s="296">
        <v>10</v>
      </c>
      <c r="B20" s="338"/>
      <c r="C20" s="306">
        <v>13</v>
      </c>
      <c r="D20" s="343" t="s">
        <v>348</v>
      </c>
      <c r="E20" s="302" t="s">
        <v>371</v>
      </c>
      <c r="F20" s="704"/>
      <c r="G20" s="307">
        <f t="shared" si="0"/>
        <v>32226</v>
      </c>
      <c r="H20" s="305"/>
      <c r="I20" s="305"/>
      <c r="J20" s="305"/>
      <c r="K20" s="305">
        <v>0</v>
      </c>
      <c r="L20" s="305">
        <v>40000</v>
      </c>
      <c r="M20" s="305"/>
      <c r="N20" s="618"/>
      <c r="O20" s="618"/>
      <c r="P20" s="618"/>
      <c r="Q20" s="618">
        <f t="shared" si="1"/>
        <v>40000</v>
      </c>
      <c r="R20" s="1784"/>
      <c r="S20" s="304"/>
      <c r="T20" s="305"/>
      <c r="U20" s="305">
        <v>1680</v>
      </c>
      <c r="V20" s="305">
        <v>1</v>
      </c>
      <c r="W20" s="305">
        <v>60644</v>
      </c>
      <c r="X20" s="618"/>
      <c r="Y20" s="618">
        <v>9901</v>
      </c>
      <c r="Z20" s="618"/>
      <c r="AA20" s="618">
        <f t="shared" si="2"/>
        <v>72226</v>
      </c>
      <c r="AB20" s="1790">
        <v>9901</v>
      </c>
    </row>
    <row r="21" spans="1:28" ht="56.25" customHeight="1" x14ac:dyDescent="0.3">
      <c r="A21" s="296">
        <v>11</v>
      </c>
      <c r="B21" s="339"/>
      <c r="C21" s="306">
        <v>16</v>
      </c>
      <c r="D21" s="343" t="s">
        <v>546</v>
      </c>
      <c r="E21" s="340" t="s">
        <v>547</v>
      </c>
      <c r="F21" s="704"/>
      <c r="G21" s="307">
        <f t="shared" si="0"/>
        <v>5542</v>
      </c>
      <c r="H21" s="341"/>
      <c r="I21" s="342"/>
      <c r="J21" s="342"/>
      <c r="K21" s="342"/>
      <c r="L21" s="342"/>
      <c r="M21" s="342"/>
      <c r="N21" s="619"/>
      <c r="O21" s="619">
        <v>3500</v>
      </c>
      <c r="P21" s="619">
        <f>7832+9636</f>
        <v>17468</v>
      </c>
      <c r="Q21" s="618">
        <f t="shared" si="1"/>
        <v>20968</v>
      </c>
      <c r="R21" s="1785"/>
      <c r="S21" s="341"/>
      <c r="T21" s="342"/>
      <c r="U21" s="342"/>
      <c r="V21" s="342"/>
      <c r="W21" s="342"/>
      <c r="X21" s="619">
        <v>3451</v>
      </c>
      <c r="Y21" s="619">
        <f>10480+329+300</f>
        <v>11109</v>
      </c>
      <c r="Z21" s="619">
        <f>11950</f>
        <v>11950</v>
      </c>
      <c r="AA21" s="618">
        <f t="shared" si="2"/>
        <v>26510</v>
      </c>
      <c r="AB21" s="1790">
        <f>1471+3615</f>
        <v>5086</v>
      </c>
    </row>
    <row r="22" spans="1:28" ht="86.25" customHeight="1" thickBot="1" x14ac:dyDescent="0.35">
      <c r="A22" s="296">
        <v>12</v>
      </c>
      <c r="B22" s="339"/>
      <c r="C22" s="306">
        <v>17</v>
      </c>
      <c r="D22" s="343" t="s">
        <v>548</v>
      </c>
      <c r="E22" s="340" t="s">
        <v>547</v>
      </c>
      <c r="F22" s="704"/>
      <c r="G22" s="307">
        <f t="shared" si="0"/>
        <v>5183</v>
      </c>
      <c r="H22" s="341"/>
      <c r="I22" s="342"/>
      <c r="J22" s="342"/>
      <c r="K22" s="342"/>
      <c r="L22" s="342"/>
      <c r="M22" s="342"/>
      <c r="N22" s="619"/>
      <c r="O22" s="619">
        <v>3200</v>
      </c>
      <c r="P22" s="619">
        <f>6200+10532</f>
        <v>16732</v>
      </c>
      <c r="Q22" s="618">
        <f t="shared" si="1"/>
        <v>19932</v>
      </c>
      <c r="R22" s="1785"/>
      <c r="S22" s="341"/>
      <c r="T22" s="342"/>
      <c r="U22" s="342"/>
      <c r="V22" s="342"/>
      <c r="W22" s="342"/>
      <c r="X22" s="619">
        <v>3651</v>
      </c>
      <c r="Y22" s="619">
        <f>10276+258+200</f>
        <v>10734</v>
      </c>
      <c r="Z22" s="619">
        <f>10730</f>
        <v>10730</v>
      </c>
      <c r="AA22" s="618">
        <f t="shared" si="2"/>
        <v>25115</v>
      </c>
      <c r="AB22" s="1791">
        <f>1826+1815</f>
        <v>3641</v>
      </c>
    </row>
    <row r="23" spans="1:28" ht="33" customHeight="1" thickBot="1" x14ac:dyDescent="0.35">
      <c r="A23" s="296">
        <v>13</v>
      </c>
      <c r="B23" s="2032" t="s">
        <v>102</v>
      </c>
      <c r="C23" s="2032"/>
      <c r="D23" s="2032"/>
      <c r="E23" s="2032"/>
      <c r="F23" s="103"/>
      <c r="G23" s="310">
        <f t="shared" ref="G23:Z23" si="3">SUM(G12:G22)</f>
        <v>144200</v>
      </c>
      <c r="H23" s="311">
        <f t="shared" si="3"/>
        <v>452634</v>
      </c>
      <c r="I23" s="311">
        <f t="shared" si="3"/>
        <v>602145</v>
      </c>
      <c r="J23" s="311">
        <f t="shared" si="3"/>
        <v>480600</v>
      </c>
      <c r="K23" s="311">
        <f t="shared" si="3"/>
        <v>26185</v>
      </c>
      <c r="L23" s="311">
        <f t="shared" si="3"/>
        <v>325807</v>
      </c>
      <c r="M23" s="311">
        <f t="shared" si="3"/>
        <v>801738</v>
      </c>
      <c r="N23" s="311">
        <f t="shared" si="3"/>
        <v>1931371</v>
      </c>
      <c r="O23" s="311">
        <f t="shared" si="3"/>
        <v>12613</v>
      </c>
      <c r="P23" s="311">
        <f t="shared" si="3"/>
        <v>34200</v>
      </c>
      <c r="Q23" s="703">
        <f t="shared" si="3"/>
        <v>4214659</v>
      </c>
      <c r="R23" s="1786">
        <f t="shared" si="3"/>
        <v>5913</v>
      </c>
      <c r="S23" s="1764">
        <f t="shared" si="3"/>
        <v>39251</v>
      </c>
      <c r="T23" s="311">
        <f t="shared" si="3"/>
        <v>71211</v>
      </c>
      <c r="U23" s="311">
        <f t="shared" si="3"/>
        <v>77008</v>
      </c>
      <c r="V23" s="311">
        <f t="shared" si="3"/>
        <v>264156</v>
      </c>
      <c r="W23" s="311">
        <f t="shared" si="3"/>
        <v>617284</v>
      </c>
      <c r="X23" s="311">
        <f t="shared" si="3"/>
        <v>3589328</v>
      </c>
      <c r="Y23" s="311">
        <f t="shared" si="3"/>
        <v>130575</v>
      </c>
      <c r="Z23" s="311">
        <f t="shared" si="3"/>
        <v>22680</v>
      </c>
      <c r="AA23" s="703">
        <f>SUM(AA12:AA22)</f>
        <v>4811493</v>
      </c>
      <c r="AB23" s="1792">
        <f>SUM(AB12:AB22)</f>
        <v>33656</v>
      </c>
    </row>
    <row r="24" spans="1:28" ht="24.75" customHeight="1" x14ac:dyDescent="0.3">
      <c r="B24" s="2033" t="s">
        <v>549</v>
      </c>
      <c r="C24" s="2033"/>
      <c r="D24" s="2033"/>
      <c r="E24" s="2033"/>
      <c r="F24" s="2033"/>
      <c r="G24" s="2033"/>
      <c r="H24" s="2033"/>
      <c r="I24" s="2033"/>
      <c r="J24" s="2033"/>
      <c r="K24" s="2033"/>
      <c r="L24" s="2033"/>
      <c r="M24" s="2033"/>
      <c r="N24" s="2033"/>
      <c r="O24" s="2033"/>
      <c r="P24" s="2033"/>
      <c r="Q24" s="2033"/>
      <c r="R24" s="2033"/>
      <c r="S24" s="2033"/>
      <c r="T24" s="2033"/>
      <c r="U24" s="2033"/>
      <c r="V24" s="2033"/>
      <c r="W24" s="2033"/>
      <c r="X24" s="2033"/>
      <c r="Y24" s="2033"/>
      <c r="Z24" s="2033"/>
      <c r="AA24" s="2033"/>
    </row>
    <row r="25" spans="1:28" s="268" customFormat="1" ht="24.75" customHeight="1" x14ac:dyDescent="0.3">
      <c r="B25" s="100"/>
      <c r="C25" s="100"/>
      <c r="D25" s="334"/>
      <c r="E25" s="101"/>
      <c r="F25" s="99"/>
      <c r="G25" s="99"/>
      <c r="H25" s="99"/>
      <c r="I25" s="99"/>
      <c r="J25" s="99"/>
      <c r="K25" s="99"/>
      <c r="L25" s="99"/>
      <c r="M25" s="99"/>
      <c r="N25" s="99"/>
      <c r="O25" s="99"/>
      <c r="P25" s="99"/>
      <c r="Q25" s="99"/>
      <c r="R25" s="99"/>
      <c r="S25" s="99"/>
      <c r="T25" s="99"/>
      <c r="U25" s="99"/>
      <c r="V25" s="99"/>
      <c r="W25" s="99"/>
      <c r="X25" s="99"/>
      <c r="Y25" s="99"/>
      <c r="Z25" s="99"/>
      <c r="AA25" s="99"/>
    </row>
    <row r="26" spans="1:28" s="268" customFormat="1" ht="24.75" customHeight="1" x14ac:dyDescent="0.3">
      <c r="B26" s="100"/>
      <c r="C26" s="100"/>
      <c r="D26" s="334"/>
      <c r="E26" s="101"/>
      <c r="F26" s="99"/>
      <c r="G26" s="99"/>
      <c r="H26" s="99"/>
      <c r="I26" s="99"/>
      <c r="J26" s="99"/>
      <c r="K26" s="99"/>
      <c r="L26" s="99"/>
      <c r="M26" s="99"/>
      <c r="N26" s="99"/>
      <c r="O26" s="99"/>
      <c r="P26" s="99"/>
      <c r="Q26" s="99"/>
      <c r="R26" s="99"/>
      <c r="S26" s="99"/>
      <c r="T26" s="99"/>
      <c r="U26" s="99"/>
      <c r="V26" s="99"/>
      <c r="W26" s="99"/>
      <c r="X26" s="99"/>
      <c r="Y26" s="99"/>
      <c r="Z26" s="99"/>
      <c r="AA26" s="99"/>
    </row>
    <row r="27" spans="1:28" s="268" customFormat="1" ht="24.75" customHeight="1" x14ac:dyDescent="0.3">
      <c r="B27" s="100"/>
      <c r="C27" s="100"/>
      <c r="D27" s="334"/>
      <c r="E27" s="101"/>
      <c r="F27" s="99"/>
      <c r="G27" s="99"/>
      <c r="H27" s="99"/>
      <c r="I27" s="99"/>
      <c r="J27" s="99"/>
      <c r="K27" s="99"/>
      <c r="L27" s="99"/>
      <c r="M27" s="99"/>
      <c r="N27" s="99"/>
      <c r="O27" s="99"/>
      <c r="P27" s="99"/>
      <c r="Q27" s="99"/>
      <c r="R27" s="99"/>
      <c r="S27" s="99"/>
      <c r="T27" s="99"/>
      <c r="U27" s="99"/>
      <c r="V27" s="99"/>
      <c r="W27" s="99"/>
      <c r="X27" s="99"/>
      <c r="Y27" s="99"/>
      <c r="Z27" s="99"/>
      <c r="AA27" s="99"/>
    </row>
    <row r="28" spans="1:28" s="268" customFormat="1" ht="24.75" customHeight="1" x14ac:dyDescent="0.3">
      <c r="B28" s="100"/>
      <c r="C28" s="100"/>
      <c r="D28" s="334"/>
      <c r="E28" s="101"/>
      <c r="F28" s="99"/>
      <c r="G28" s="99"/>
      <c r="H28" s="99"/>
      <c r="I28" s="99"/>
      <c r="J28" s="99"/>
      <c r="K28" s="99"/>
      <c r="L28" s="99"/>
      <c r="M28" s="99"/>
      <c r="N28" s="99"/>
      <c r="O28" s="99"/>
      <c r="P28" s="99"/>
      <c r="Q28" s="99"/>
      <c r="R28" s="99"/>
      <c r="S28" s="99"/>
      <c r="T28" s="99"/>
      <c r="U28" s="99"/>
      <c r="V28" s="99"/>
      <c r="W28" s="99"/>
      <c r="X28" s="99"/>
      <c r="Y28" s="99"/>
      <c r="Z28" s="99"/>
      <c r="AA28" s="99"/>
    </row>
    <row r="29" spans="1:28" s="268" customFormat="1" ht="24.75" customHeight="1" x14ac:dyDescent="0.3">
      <c r="B29" s="100"/>
      <c r="C29" s="100"/>
      <c r="D29" s="334"/>
      <c r="E29" s="101"/>
      <c r="F29" s="99"/>
      <c r="G29" s="99"/>
      <c r="H29" s="99"/>
      <c r="I29" s="99"/>
      <c r="J29" s="99"/>
      <c r="K29" s="99"/>
      <c r="L29" s="99"/>
      <c r="M29" s="99"/>
      <c r="N29" s="99"/>
      <c r="O29" s="99"/>
      <c r="P29" s="99"/>
      <c r="Q29" s="99"/>
      <c r="R29" s="99"/>
      <c r="S29" s="99"/>
      <c r="T29" s="99"/>
      <c r="U29" s="99"/>
      <c r="V29" s="99"/>
      <c r="W29" s="99"/>
      <c r="X29" s="99"/>
      <c r="Y29" s="99"/>
      <c r="Z29" s="99"/>
      <c r="AA29" s="99"/>
    </row>
    <row r="30" spans="1:28" s="268" customFormat="1" ht="24.75" customHeight="1" x14ac:dyDescent="0.3">
      <c r="B30" s="100"/>
      <c r="C30" s="100"/>
      <c r="D30" s="334"/>
      <c r="E30" s="101"/>
      <c r="F30" s="99"/>
      <c r="G30" s="99"/>
      <c r="H30" s="99"/>
      <c r="I30" s="99"/>
      <c r="J30" s="99"/>
      <c r="K30" s="99"/>
      <c r="L30" s="99"/>
      <c r="M30" s="99"/>
      <c r="N30" s="99"/>
      <c r="O30" s="99"/>
      <c r="P30" s="99"/>
      <c r="Q30" s="99"/>
      <c r="R30" s="99"/>
      <c r="S30" s="99"/>
      <c r="T30" s="99"/>
      <c r="U30" s="99"/>
      <c r="V30" s="99"/>
      <c r="W30" s="99"/>
      <c r="X30" s="99"/>
      <c r="Y30" s="99"/>
      <c r="Z30" s="99"/>
      <c r="AA30" s="99"/>
    </row>
  </sheetData>
  <mergeCells count="19">
    <mergeCell ref="B23:E23"/>
    <mergeCell ref="B24:AA24"/>
    <mergeCell ref="S8:Z9"/>
    <mergeCell ref="AA8:AA10"/>
    <mergeCell ref="G9:G10"/>
    <mergeCell ref="H9:H10"/>
    <mergeCell ref="I9:P9"/>
    <mergeCell ref="Q9:Q10"/>
    <mergeCell ref="B8:B10"/>
    <mergeCell ref="C8:C10"/>
    <mergeCell ref="D8:D10"/>
    <mergeCell ref="E8:E10"/>
    <mergeCell ref="G8:Q8"/>
    <mergeCell ref="B2:U2"/>
    <mergeCell ref="B3:AA3"/>
    <mergeCell ref="B4:AA4"/>
    <mergeCell ref="B5:AA5"/>
    <mergeCell ref="AB8:AB10"/>
    <mergeCell ref="R8:R10"/>
  </mergeCells>
  <printOptions horizontalCentered="1"/>
  <pageMargins left="0.196527777777778" right="0.196527777777778" top="0.59027777777777801" bottom="0.59027777777777801" header="0.511811023622047" footer="0.51180555555555596"/>
  <pageSetup paperSize="8" scale="53" fitToHeight="0" orientation="landscape" verticalDpi="300" r:id="rId1"/>
  <headerFooter>
    <oddFooter>&amp;C-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68"/>
  <sheetViews>
    <sheetView view="pageBreakPreview" zoomScaleNormal="100" zoomScaleSheetLayoutView="100" workbookViewId="0">
      <selection activeCell="B3" sqref="B3:L3"/>
    </sheetView>
  </sheetViews>
  <sheetFormatPr defaultColWidth="9.28515625" defaultRowHeight="17.25" x14ac:dyDescent="0.35"/>
  <cols>
    <col min="1" max="1" width="3.7109375" style="238" customWidth="1"/>
    <col min="2" max="2" width="5.7109375" style="44" customWidth="1"/>
    <col min="3" max="5" width="5.7109375" style="30" customWidth="1"/>
    <col min="6" max="6" width="59.7109375" style="20" customWidth="1"/>
    <col min="7" max="9" width="13.7109375" style="20" customWidth="1"/>
    <col min="10" max="11" width="15.7109375" style="20" customWidth="1"/>
    <col min="12" max="12" width="15.7109375" style="36" customWidth="1"/>
    <col min="13" max="16384" width="9.28515625" style="20"/>
  </cols>
  <sheetData>
    <row r="1" spans="1:12" x14ac:dyDescent="0.35">
      <c r="B1" s="1797" t="s">
        <v>1006</v>
      </c>
      <c r="C1" s="1797"/>
      <c r="D1" s="1797"/>
      <c r="E1" s="1797"/>
      <c r="F1" s="1797"/>
      <c r="H1" s="21"/>
    </row>
    <row r="2" spans="1:12" s="22" customFormat="1" ht="25.15" customHeight="1" x14ac:dyDescent="0.2">
      <c r="A2" s="238"/>
      <c r="B2" s="1798" t="s">
        <v>137</v>
      </c>
      <c r="C2" s="1798"/>
      <c r="D2" s="1798"/>
      <c r="E2" s="1798"/>
      <c r="F2" s="1798"/>
      <c r="G2" s="1798"/>
      <c r="H2" s="1798"/>
      <c r="I2" s="1798"/>
      <c r="J2" s="1798"/>
      <c r="K2" s="1798"/>
      <c r="L2" s="1798"/>
    </row>
    <row r="3" spans="1:12" s="22" customFormat="1" ht="25.15" customHeight="1" x14ac:dyDescent="0.2">
      <c r="A3" s="238"/>
      <c r="B3" s="1798" t="s">
        <v>1007</v>
      </c>
      <c r="C3" s="1798"/>
      <c r="D3" s="1798"/>
      <c r="E3" s="1798"/>
      <c r="F3" s="1798"/>
      <c r="G3" s="1798"/>
      <c r="H3" s="1798"/>
      <c r="I3" s="1798"/>
      <c r="J3" s="1798"/>
      <c r="K3" s="1798"/>
      <c r="L3" s="1798"/>
    </row>
    <row r="4" spans="1:12" x14ac:dyDescent="0.35">
      <c r="C4" s="34"/>
      <c r="E4" s="34"/>
      <c r="F4" s="34"/>
      <c r="G4" s="34"/>
      <c r="H4" s="21"/>
      <c r="J4" s="136"/>
      <c r="K4" s="136"/>
      <c r="L4" s="136" t="s">
        <v>0</v>
      </c>
    </row>
    <row r="5" spans="1:12" s="30" customFormat="1" ht="18" thickBot="1" x14ac:dyDescent="0.4">
      <c r="A5" s="238"/>
      <c r="B5" s="44" t="s">
        <v>1</v>
      </c>
      <c r="C5" s="30" t="s">
        <v>3</v>
      </c>
      <c r="D5" s="30" t="s">
        <v>2</v>
      </c>
      <c r="E5" s="30" t="s">
        <v>4</v>
      </c>
      <c r="F5" s="30" t="s">
        <v>5</v>
      </c>
      <c r="G5" s="30" t="s">
        <v>15</v>
      </c>
      <c r="H5" s="30" t="s">
        <v>16</v>
      </c>
      <c r="I5" s="137" t="s">
        <v>17</v>
      </c>
      <c r="J5" s="137" t="s">
        <v>32</v>
      </c>
      <c r="K5" s="30" t="s">
        <v>28</v>
      </c>
      <c r="L5" s="35" t="s">
        <v>23</v>
      </c>
    </row>
    <row r="6" spans="1:12" s="23" customFormat="1" ht="80.099999999999994" customHeight="1" thickBot="1" x14ac:dyDescent="0.25">
      <c r="A6" s="238"/>
      <c r="B6" s="138" t="s">
        <v>169</v>
      </c>
      <c r="C6" s="139" t="s">
        <v>19</v>
      </c>
      <c r="D6" s="126" t="s">
        <v>339</v>
      </c>
      <c r="E6" s="126" t="s">
        <v>341</v>
      </c>
      <c r="F6" s="140" t="s">
        <v>6</v>
      </c>
      <c r="G6" s="108" t="s">
        <v>522</v>
      </c>
      <c r="H6" s="108" t="s">
        <v>523</v>
      </c>
      <c r="I6" s="141" t="s">
        <v>545</v>
      </c>
      <c r="J6" s="107" t="s">
        <v>801</v>
      </c>
      <c r="K6" s="1386" t="s">
        <v>920</v>
      </c>
      <c r="L6" s="1593" t="s">
        <v>971</v>
      </c>
    </row>
    <row r="7" spans="1:12" s="28" customFormat="1" ht="30" customHeight="1" x14ac:dyDescent="0.35">
      <c r="A7" s="238">
        <v>1</v>
      </c>
      <c r="B7" s="122" t="s">
        <v>311</v>
      </c>
      <c r="C7" s="24"/>
      <c r="D7" s="25"/>
      <c r="E7" s="24"/>
      <c r="F7" s="26" t="s">
        <v>170</v>
      </c>
      <c r="G7" s="27">
        <f>SUM(G8:G9)</f>
        <v>10261489</v>
      </c>
      <c r="H7" s="27">
        <f>SUM(H8:H9)</f>
        <v>11771027</v>
      </c>
      <c r="I7" s="27">
        <f>SUM(I8:I9)</f>
        <v>12380731</v>
      </c>
      <c r="J7" s="910">
        <f>SUM(J8:J9)</f>
        <v>13111714</v>
      </c>
      <c r="K7" s="1233">
        <f t="shared" ref="K7:L7" si="0">SUM(K8:K9)</f>
        <v>15173136</v>
      </c>
      <c r="L7" s="1625">
        <f t="shared" si="0"/>
        <v>6566226</v>
      </c>
    </row>
    <row r="8" spans="1:12" ht="26.1" customHeight="1" x14ac:dyDescent="0.35">
      <c r="A8" s="238">
        <v>2</v>
      </c>
      <c r="B8" s="29"/>
      <c r="D8" s="30">
        <v>1</v>
      </c>
      <c r="F8" s="20" t="s">
        <v>35</v>
      </c>
      <c r="G8" s="20">
        <v>9939303</v>
      </c>
      <c r="H8" s="20">
        <v>11485514</v>
      </c>
      <c r="I8" s="20">
        <v>11919140</v>
      </c>
      <c r="J8" s="911">
        <v>12737090</v>
      </c>
      <c r="K8" s="36">
        <v>14570553</v>
      </c>
      <c r="L8" s="919">
        <f>'4.Inki'!K230+'4.Inki'!L230+'4.Inki'!M230+'4.Inki'!N230+'4.Inki'!O230</f>
        <v>6335973</v>
      </c>
    </row>
    <row r="9" spans="1:12" ht="25.5" customHeight="1" x14ac:dyDescent="0.35">
      <c r="A9" s="238">
        <v>3</v>
      </c>
      <c r="B9" s="29"/>
      <c r="D9" s="30">
        <v>2</v>
      </c>
      <c r="F9" s="20" t="s">
        <v>129</v>
      </c>
      <c r="G9" s="20">
        <f>SUM(G10:G12)</f>
        <v>322186</v>
      </c>
      <c r="H9" s="20">
        <f>SUM(H10:H12)</f>
        <v>285513</v>
      </c>
      <c r="I9" s="20">
        <f>SUM(I10:I12)</f>
        <v>461591</v>
      </c>
      <c r="J9" s="911">
        <f>SUM(J10:J12)</f>
        <v>374624</v>
      </c>
      <c r="K9" s="36">
        <f t="shared" ref="K9:L9" si="1">SUM(K10:K12)</f>
        <v>602583</v>
      </c>
      <c r="L9" s="919">
        <f t="shared" si="1"/>
        <v>230253</v>
      </c>
    </row>
    <row r="10" spans="1:12" x14ac:dyDescent="0.35">
      <c r="A10" s="238">
        <v>4</v>
      </c>
      <c r="B10" s="29"/>
      <c r="E10" s="30">
        <v>7</v>
      </c>
      <c r="F10" s="1626" t="s">
        <v>193</v>
      </c>
      <c r="G10" s="20">
        <v>321576</v>
      </c>
      <c r="H10" s="20">
        <v>285513</v>
      </c>
      <c r="I10" s="20">
        <v>460547</v>
      </c>
      <c r="J10" s="911">
        <v>374624</v>
      </c>
      <c r="K10" s="20">
        <v>600610</v>
      </c>
      <c r="L10" s="919">
        <f>'4.Inki'!P230</f>
        <v>230253</v>
      </c>
    </row>
    <row r="11" spans="1:12" x14ac:dyDescent="0.35">
      <c r="A11" s="238">
        <v>5</v>
      </c>
      <c r="B11" s="29"/>
      <c r="E11" s="30">
        <v>8</v>
      </c>
      <c r="F11" s="1626" t="s">
        <v>130</v>
      </c>
      <c r="I11" s="20">
        <v>20</v>
      </c>
      <c r="J11" s="911"/>
      <c r="K11" s="20">
        <v>1973</v>
      </c>
      <c r="L11" s="919">
        <f>'4.Inki'!R230</f>
        <v>0</v>
      </c>
    </row>
    <row r="12" spans="1:12" x14ac:dyDescent="0.35">
      <c r="A12" s="238">
        <v>6</v>
      </c>
      <c r="B12" s="29"/>
      <c r="E12" s="30">
        <v>9</v>
      </c>
      <c r="F12" s="1626" t="s">
        <v>194</v>
      </c>
      <c r="G12" s="20">
        <v>610</v>
      </c>
      <c r="I12" s="20">
        <v>1024</v>
      </c>
      <c r="J12" s="911"/>
      <c r="L12" s="919"/>
    </row>
    <row r="13" spans="1:12" s="28" customFormat="1" ht="30" customHeight="1" x14ac:dyDescent="0.35">
      <c r="A13" s="238">
        <v>7</v>
      </c>
      <c r="B13" s="123" t="s">
        <v>312</v>
      </c>
      <c r="C13" s="31"/>
      <c r="D13" s="32"/>
      <c r="E13" s="32"/>
      <c r="F13" s="33" t="s">
        <v>101</v>
      </c>
      <c r="G13" s="33">
        <f>SUM(G14:G15,G30,G31)</f>
        <v>32247135</v>
      </c>
      <c r="H13" s="33">
        <f>SUM(H14:H15,H30,H31)</f>
        <v>37398577</v>
      </c>
      <c r="I13" s="33">
        <f>SUM(I14:I15,I30,I31)</f>
        <v>39673417</v>
      </c>
      <c r="J13" s="912">
        <f>SUM(J14:J15,J30,J31)</f>
        <v>29978320</v>
      </c>
      <c r="K13" s="1234">
        <f t="shared" ref="K13:L13" si="2">SUM(K14:K15,K30,K31)</f>
        <v>31184955</v>
      </c>
      <c r="L13" s="1627">
        <f t="shared" si="2"/>
        <v>11489863</v>
      </c>
    </row>
    <row r="14" spans="1:12" s="28" customFormat="1" ht="25.5" customHeight="1" x14ac:dyDescent="0.35">
      <c r="A14" s="238">
        <v>8</v>
      </c>
      <c r="B14" s="29"/>
      <c r="C14" s="34"/>
      <c r="D14" s="30">
        <v>1</v>
      </c>
      <c r="E14" s="34"/>
      <c r="F14" s="28" t="s">
        <v>35</v>
      </c>
      <c r="G14" s="28">
        <v>8933964</v>
      </c>
      <c r="H14" s="28">
        <v>12306536</v>
      </c>
      <c r="I14" s="28">
        <v>13413343</v>
      </c>
      <c r="J14" s="913">
        <v>14604135</v>
      </c>
      <c r="K14" s="1235">
        <v>16817814</v>
      </c>
      <c r="L14" s="1628">
        <f>'6.Önk.műk.'!I831+'7.Beruh.'!I459+'8.Felúj.'!I218+'9.Projekt'!I77+'9.Projekt'!J77+'9.Projekt'!K77+'9.Projekt'!L77+'10.MVP és hazai'!I36+'10.MVP és hazai'!J36+'10.MVP és hazai'!K36+'10.MVP és hazai'!L36+'11.EKF'!I170+'11.EKF'!J170+'11.EKF'!K170+'11.EKF'!L170</f>
        <v>7118066</v>
      </c>
    </row>
    <row r="15" spans="1:12" ht="25.5" customHeight="1" x14ac:dyDescent="0.35">
      <c r="A15" s="238">
        <v>9</v>
      </c>
      <c r="B15" s="29"/>
      <c r="C15" s="34"/>
      <c r="D15" s="34"/>
      <c r="E15" s="34"/>
      <c r="F15" s="28" t="s">
        <v>171</v>
      </c>
      <c r="G15" s="28">
        <f>SUM(G16,G25)</f>
        <v>0</v>
      </c>
      <c r="H15" s="28">
        <f>SUM(H16,H25)</f>
        <v>516363</v>
      </c>
      <c r="I15" s="28">
        <f>SUM(I16,I25)</f>
        <v>0</v>
      </c>
      <c r="J15" s="913">
        <f>SUM(J16,J25)</f>
        <v>1445988</v>
      </c>
      <c r="K15" s="1235">
        <f t="shared" ref="K15:L15" si="3">SUM(K16,K25)</f>
        <v>762535</v>
      </c>
      <c r="L15" s="1628">
        <f t="shared" si="3"/>
        <v>0</v>
      </c>
    </row>
    <row r="16" spans="1:12" s="36" customFormat="1" ht="25.5" customHeight="1" x14ac:dyDescent="0.35">
      <c r="A16" s="238">
        <v>10</v>
      </c>
      <c r="B16" s="124"/>
      <c r="C16" s="35"/>
      <c r="D16" s="30">
        <v>1</v>
      </c>
      <c r="E16" s="30">
        <v>6</v>
      </c>
      <c r="F16" s="1629" t="s">
        <v>323</v>
      </c>
      <c r="G16" s="36">
        <f>SUM(G17:G24)</f>
        <v>0</v>
      </c>
      <c r="H16" s="36">
        <f>SUM(H17:H24)</f>
        <v>503367</v>
      </c>
      <c r="I16" s="36">
        <f t="shared" ref="I16" si="4">SUM(I17:I24)</f>
        <v>0</v>
      </c>
      <c r="J16" s="914">
        <f>SUM(J17:J24)</f>
        <v>871488</v>
      </c>
      <c r="K16" s="36">
        <f t="shared" ref="K16:L16" si="5">SUM(K17:K24)</f>
        <v>756535</v>
      </c>
      <c r="L16" s="919">
        <f t="shared" si="5"/>
        <v>0</v>
      </c>
    </row>
    <row r="17" spans="1:12" x14ac:dyDescent="0.35">
      <c r="A17" s="238">
        <v>11</v>
      </c>
      <c r="B17" s="29"/>
      <c r="F17" s="1630" t="s">
        <v>391</v>
      </c>
      <c r="H17" s="20">
        <v>140721</v>
      </c>
      <c r="J17" s="911">
        <v>218415</v>
      </c>
      <c r="K17" s="20">
        <v>144523</v>
      </c>
      <c r="L17" s="919"/>
    </row>
    <row r="18" spans="1:12" x14ac:dyDescent="0.35">
      <c r="A18" s="238">
        <v>12</v>
      </c>
      <c r="B18" s="29"/>
      <c r="F18" s="1630" t="s">
        <v>491</v>
      </c>
      <c r="H18" s="20">
        <v>24000</v>
      </c>
      <c r="J18" s="911">
        <v>36000</v>
      </c>
      <c r="K18" s="20">
        <v>0</v>
      </c>
      <c r="L18" s="919"/>
    </row>
    <row r="19" spans="1:12" x14ac:dyDescent="0.35">
      <c r="A19" s="238">
        <v>13</v>
      </c>
      <c r="B19" s="29"/>
      <c r="F19" s="1630" t="s">
        <v>492</v>
      </c>
      <c r="H19" s="20">
        <v>75492</v>
      </c>
      <c r="J19" s="911">
        <v>15128</v>
      </c>
      <c r="K19" s="20">
        <v>30276</v>
      </c>
      <c r="L19" s="919"/>
    </row>
    <row r="20" spans="1:12" x14ac:dyDescent="0.35">
      <c r="A20" s="238">
        <v>14</v>
      </c>
      <c r="B20" s="29"/>
      <c r="F20" s="1630" t="s">
        <v>335</v>
      </c>
      <c r="H20" s="20">
        <v>150000</v>
      </c>
      <c r="J20" s="911">
        <v>150000</v>
      </c>
      <c r="K20" s="20">
        <v>150000</v>
      </c>
      <c r="L20" s="919"/>
    </row>
    <row r="21" spans="1:12" x14ac:dyDescent="0.35">
      <c r="A21" s="238">
        <v>15</v>
      </c>
      <c r="B21" s="29"/>
      <c r="F21" s="1630" t="s">
        <v>768</v>
      </c>
      <c r="H21" s="20">
        <v>101168</v>
      </c>
      <c r="J21" s="911">
        <v>418802</v>
      </c>
      <c r="K21" s="20">
        <v>394243</v>
      </c>
      <c r="L21" s="919"/>
    </row>
    <row r="22" spans="1:12" x14ac:dyDescent="0.35">
      <c r="A22" s="238">
        <v>16</v>
      </c>
      <c r="B22" s="29"/>
      <c r="F22" s="1630" t="s">
        <v>493</v>
      </c>
      <c r="H22" s="20">
        <v>11736</v>
      </c>
      <c r="J22" s="911">
        <v>15293</v>
      </c>
      <c r="K22" s="20">
        <v>19293</v>
      </c>
      <c r="L22" s="919"/>
    </row>
    <row r="23" spans="1:12" x14ac:dyDescent="0.35">
      <c r="A23" s="238">
        <v>17</v>
      </c>
      <c r="B23" s="29"/>
      <c r="F23" s="1630" t="s">
        <v>528</v>
      </c>
      <c r="H23" s="20">
        <v>250</v>
      </c>
      <c r="J23" s="911">
        <v>7850</v>
      </c>
      <c r="K23" s="20">
        <v>8200</v>
      </c>
      <c r="L23" s="919"/>
    </row>
    <row r="24" spans="1:12" x14ac:dyDescent="0.35">
      <c r="A24" s="238">
        <v>18</v>
      </c>
      <c r="B24" s="29"/>
      <c r="F24" s="1630" t="s">
        <v>529</v>
      </c>
      <c r="J24" s="911">
        <v>10000</v>
      </c>
      <c r="K24" s="20">
        <v>10000</v>
      </c>
      <c r="L24" s="919"/>
    </row>
    <row r="25" spans="1:12" s="36" customFormat="1" ht="25.5" customHeight="1" x14ac:dyDescent="0.35">
      <c r="A25" s="238">
        <v>19</v>
      </c>
      <c r="B25" s="124"/>
      <c r="C25" s="35"/>
      <c r="D25" s="30">
        <v>2</v>
      </c>
      <c r="E25" s="30">
        <v>10</v>
      </c>
      <c r="F25" s="1629" t="s">
        <v>324</v>
      </c>
      <c r="G25" s="36">
        <f>SUM(G26:G29)</f>
        <v>0</v>
      </c>
      <c r="H25" s="36">
        <f>SUM(H26:H29)</f>
        <v>12996</v>
      </c>
      <c r="J25" s="914">
        <f>SUM(J26:J29)</f>
        <v>574500</v>
      </c>
      <c r="K25" s="36">
        <f t="shared" ref="K25:L25" si="6">SUM(K26:K29)</f>
        <v>6000</v>
      </c>
      <c r="L25" s="919">
        <f t="shared" si="6"/>
        <v>0</v>
      </c>
    </row>
    <row r="26" spans="1:12" x14ac:dyDescent="0.35">
      <c r="A26" s="238">
        <v>20</v>
      </c>
      <c r="B26" s="29"/>
      <c r="D26" s="35"/>
      <c r="F26" s="1630" t="s">
        <v>425</v>
      </c>
      <c r="J26" s="911"/>
      <c r="L26" s="919"/>
    </row>
    <row r="27" spans="1:12" x14ac:dyDescent="0.35">
      <c r="A27" s="238">
        <v>21</v>
      </c>
      <c r="B27" s="29"/>
      <c r="D27" s="35"/>
      <c r="F27" s="1631" t="s">
        <v>530</v>
      </c>
      <c r="H27" s="22">
        <v>5315</v>
      </c>
      <c r="I27" s="22"/>
      <c r="J27" s="915">
        <v>6000</v>
      </c>
      <c r="K27" s="22">
        <v>6000</v>
      </c>
      <c r="L27" s="919"/>
    </row>
    <row r="28" spans="1:12" x14ac:dyDescent="0.35">
      <c r="A28" s="238">
        <v>22</v>
      </c>
      <c r="B28" s="29"/>
      <c r="D28" s="35"/>
      <c r="F28" s="1631" t="s">
        <v>531</v>
      </c>
      <c r="H28" s="22"/>
      <c r="I28" s="22"/>
      <c r="J28" s="915">
        <v>568500</v>
      </c>
      <c r="K28" s="22">
        <v>0</v>
      </c>
      <c r="L28" s="919"/>
    </row>
    <row r="29" spans="1:12" x14ac:dyDescent="0.35">
      <c r="A29" s="238">
        <v>23</v>
      </c>
      <c r="B29" s="29"/>
      <c r="D29" s="35"/>
      <c r="F29" s="1630" t="s">
        <v>783</v>
      </c>
      <c r="H29" s="20">
        <v>7681</v>
      </c>
      <c r="J29" s="911"/>
      <c r="L29" s="919"/>
    </row>
    <row r="30" spans="1:12" s="22" customFormat="1" ht="25.5" customHeight="1" x14ac:dyDescent="0.2">
      <c r="A30" s="238">
        <v>24</v>
      </c>
      <c r="B30" s="125"/>
      <c r="C30" s="1591"/>
      <c r="D30" s="1591"/>
      <c r="E30" s="1591"/>
      <c r="F30" s="37" t="s">
        <v>172</v>
      </c>
      <c r="G30" s="37"/>
      <c r="H30" s="37">
        <v>150000</v>
      </c>
      <c r="I30" s="37"/>
      <c r="J30" s="916">
        <v>150000</v>
      </c>
      <c r="K30" s="37">
        <v>150000</v>
      </c>
      <c r="L30" s="1632"/>
    </row>
    <row r="31" spans="1:12" s="28" customFormat="1" ht="25.5" customHeight="1" x14ac:dyDescent="0.35">
      <c r="A31" s="238">
        <v>25</v>
      </c>
      <c r="B31" s="29"/>
      <c r="C31" s="34"/>
      <c r="D31" s="30">
        <v>2</v>
      </c>
      <c r="E31" s="34"/>
      <c r="F31" s="28" t="s">
        <v>129</v>
      </c>
      <c r="G31" s="28">
        <f>SUM(G32:G34)</f>
        <v>23313171</v>
      </c>
      <c r="H31" s="28">
        <f>SUM(H32:H34)</f>
        <v>24425678</v>
      </c>
      <c r="I31" s="28">
        <f>SUM(I32:I34)</f>
        <v>26260074</v>
      </c>
      <c r="J31" s="913">
        <f>SUM(J32:J34)</f>
        <v>13778197</v>
      </c>
      <c r="K31" s="1235">
        <f t="shared" ref="K31:L31" si="7">SUM(K32:K34)</f>
        <v>13454606</v>
      </c>
      <c r="L31" s="1628">
        <f t="shared" si="7"/>
        <v>4371797</v>
      </c>
    </row>
    <row r="32" spans="1:12" x14ac:dyDescent="0.35">
      <c r="A32" s="238">
        <v>26</v>
      </c>
      <c r="B32" s="29"/>
      <c r="C32" s="34"/>
      <c r="E32" s="30">
        <v>7</v>
      </c>
      <c r="F32" s="1626" t="s">
        <v>193</v>
      </c>
      <c r="G32" s="20">
        <v>22857882</v>
      </c>
      <c r="H32" s="20">
        <v>23919413</v>
      </c>
      <c r="I32" s="20">
        <v>23451890</v>
      </c>
      <c r="J32" s="911">
        <f>'7.Beruh.'!J457+'9.Projekt'!M75+5774430+'11.EKF'!M168</f>
        <v>11055791</v>
      </c>
      <c r="K32" s="20">
        <v>11455033</v>
      </c>
      <c r="L32" s="919">
        <f>'7.Beruh.'!J459+'9.Projekt'!M77+'10.MVP és hazai'!M36+'11.EKF'!M170</f>
        <v>3798960</v>
      </c>
    </row>
    <row r="33" spans="1:18" x14ac:dyDescent="0.35">
      <c r="A33" s="238">
        <v>27</v>
      </c>
      <c r="B33" s="29"/>
      <c r="C33" s="34"/>
      <c r="E33" s="30">
        <v>8</v>
      </c>
      <c r="F33" s="1626" t="s">
        <v>130</v>
      </c>
      <c r="G33" s="20">
        <v>379909</v>
      </c>
      <c r="H33" s="20">
        <v>403061</v>
      </c>
      <c r="I33" s="20">
        <v>2531852</v>
      </c>
      <c r="J33" s="911">
        <f>'7.Beruh.'!K457+'9.Projekt'!N75+'11.EKF'!O168</f>
        <v>1837575</v>
      </c>
      <c r="K33" s="20">
        <v>577028</v>
      </c>
      <c r="L33" s="919">
        <f>'7.Beruh.'!K459+'9.Projekt'!N77+'11.EKF'!O170</f>
        <v>394344</v>
      </c>
    </row>
    <row r="34" spans="1:18" x14ac:dyDescent="0.35">
      <c r="A34" s="238">
        <v>28</v>
      </c>
      <c r="B34" s="29"/>
      <c r="C34" s="34"/>
      <c r="E34" s="30">
        <v>9</v>
      </c>
      <c r="F34" s="1626" t="s">
        <v>194</v>
      </c>
      <c r="G34" s="20">
        <v>75380</v>
      </c>
      <c r="H34" s="20">
        <v>103204</v>
      </c>
      <c r="I34" s="20">
        <v>276332</v>
      </c>
      <c r="J34" s="911">
        <f>'8.Felúj.'!J216</f>
        <v>884831</v>
      </c>
      <c r="K34" s="20">
        <v>1422545</v>
      </c>
      <c r="L34" s="919">
        <f>'8.Felúj.'!J218+'11.EKF'!N170</f>
        <v>178493</v>
      </c>
    </row>
    <row r="35" spans="1:18" s="28" customFormat="1" ht="30" customHeight="1" x14ac:dyDescent="0.35">
      <c r="A35" s="238">
        <v>29</v>
      </c>
      <c r="B35" s="123" t="s">
        <v>312</v>
      </c>
      <c r="C35" s="31"/>
      <c r="D35" s="32"/>
      <c r="E35" s="31"/>
      <c r="F35" s="33" t="s">
        <v>173</v>
      </c>
      <c r="G35" s="33">
        <f>SUM(G36:G37)</f>
        <v>0</v>
      </c>
      <c r="H35" s="33">
        <f>SUM(H36:H37)</f>
        <v>0</v>
      </c>
      <c r="I35" s="33">
        <f>SUM(I36:I37)</f>
        <v>0</v>
      </c>
      <c r="J35" s="912">
        <f>SUM(J36:J37)</f>
        <v>0</v>
      </c>
      <c r="K35" s="1234">
        <f t="shared" ref="K35:L35" si="8">SUM(K36:K37)</f>
        <v>0</v>
      </c>
      <c r="L35" s="1627">
        <f t="shared" si="8"/>
        <v>0</v>
      </c>
    </row>
    <row r="36" spans="1:18" ht="24" customHeight="1" x14ac:dyDescent="0.35">
      <c r="A36" s="238">
        <v>30</v>
      </c>
      <c r="B36" s="29"/>
      <c r="D36" s="30">
        <v>1</v>
      </c>
      <c r="F36" s="1590" t="s">
        <v>35</v>
      </c>
      <c r="J36" s="911"/>
      <c r="L36" s="919"/>
    </row>
    <row r="37" spans="1:18" ht="24" customHeight="1" thickBot="1" x14ac:dyDescent="0.4">
      <c r="A37" s="238">
        <v>31</v>
      </c>
      <c r="B37" s="29"/>
      <c r="D37" s="30">
        <v>2</v>
      </c>
      <c r="F37" s="1633" t="s">
        <v>129</v>
      </c>
      <c r="J37" s="911"/>
      <c r="L37" s="919"/>
    </row>
    <row r="38" spans="1:18" s="37" customFormat="1" ht="40.15" customHeight="1" thickBot="1" x14ac:dyDescent="0.25">
      <c r="A38" s="238">
        <v>32</v>
      </c>
      <c r="B38" s="40"/>
      <c r="C38" s="41"/>
      <c r="D38" s="42"/>
      <c r="E38" s="41"/>
      <c r="F38" s="43" t="s">
        <v>174</v>
      </c>
      <c r="G38" s="43">
        <f>SUM(G7,G13,G35)</f>
        <v>42508624</v>
      </c>
      <c r="H38" s="43">
        <f>SUM(H7,H13,H35)</f>
        <v>49169604</v>
      </c>
      <c r="I38" s="43">
        <f>SUM(I7,I13,I35)</f>
        <v>52054148</v>
      </c>
      <c r="J38" s="917">
        <f>SUM(J7,J13,J35)</f>
        <v>43090034</v>
      </c>
      <c r="K38" s="1236">
        <f t="shared" ref="K38:L38" si="9">SUM(K7,K13,K35)</f>
        <v>46358091</v>
      </c>
      <c r="L38" s="1634">
        <f t="shared" si="9"/>
        <v>18056089</v>
      </c>
    </row>
    <row r="39" spans="1:18" ht="30" customHeight="1" x14ac:dyDescent="0.35">
      <c r="A39" s="238">
        <v>33</v>
      </c>
      <c r="B39" s="29" t="s">
        <v>312</v>
      </c>
      <c r="F39" s="28" t="s">
        <v>175</v>
      </c>
      <c r="G39" s="28">
        <f>SUM(G43:G44,G40:G41)</f>
        <v>516318</v>
      </c>
      <c r="H39" s="28">
        <f>SUM(H43:H44,H40:H41)</f>
        <v>432995</v>
      </c>
      <c r="I39" s="28">
        <f>SUM(I43:I44,I40:I41)</f>
        <v>636829</v>
      </c>
      <c r="J39" s="913">
        <f>SUM(J43:J44,J40:J41)</f>
        <v>457737</v>
      </c>
      <c r="K39" s="1235">
        <f t="shared" ref="K39:L39" si="10">SUM(K43:K44,K40:K41)</f>
        <v>561256</v>
      </c>
      <c r="L39" s="1628">
        <f t="shared" si="10"/>
        <v>446030</v>
      </c>
      <c r="R39" s="20" t="s">
        <v>214</v>
      </c>
    </row>
    <row r="40" spans="1:18" x14ac:dyDescent="0.35">
      <c r="A40" s="238">
        <v>34</v>
      </c>
      <c r="B40" s="29"/>
      <c r="D40" s="30">
        <v>1</v>
      </c>
      <c r="F40" s="20" t="s">
        <v>176</v>
      </c>
      <c r="J40" s="911"/>
      <c r="L40" s="919"/>
    </row>
    <row r="41" spans="1:18" x14ac:dyDescent="0.35">
      <c r="A41" s="238">
        <v>35</v>
      </c>
      <c r="B41" s="29"/>
      <c r="E41" s="30">
        <v>11</v>
      </c>
      <c r="F41" s="20" t="s">
        <v>222</v>
      </c>
      <c r="G41" s="20">
        <v>298556</v>
      </c>
      <c r="H41" s="20">
        <v>196121</v>
      </c>
      <c r="I41" s="20">
        <v>354955</v>
      </c>
      <c r="J41" s="911">
        <v>219898</v>
      </c>
      <c r="K41" s="20">
        <v>323417</v>
      </c>
      <c r="L41" s="919">
        <v>327111</v>
      </c>
    </row>
    <row r="42" spans="1:18" x14ac:dyDescent="0.35">
      <c r="A42" s="238">
        <v>36</v>
      </c>
      <c r="B42" s="29"/>
      <c r="D42" s="30">
        <v>2</v>
      </c>
      <c r="F42" s="20" t="s">
        <v>177</v>
      </c>
      <c r="J42" s="911"/>
      <c r="L42" s="919"/>
    </row>
    <row r="43" spans="1:18" x14ac:dyDescent="0.35">
      <c r="A43" s="238">
        <v>37</v>
      </c>
      <c r="B43" s="29"/>
      <c r="E43" s="30">
        <v>12</v>
      </c>
      <c r="F43" s="1635" t="s">
        <v>178</v>
      </c>
      <c r="G43" s="20">
        <v>217762</v>
      </c>
      <c r="H43" s="20">
        <v>236874</v>
      </c>
      <c r="I43" s="20">
        <v>281874</v>
      </c>
      <c r="J43" s="911">
        <v>237839</v>
      </c>
      <c r="K43" s="20">
        <v>237839</v>
      </c>
      <c r="L43" s="919">
        <v>118919</v>
      </c>
    </row>
    <row r="44" spans="1:18" s="39" customFormat="1" ht="18" customHeight="1" thickBot="1" x14ac:dyDescent="0.25">
      <c r="A44" s="238">
        <v>38</v>
      </c>
      <c r="B44" s="38"/>
      <c r="C44" s="1636"/>
      <c r="D44" s="1636"/>
      <c r="E44" s="1636">
        <v>12</v>
      </c>
      <c r="F44" s="1637" t="s">
        <v>179</v>
      </c>
      <c r="J44" s="918"/>
      <c r="L44" s="1638"/>
    </row>
    <row r="45" spans="1:18" s="37" customFormat="1" ht="40.15" customHeight="1" thickBot="1" x14ac:dyDescent="0.25">
      <c r="A45" s="238">
        <v>39</v>
      </c>
      <c r="B45" s="40"/>
      <c r="C45" s="41"/>
      <c r="D45" s="42"/>
      <c r="E45" s="41"/>
      <c r="F45" s="43" t="s">
        <v>180</v>
      </c>
      <c r="G45" s="43">
        <f t="shared" ref="G45:L45" si="11">SUM(G38:G39)</f>
        <v>43024942</v>
      </c>
      <c r="H45" s="43">
        <f t="shared" si="11"/>
        <v>49602599</v>
      </c>
      <c r="I45" s="43">
        <f t="shared" si="11"/>
        <v>52690977</v>
      </c>
      <c r="J45" s="917">
        <f t="shared" si="11"/>
        <v>43547771</v>
      </c>
      <c r="K45" s="1236">
        <f t="shared" si="11"/>
        <v>46919347</v>
      </c>
      <c r="L45" s="1634">
        <f t="shared" si="11"/>
        <v>18502119</v>
      </c>
    </row>
    <row r="50" spans="1:12" x14ac:dyDescent="0.35">
      <c r="C50" s="34"/>
      <c r="E50" s="34"/>
      <c r="F50" s="28"/>
      <c r="G50" s="28"/>
      <c r="H50" s="28"/>
      <c r="I50" s="28"/>
    </row>
    <row r="61" spans="1:12" s="28" customFormat="1" x14ac:dyDescent="0.35">
      <c r="A61" s="240"/>
      <c r="B61" s="44"/>
      <c r="C61" s="34"/>
      <c r="D61" s="30"/>
      <c r="E61" s="34"/>
      <c r="L61" s="1235"/>
    </row>
    <row r="66" spans="1:12" s="28" customFormat="1" x14ac:dyDescent="0.35">
      <c r="A66" s="240"/>
      <c r="B66" s="44"/>
      <c r="C66" s="34"/>
      <c r="D66" s="30"/>
      <c r="E66" s="34"/>
      <c r="L66" s="1235"/>
    </row>
    <row r="68" spans="1:12" s="28" customFormat="1" x14ac:dyDescent="0.35">
      <c r="A68" s="240"/>
      <c r="B68" s="44"/>
      <c r="C68" s="34"/>
      <c r="D68" s="30"/>
      <c r="E68" s="34"/>
      <c r="L68" s="1235"/>
    </row>
  </sheetData>
  <mergeCells count="3">
    <mergeCell ref="B1:F1"/>
    <mergeCell ref="B2:L2"/>
    <mergeCell ref="B3:L3"/>
  </mergeCells>
  <printOptions horizontalCentered="1"/>
  <pageMargins left="0.19685039370078741" right="0.19685039370078741" top="0.59055118110236227" bottom="0.59055118110236227" header="0.51181102362204722" footer="0.51181102362204722"/>
  <pageSetup paperSize="9" scale="53" fitToHeight="2" orientation="portrait" r:id="rId1"/>
  <headerFooter alignWithMargins="0">
    <oddFooter>&amp;C-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S112"/>
  <sheetViews>
    <sheetView view="pageBreakPreview" zoomScaleNormal="100" zoomScaleSheetLayoutView="100" workbookViewId="0">
      <pane xSplit="8" ySplit="7" topLeftCell="I97" activePane="bottomRight" state="frozen"/>
      <selection pane="topRight" activeCell="I1" sqref="I1"/>
      <selection pane="bottomLeft" activeCell="A9" sqref="A9"/>
      <selection pane="bottomRight" activeCell="K112" sqref="K112"/>
    </sheetView>
  </sheetViews>
  <sheetFormatPr defaultColWidth="9.28515625" defaultRowHeight="12.75" x14ac:dyDescent="0.2"/>
  <cols>
    <col min="1" max="1" width="3.7109375" style="471" customWidth="1"/>
    <col min="2" max="3" width="5.7109375" customWidth="1"/>
    <col min="4" max="4" width="4.7109375" customWidth="1"/>
    <col min="5" max="5" width="51.7109375" customWidth="1"/>
    <col min="6" max="8" width="10.5703125" customWidth="1"/>
    <col min="9" max="9" width="13.5703125" customWidth="1"/>
    <col min="10" max="10" width="10" customWidth="1"/>
    <col min="11" max="11" width="14" bestFit="1" customWidth="1"/>
    <col min="12" max="12" width="11.7109375" customWidth="1"/>
    <col min="13" max="13" width="12.42578125" bestFit="1" customWidth="1"/>
    <col min="14" max="14" width="14" customWidth="1"/>
    <col min="15" max="16" width="12.7109375" customWidth="1"/>
    <col min="17" max="17" width="10.7109375" customWidth="1"/>
    <col min="18" max="18" width="12.7109375" style="455" customWidth="1"/>
  </cols>
  <sheetData>
    <row r="1" spans="1:19" s="397" customFormat="1" ht="18" customHeight="1" x14ac:dyDescent="0.2">
      <c r="A1" s="395"/>
      <c r="B1" s="1803" t="s">
        <v>1008</v>
      </c>
      <c r="C1" s="1803"/>
      <c r="D1" s="1803"/>
      <c r="E1" s="1803"/>
      <c r="F1" s="160"/>
      <c r="G1" s="160"/>
      <c r="H1" s="160"/>
      <c r="I1" s="160"/>
      <c r="J1" s="160"/>
      <c r="K1" s="160"/>
      <c r="L1" s="160"/>
      <c r="M1" s="160"/>
      <c r="N1" s="160"/>
      <c r="O1" s="160"/>
      <c r="P1" s="160"/>
      <c r="Q1" s="160"/>
      <c r="R1" s="396"/>
      <c r="S1" s="160"/>
    </row>
    <row r="2" spans="1:19" s="397" customFormat="1" ht="24.75" customHeight="1" x14ac:dyDescent="0.2">
      <c r="A2" s="395"/>
      <c r="B2" s="1804" t="s">
        <v>108</v>
      </c>
      <c r="C2" s="1804"/>
      <c r="D2" s="1804"/>
      <c r="E2" s="1804"/>
      <c r="F2" s="1804"/>
      <c r="G2" s="1804"/>
      <c r="H2" s="1804"/>
      <c r="I2" s="1804"/>
      <c r="J2" s="1804"/>
      <c r="K2" s="1804"/>
      <c r="L2" s="1804"/>
      <c r="M2" s="1804"/>
      <c r="N2" s="1804"/>
      <c r="O2" s="1804"/>
      <c r="P2" s="1804"/>
      <c r="Q2" s="1804"/>
      <c r="R2" s="1804"/>
      <c r="S2" s="160"/>
    </row>
    <row r="3" spans="1:19" s="397" customFormat="1" ht="24.75" customHeight="1" x14ac:dyDescent="0.2">
      <c r="A3" s="395"/>
      <c r="B3" s="1804" t="s">
        <v>1005</v>
      </c>
      <c r="C3" s="1804"/>
      <c r="D3" s="1804"/>
      <c r="E3" s="1804"/>
      <c r="F3" s="1804"/>
      <c r="G3" s="1804"/>
      <c r="H3" s="1804"/>
      <c r="I3" s="1804"/>
      <c r="J3" s="1804"/>
      <c r="K3" s="1804"/>
      <c r="L3" s="1804"/>
      <c r="M3" s="1804"/>
      <c r="N3" s="1804"/>
      <c r="O3" s="1804"/>
      <c r="P3" s="1804"/>
      <c r="Q3" s="1804"/>
      <c r="R3" s="1804"/>
      <c r="S3" s="160"/>
    </row>
    <row r="4" spans="1:19" ht="18" customHeight="1" x14ac:dyDescent="0.3">
      <c r="A4" s="395"/>
      <c r="B4" s="398"/>
      <c r="C4" s="97"/>
      <c r="D4" s="97"/>
      <c r="E4" s="97"/>
      <c r="F4" s="399"/>
      <c r="G4" s="399"/>
      <c r="H4" s="399"/>
      <c r="I4" s="399"/>
      <c r="J4" s="399"/>
      <c r="K4" s="399"/>
      <c r="L4" s="399"/>
      <c r="M4" s="399"/>
      <c r="N4" s="399"/>
      <c r="O4" s="399"/>
      <c r="P4" s="399"/>
      <c r="Q4" s="399"/>
      <c r="R4" s="400" t="s">
        <v>0</v>
      </c>
      <c r="S4" s="399"/>
    </row>
    <row r="5" spans="1:19" s="395" customFormat="1" ht="18" customHeight="1" thickBot="1" x14ac:dyDescent="0.25">
      <c r="B5" s="395" t="s">
        <v>1</v>
      </c>
      <c r="C5" s="395" t="s">
        <v>3</v>
      </c>
      <c r="D5" s="1805" t="s">
        <v>2</v>
      </c>
      <c r="E5" s="1805"/>
      <c r="F5" s="395" t="s">
        <v>4</v>
      </c>
      <c r="G5" s="395" t="s">
        <v>5</v>
      </c>
      <c r="H5" s="395" t="s">
        <v>15</v>
      </c>
      <c r="I5" s="395" t="s">
        <v>16</v>
      </c>
      <c r="J5" s="395" t="s">
        <v>17</v>
      </c>
      <c r="K5" s="395" t="s">
        <v>32</v>
      </c>
      <c r="L5" s="395" t="s">
        <v>28</v>
      </c>
      <c r="M5" s="395" t="s">
        <v>23</v>
      </c>
      <c r="N5" s="395" t="s">
        <v>33</v>
      </c>
      <c r="O5" s="395" t="s">
        <v>34</v>
      </c>
      <c r="P5" s="395" t="s">
        <v>126</v>
      </c>
      <c r="Q5" s="395" t="s">
        <v>127</v>
      </c>
      <c r="R5" s="395" t="s">
        <v>128</v>
      </c>
    </row>
    <row r="6" spans="1:19" s="398" customFormat="1" ht="30" customHeight="1" x14ac:dyDescent="0.2">
      <c r="A6" s="395"/>
      <c r="B6" s="1806" t="s">
        <v>18</v>
      </c>
      <c r="C6" s="1808" t="s">
        <v>19</v>
      </c>
      <c r="D6" s="1810" t="s">
        <v>6</v>
      </c>
      <c r="E6" s="1811"/>
      <c r="F6" s="1814" t="s">
        <v>532</v>
      </c>
      <c r="G6" s="1814" t="s">
        <v>523</v>
      </c>
      <c r="H6" s="1816" t="s">
        <v>545</v>
      </c>
      <c r="I6" s="1820" t="s">
        <v>533</v>
      </c>
      <c r="J6" s="1822" t="s">
        <v>109</v>
      </c>
      <c r="K6" s="1822"/>
      <c r="L6" s="1822"/>
      <c r="M6" s="1799" t="s">
        <v>110</v>
      </c>
      <c r="N6" s="1799"/>
      <c r="O6" s="1799"/>
      <c r="P6" s="1799" t="s">
        <v>220</v>
      </c>
      <c r="Q6" s="1799" t="s">
        <v>111</v>
      </c>
      <c r="R6" s="1799"/>
    </row>
    <row r="7" spans="1:19" ht="60.75" thickBot="1" x14ac:dyDescent="0.25">
      <c r="A7" s="395"/>
      <c r="B7" s="1807"/>
      <c r="C7" s="1809"/>
      <c r="D7" s="1812"/>
      <c r="E7" s="1813"/>
      <c r="F7" s="1815"/>
      <c r="G7" s="1815"/>
      <c r="H7" s="1817"/>
      <c r="I7" s="1821"/>
      <c r="J7" s="635" t="s">
        <v>112</v>
      </c>
      <c r="K7" s="635" t="s">
        <v>113</v>
      </c>
      <c r="L7" s="635" t="s">
        <v>114</v>
      </c>
      <c r="M7" s="635" t="s">
        <v>115</v>
      </c>
      <c r="N7" s="635" t="s">
        <v>116</v>
      </c>
      <c r="O7" s="635" t="s">
        <v>117</v>
      </c>
      <c r="P7" s="1823"/>
      <c r="Q7" s="635" t="s">
        <v>102</v>
      </c>
      <c r="R7" s="401" t="s">
        <v>270</v>
      </c>
      <c r="S7" s="399"/>
    </row>
    <row r="8" spans="1:19" s="97" customFormat="1" ht="22.5" customHeight="1" x14ac:dyDescent="0.3">
      <c r="A8" s="395">
        <v>1</v>
      </c>
      <c r="B8" s="402">
        <v>1</v>
      </c>
      <c r="C8" s="403"/>
      <c r="D8" s="404" t="s">
        <v>255</v>
      </c>
      <c r="E8" s="405"/>
      <c r="F8" s="406">
        <v>258704</v>
      </c>
      <c r="G8" s="406">
        <v>302590</v>
      </c>
      <c r="H8" s="407">
        <v>322340</v>
      </c>
      <c r="I8" s="408"/>
      <c r="J8" s="406"/>
      <c r="K8" s="406"/>
      <c r="L8" s="406"/>
      <c r="M8" s="406"/>
      <c r="N8" s="406"/>
      <c r="O8" s="406"/>
      <c r="P8" s="406"/>
      <c r="Q8" s="406"/>
      <c r="R8" s="627"/>
    </row>
    <row r="9" spans="1:19" s="97" customFormat="1" ht="18" customHeight="1" x14ac:dyDescent="0.3">
      <c r="A9" s="395">
        <v>2</v>
      </c>
      <c r="B9" s="409"/>
      <c r="C9" s="410"/>
      <c r="D9" s="411" t="s">
        <v>258</v>
      </c>
      <c r="E9" s="636"/>
      <c r="F9" s="412"/>
      <c r="G9" s="412"/>
      <c r="H9" s="413"/>
      <c r="I9" s="414"/>
      <c r="J9" s="412"/>
      <c r="K9" s="412"/>
      <c r="L9" s="412"/>
      <c r="M9" s="412"/>
      <c r="N9" s="412"/>
      <c r="O9" s="412"/>
      <c r="P9" s="412"/>
      <c r="Q9" s="412"/>
      <c r="R9" s="574"/>
    </row>
    <row r="10" spans="1:19" s="422" customFormat="1" ht="18" customHeight="1" x14ac:dyDescent="0.3">
      <c r="A10" s="395">
        <v>3</v>
      </c>
      <c r="B10" s="416"/>
      <c r="C10" s="417"/>
      <c r="D10" s="418"/>
      <c r="E10" s="487" t="s">
        <v>252</v>
      </c>
      <c r="F10" s="419"/>
      <c r="G10" s="419"/>
      <c r="H10" s="420"/>
      <c r="I10" s="333">
        <f>SUM(J10:Q10)</f>
        <v>373089</v>
      </c>
      <c r="J10" s="419">
        <v>8334</v>
      </c>
      <c r="K10" s="419"/>
      <c r="L10" s="419"/>
      <c r="M10" s="419"/>
      <c r="N10" s="419"/>
      <c r="O10" s="419"/>
      <c r="P10" s="419"/>
      <c r="Q10" s="419">
        <v>364755</v>
      </c>
      <c r="R10" s="628">
        <v>274305</v>
      </c>
      <c r="S10" s="421"/>
    </row>
    <row r="11" spans="1:19" s="422" customFormat="1" ht="18" customHeight="1" x14ac:dyDescent="0.3">
      <c r="A11" s="395">
        <v>4</v>
      </c>
      <c r="B11" s="416"/>
      <c r="C11" s="417"/>
      <c r="D11" s="418"/>
      <c r="E11" s="1003" t="s">
        <v>921</v>
      </c>
      <c r="F11" s="419"/>
      <c r="G11" s="419"/>
      <c r="H11" s="420"/>
      <c r="I11" s="1046">
        <f>SUM(J11:Q11)</f>
        <v>398682</v>
      </c>
      <c r="J11" s="570">
        <v>13684</v>
      </c>
      <c r="K11" s="570"/>
      <c r="L11" s="570"/>
      <c r="M11" s="570"/>
      <c r="N11" s="570"/>
      <c r="O11" s="570"/>
      <c r="P11" s="570">
        <v>12424</v>
      </c>
      <c r="Q11" s="570">
        <v>372574</v>
      </c>
      <c r="R11" s="1412">
        <v>274305</v>
      </c>
      <c r="S11" s="421"/>
    </row>
    <row r="12" spans="1:19" s="422" customFormat="1" ht="18" customHeight="1" x14ac:dyDescent="0.3">
      <c r="A12" s="395">
        <v>5</v>
      </c>
      <c r="B12" s="416"/>
      <c r="C12" s="417"/>
      <c r="D12" s="418"/>
      <c r="E12" s="1002" t="s">
        <v>972</v>
      </c>
      <c r="F12" s="419"/>
      <c r="G12" s="419"/>
      <c r="H12" s="420"/>
      <c r="I12" s="1045">
        <f>SUM(J12:Q12)</f>
        <v>184565</v>
      </c>
      <c r="J12" s="415">
        <v>13887</v>
      </c>
      <c r="K12" s="415"/>
      <c r="L12" s="415"/>
      <c r="M12" s="415"/>
      <c r="N12" s="415"/>
      <c r="O12" s="415"/>
      <c r="P12" s="415">
        <v>12424</v>
      </c>
      <c r="Q12" s="415">
        <v>158254</v>
      </c>
      <c r="R12" s="574">
        <v>142638</v>
      </c>
      <c r="S12" s="421"/>
    </row>
    <row r="13" spans="1:19" s="424" customFormat="1" ht="22.5" customHeight="1" x14ac:dyDescent="0.3">
      <c r="A13" s="395">
        <v>6</v>
      </c>
      <c r="B13" s="409">
        <v>2</v>
      </c>
      <c r="C13" s="410"/>
      <c r="D13" s="423" t="s">
        <v>269</v>
      </c>
      <c r="E13" s="423"/>
      <c r="F13" s="412">
        <v>419339</v>
      </c>
      <c r="G13" s="412">
        <v>500303</v>
      </c>
      <c r="H13" s="413">
        <v>525927</v>
      </c>
      <c r="I13" s="414"/>
      <c r="J13" s="412"/>
      <c r="K13" s="412"/>
      <c r="L13" s="412"/>
      <c r="M13" s="412"/>
      <c r="N13" s="412"/>
      <c r="O13" s="412"/>
      <c r="P13" s="412"/>
      <c r="Q13" s="412"/>
      <c r="R13" s="574"/>
    </row>
    <row r="14" spans="1:19" s="424" customFormat="1" ht="18" customHeight="1" x14ac:dyDescent="0.3">
      <c r="A14" s="395">
        <v>7</v>
      </c>
      <c r="B14" s="409"/>
      <c r="C14" s="410"/>
      <c r="D14" s="636" t="s">
        <v>253</v>
      </c>
      <c r="E14" s="636"/>
      <c r="F14" s="412"/>
      <c r="G14" s="412"/>
      <c r="H14" s="413"/>
      <c r="I14" s="414"/>
      <c r="J14" s="412"/>
      <c r="K14" s="412"/>
      <c r="L14" s="412"/>
      <c r="M14" s="412"/>
      <c r="N14" s="412"/>
      <c r="O14" s="412"/>
      <c r="P14" s="412"/>
      <c r="Q14" s="412"/>
      <c r="R14" s="574"/>
    </row>
    <row r="15" spans="1:19" s="425" customFormat="1" ht="18" customHeight="1" x14ac:dyDescent="0.3">
      <c r="A15" s="395">
        <v>8</v>
      </c>
      <c r="B15" s="416"/>
      <c r="C15" s="417"/>
      <c r="D15" s="418"/>
      <c r="E15" s="487" t="s">
        <v>252</v>
      </c>
      <c r="F15" s="419"/>
      <c r="G15" s="419"/>
      <c r="H15" s="420"/>
      <c r="I15" s="333">
        <f>SUM(J15:Q15)</f>
        <v>612920</v>
      </c>
      <c r="J15" s="419">
        <v>15944</v>
      </c>
      <c r="K15" s="419"/>
      <c r="L15" s="419"/>
      <c r="M15" s="419"/>
      <c r="N15" s="419"/>
      <c r="O15" s="419"/>
      <c r="P15" s="419">
        <v>1900</v>
      </c>
      <c r="Q15" s="419">
        <v>595076</v>
      </c>
      <c r="R15" s="628">
        <v>416995</v>
      </c>
    </row>
    <row r="16" spans="1:19" s="425" customFormat="1" ht="18" customHeight="1" x14ac:dyDescent="0.3">
      <c r="A16" s="395">
        <v>9</v>
      </c>
      <c r="B16" s="416"/>
      <c r="C16" s="417"/>
      <c r="D16" s="418"/>
      <c r="E16" s="1003" t="s">
        <v>921</v>
      </c>
      <c r="F16" s="419"/>
      <c r="G16" s="419"/>
      <c r="H16" s="420"/>
      <c r="I16" s="1046">
        <f>SUM(J16:Q16)</f>
        <v>640748</v>
      </c>
      <c r="J16" s="570">
        <v>15944</v>
      </c>
      <c r="K16" s="570"/>
      <c r="L16" s="570"/>
      <c r="M16" s="570"/>
      <c r="N16" s="570"/>
      <c r="O16" s="570"/>
      <c r="P16" s="570">
        <v>18038</v>
      </c>
      <c r="Q16" s="570">
        <v>606766</v>
      </c>
      <c r="R16" s="1412">
        <v>416995</v>
      </c>
    </row>
    <row r="17" spans="1:19" s="425" customFormat="1" ht="18" customHeight="1" x14ac:dyDescent="0.3">
      <c r="A17" s="395">
        <v>10</v>
      </c>
      <c r="B17" s="416"/>
      <c r="C17" s="417"/>
      <c r="D17" s="418"/>
      <c r="E17" s="1002" t="s">
        <v>972</v>
      </c>
      <c r="F17" s="419"/>
      <c r="G17" s="419"/>
      <c r="H17" s="420"/>
      <c r="I17" s="1045">
        <f>SUM(J17:Q17)</f>
        <v>279960</v>
      </c>
      <c r="J17" s="415">
        <v>7578</v>
      </c>
      <c r="K17" s="419"/>
      <c r="L17" s="419"/>
      <c r="M17" s="419"/>
      <c r="N17" s="419"/>
      <c r="O17" s="419"/>
      <c r="P17" s="415">
        <v>18038</v>
      </c>
      <c r="Q17" s="415">
        <v>254344</v>
      </c>
      <c r="R17" s="574">
        <v>216838</v>
      </c>
    </row>
    <row r="18" spans="1:19" s="426" customFormat="1" ht="22.5" customHeight="1" x14ac:dyDescent="0.3">
      <c r="A18" s="395">
        <v>11</v>
      </c>
      <c r="B18" s="409">
        <v>3</v>
      </c>
      <c r="C18" s="410"/>
      <c r="D18" s="423" t="s">
        <v>223</v>
      </c>
      <c r="E18" s="423"/>
      <c r="F18" s="412">
        <v>497621</v>
      </c>
      <c r="G18" s="412">
        <v>527697</v>
      </c>
      <c r="H18" s="413">
        <v>557357</v>
      </c>
      <c r="I18" s="414"/>
      <c r="J18" s="412"/>
      <c r="K18" s="412"/>
      <c r="L18" s="412"/>
      <c r="M18" s="412"/>
      <c r="N18" s="412"/>
      <c r="O18" s="412"/>
      <c r="P18" s="412"/>
      <c r="Q18" s="412"/>
      <c r="R18" s="574"/>
    </row>
    <row r="19" spans="1:19" s="97" customFormat="1" ht="18" customHeight="1" x14ac:dyDescent="0.3">
      <c r="A19" s="395">
        <v>12</v>
      </c>
      <c r="B19" s="427"/>
      <c r="C19" s="410"/>
      <c r="D19" s="428" t="s">
        <v>119</v>
      </c>
      <c r="E19" s="428"/>
      <c r="F19" s="429"/>
      <c r="G19" s="429"/>
      <c r="H19" s="430"/>
      <c r="I19" s="431"/>
      <c r="J19" s="429"/>
      <c r="K19" s="429"/>
      <c r="L19" s="429"/>
      <c r="M19" s="429"/>
      <c r="N19" s="429"/>
      <c r="O19" s="429"/>
      <c r="P19" s="429"/>
      <c r="Q19" s="429"/>
      <c r="R19" s="629"/>
    </row>
    <row r="20" spans="1:19" s="422" customFormat="1" ht="18" customHeight="1" x14ac:dyDescent="0.3">
      <c r="A20" s="395">
        <v>13</v>
      </c>
      <c r="B20" s="416"/>
      <c r="C20" s="417"/>
      <c r="D20" s="418"/>
      <c r="E20" s="487" t="s">
        <v>252</v>
      </c>
      <c r="F20" s="419"/>
      <c r="G20" s="419"/>
      <c r="H20" s="420"/>
      <c r="I20" s="333">
        <f>SUM(J20:Q20)</f>
        <v>616909</v>
      </c>
      <c r="J20" s="419">
        <v>11445</v>
      </c>
      <c r="K20" s="419"/>
      <c r="L20" s="419"/>
      <c r="M20" s="419"/>
      <c r="N20" s="419"/>
      <c r="O20" s="419"/>
      <c r="P20" s="419">
        <v>24600</v>
      </c>
      <c r="Q20" s="419">
        <v>580864</v>
      </c>
      <c r="R20" s="628">
        <v>427571</v>
      </c>
      <c r="S20" s="421"/>
    </row>
    <row r="21" spans="1:19" s="422" customFormat="1" ht="18" customHeight="1" x14ac:dyDescent="0.3">
      <c r="A21" s="395">
        <v>14</v>
      </c>
      <c r="B21" s="416"/>
      <c r="C21" s="417"/>
      <c r="D21" s="418"/>
      <c r="E21" s="1003" t="s">
        <v>921</v>
      </c>
      <c r="F21" s="419"/>
      <c r="G21" s="419"/>
      <c r="H21" s="420"/>
      <c r="I21" s="1046">
        <f>SUM(J21:Q21)</f>
        <v>657897</v>
      </c>
      <c r="J21" s="570">
        <v>11445</v>
      </c>
      <c r="K21" s="570"/>
      <c r="L21" s="570"/>
      <c r="M21" s="570"/>
      <c r="N21" s="570"/>
      <c r="O21" s="570"/>
      <c r="P21" s="570">
        <v>49843</v>
      </c>
      <c r="Q21" s="570">
        <v>596609</v>
      </c>
      <c r="R21" s="1412">
        <v>427571</v>
      </c>
      <c r="S21" s="421"/>
    </row>
    <row r="22" spans="1:19" s="422" customFormat="1" ht="18" customHeight="1" x14ac:dyDescent="0.3">
      <c r="A22" s="395">
        <v>15</v>
      </c>
      <c r="B22" s="416"/>
      <c r="C22" s="417"/>
      <c r="D22" s="418"/>
      <c r="E22" s="1002" t="s">
        <v>972</v>
      </c>
      <c r="F22" s="419"/>
      <c r="G22" s="419"/>
      <c r="H22" s="420"/>
      <c r="I22" s="1045">
        <f>SUM(J22:Q22)</f>
        <v>282498</v>
      </c>
      <c r="J22" s="415">
        <v>7724</v>
      </c>
      <c r="K22" s="419"/>
      <c r="L22" s="419"/>
      <c r="M22" s="419"/>
      <c r="N22" s="419"/>
      <c r="O22" s="419"/>
      <c r="P22" s="415">
        <v>49843</v>
      </c>
      <c r="Q22" s="415">
        <v>224931</v>
      </c>
      <c r="R22" s="574">
        <v>222337</v>
      </c>
      <c r="S22" s="421"/>
    </row>
    <row r="23" spans="1:19" s="424" customFormat="1" ht="22.5" customHeight="1" x14ac:dyDescent="0.3">
      <c r="A23" s="395">
        <v>16</v>
      </c>
      <c r="B23" s="409">
        <v>4</v>
      </c>
      <c r="C23" s="410"/>
      <c r="D23" s="432" t="s">
        <v>224</v>
      </c>
      <c r="E23" s="432"/>
      <c r="F23" s="412">
        <v>409039</v>
      </c>
      <c r="G23" s="412">
        <v>441720</v>
      </c>
      <c r="H23" s="413">
        <v>485238</v>
      </c>
      <c r="I23" s="414"/>
      <c r="J23" s="412"/>
      <c r="K23" s="412"/>
      <c r="L23" s="412"/>
      <c r="M23" s="412"/>
      <c r="N23" s="412"/>
      <c r="O23" s="412"/>
      <c r="P23" s="412"/>
      <c r="Q23" s="412"/>
      <c r="R23" s="574"/>
    </row>
    <row r="24" spans="1:19" s="426" customFormat="1" ht="18" customHeight="1" x14ac:dyDescent="0.3">
      <c r="A24" s="395">
        <v>17</v>
      </c>
      <c r="B24" s="427"/>
      <c r="C24" s="410"/>
      <c r="D24" s="428" t="s">
        <v>120</v>
      </c>
      <c r="E24" s="428"/>
      <c r="F24" s="429"/>
      <c r="G24" s="429"/>
      <c r="H24" s="430"/>
      <c r="I24" s="431"/>
      <c r="J24" s="429"/>
      <c r="K24" s="429"/>
      <c r="L24" s="429"/>
      <c r="M24" s="429"/>
      <c r="N24" s="429"/>
      <c r="O24" s="429"/>
      <c r="P24" s="429"/>
      <c r="Q24" s="429"/>
      <c r="R24" s="629"/>
    </row>
    <row r="25" spans="1:19" s="433" customFormat="1" ht="18" customHeight="1" x14ac:dyDescent="0.3">
      <c r="A25" s="395">
        <v>18</v>
      </c>
      <c r="B25" s="416"/>
      <c r="C25" s="417"/>
      <c r="D25" s="418"/>
      <c r="E25" s="487" t="s">
        <v>252</v>
      </c>
      <c r="F25" s="419"/>
      <c r="G25" s="419"/>
      <c r="H25" s="420"/>
      <c r="I25" s="333">
        <f>SUM(J25:Q25)</f>
        <v>539457</v>
      </c>
      <c r="J25" s="419">
        <v>19526</v>
      </c>
      <c r="K25" s="419"/>
      <c r="L25" s="419"/>
      <c r="M25" s="419"/>
      <c r="N25" s="419"/>
      <c r="O25" s="419"/>
      <c r="P25" s="419">
        <v>6500</v>
      </c>
      <c r="Q25" s="419">
        <v>513431</v>
      </c>
      <c r="R25" s="628">
        <v>445576</v>
      </c>
    </row>
    <row r="26" spans="1:19" s="433" customFormat="1" ht="18" customHeight="1" x14ac:dyDescent="0.3">
      <c r="A26" s="395">
        <v>19</v>
      </c>
      <c r="B26" s="416"/>
      <c r="C26" s="417"/>
      <c r="D26" s="418"/>
      <c r="E26" s="1003" t="s">
        <v>921</v>
      </c>
      <c r="F26" s="419"/>
      <c r="G26" s="419"/>
      <c r="H26" s="420"/>
      <c r="I26" s="1046">
        <f>SUM(J26:Q26)</f>
        <v>571477</v>
      </c>
      <c r="J26" s="570">
        <v>19526</v>
      </c>
      <c r="K26" s="570"/>
      <c r="L26" s="570"/>
      <c r="M26" s="570"/>
      <c r="N26" s="570"/>
      <c r="O26" s="570"/>
      <c r="P26" s="570">
        <v>27854</v>
      </c>
      <c r="Q26" s="570">
        <v>524097</v>
      </c>
      <c r="R26" s="1412">
        <v>445576</v>
      </c>
    </row>
    <row r="27" spans="1:19" s="433" customFormat="1" ht="18" customHeight="1" x14ac:dyDescent="0.3">
      <c r="A27" s="395">
        <v>20</v>
      </c>
      <c r="B27" s="416"/>
      <c r="C27" s="417"/>
      <c r="D27" s="418"/>
      <c r="E27" s="1002" t="s">
        <v>973</v>
      </c>
      <c r="F27" s="419"/>
      <c r="G27" s="419"/>
      <c r="H27" s="420"/>
      <c r="I27" s="1045">
        <f>SUM(J27:Q27)</f>
        <v>259366</v>
      </c>
      <c r="J27" s="415">
        <v>12816</v>
      </c>
      <c r="K27" s="419"/>
      <c r="L27" s="419"/>
      <c r="M27" s="419"/>
      <c r="N27" s="419"/>
      <c r="O27" s="419"/>
      <c r="P27" s="415">
        <v>27854</v>
      </c>
      <c r="Q27" s="415">
        <v>218696</v>
      </c>
      <c r="R27" s="574">
        <v>231700</v>
      </c>
    </row>
    <row r="28" spans="1:19" s="434" customFormat="1" ht="22.5" customHeight="1" x14ac:dyDescent="0.3">
      <c r="A28" s="395">
        <v>21</v>
      </c>
      <c r="B28" s="409">
        <v>5</v>
      </c>
      <c r="C28" s="410"/>
      <c r="D28" s="432" t="s">
        <v>225</v>
      </c>
      <c r="E28" s="432"/>
      <c r="F28" s="412">
        <v>429889</v>
      </c>
      <c r="G28" s="412">
        <v>444365</v>
      </c>
      <c r="H28" s="413">
        <v>480053</v>
      </c>
      <c r="I28" s="414"/>
      <c r="J28" s="412"/>
      <c r="K28" s="412"/>
      <c r="L28" s="412"/>
      <c r="M28" s="412"/>
      <c r="N28" s="412"/>
      <c r="O28" s="412"/>
      <c r="P28" s="412"/>
      <c r="Q28" s="412"/>
      <c r="R28" s="574"/>
    </row>
    <row r="29" spans="1:19" s="424" customFormat="1" ht="18" customHeight="1" x14ac:dyDescent="0.3">
      <c r="A29" s="395">
        <v>22</v>
      </c>
      <c r="B29" s="427"/>
      <c r="C29" s="410"/>
      <c r="D29" s="428" t="s">
        <v>121</v>
      </c>
      <c r="E29" s="428"/>
      <c r="F29" s="429"/>
      <c r="G29" s="429"/>
      <c r="H29" s="430"/>
      <c r="I29" s="431"/>
      <c r="J29" s="429"/>
      <c r="K29" s="429"/>
      <c r="L29" s="429"/>
      <c r="M29" s="429"/>
      <c r="N29" s="429"/>
      <c r="O29" s="429"/>
      <c r="P29" s="429"/>
      <c r="Q29" s="429"/>
      <c r="R29" s="629"/>
    </row>
    <row r="30" spans="1:19" s="425" customFormat="1" ht="18" customHeight="1" x14ac:dyDescent="0.3">
      <c r="A30" s="395">
        <v>23</v>
      </c>
      <c r="B30" s="416"/>
      <c r="C30" s="417"/>
      <c r="D30" s="418"/>
      <c r="E30" s="487" t="s">
        <v>252</v>
      </c>
      <c r="F30" s="419"/>
      <c r="G30" s="419"/>
      <c r="H30" s="420"/>
      <c r="I30" s="333">
        <f t="shared" ref="I30:I32" si="0">SUM(J30:Q30)</f>
        <v>579932</v>
      </c>
      <c r="J30" s="419">
        <v>20828</v>
      </c>
      <c r="K30" s="419"/>
      <c r="L30" s="419"/>
      <c r="M30" s="419"/>
      <c r="N30" s="419"/>
      <c r="O30" s="419"/>
      <c r="P30" s="419"/>
      <c r="Q30" s="419">
        <v>559104</v>
      </c>
      <c r="R30" s="628">
        <v>440360</v>
      </c>
    </row>
    <row r="31" spans="1:19" s="425" customFormat="1" ht="18" customHeight="1" x14ac:dyDescent="0.3">
      <c r="A31" s="395">
        <v>24</v>
      </c>
      <c r="B31" s="416"/>
      <c r="C31" s="417"/>
      <c r="D31" s="418"/>
      <c r="E31" s="1003" t="s">
        <v>921</v>
      </c>
      <c r="F31" s="419"/>
      <c r="G31" s="419"/>
      <c r="H31" s="420"/>
      <c r="I31" s="1046">
        <f t="shared" si="0"/>
        <v>613572</v>
      </c>
      <c r="J31" s="570">
        <v>20828</v>
      </c>
      <c r="K31" s="570"/>
      <c r="L31" s="570"/>
      <c r="M31" s="570"/>
      <c r="N31" s="570"/>
      <c r="O31" s="570"/>
      <c r="P31" s="570">
        <v>27401</v>
      </c>
      <c r="Q31" s="570">
        <v>565343</v>
      </c>
      <c r="R31" s="1412">
        <v>440360</v>
      </c>
    </row>
    <row r="32" spans="1:19" s="425" customFormat="1" ht="18" customHeight="1" x14ac:dyDescent="0.3">
      <c r="A32" s="395">
        <v>25</v>
      </c>
      <c r="B32" s="416"/>
      <c r="C32" s="417"/>
      <c r="D32" s="418"/>
      <c r="E32" s="1002" t="s">
        <v>972</v>
      </c>
      <c r="F32" s="419"/>
      <c r="G32" s="419"/>
      <c r="H32" s="420"/>
      <c r="I32" s="1045">
        <f t="shared" si="0"/>
        <v>281249</v>
      </c>
      <c r="J32" s="415">
        <v>11993</v>
      </c>
      <c r="K32" s="419"/>
      <c r="L32" s="419"/>
      <c r="M32" s="419"/>
      <c r="N32" s="419"/>
      <c r="O32" s="419"/>
      <c r="P32" s="415">
        <v>27401</v>
      </c>
      <c r="Q32" s="415">
        <v>241855</v>
      </c>
      <c r="R32" s="574">
        <v>228987</v>
      </c>
    </row>
    <row r="33" spans="1:19" s="434" customFormat="1" ht="22.5" customHeight="1" x14ac:dyDescent="0.3">
      <c r="A33" s="395">
        <v>26</v>
      </c>
      <c r="B33" s="409">
        <v>6</v>
      </c>
      <c r="C33" s="410"/>
      <c r="D33" s="432" t="s">
        <v>226</v>
      </c>
      <c r="E33" s="432"/>
      <c r="F33" s="412">
        <v>248691</v>
      </c>
      <c r="G33" s="412">
        <v>270159</v>
      </c>
      <c r="H33" s="413">
        <v>298808</v>
      </c>
      <c r="I33" s="414"/>
      <c r="J33" s="412"/>
      <c r="K33" s="412"/>
      <c r="L33" s="412"/>
      <c r="M33" s="412"/>
      <c r="N33" s="412"/>
      <c r="O33" s="412"/>
      <c r="P33" s="412"/>
      <c r="Q33" s="412"/>
      <c r="R33" s="574"/>
    </row>
    <row r="34" spans="1:19" s="434" customFormat="1" ht="18" customHeight="1" x14ac:dyDescent="0.3">
      <c r="A34" s="395">
        <v>27</v>
      </c>
      <c r="B34" s="427"/>
      <c r="C34" s="410"/>
      <c r="D34" s="428" t="s">
        <v>122</v>
      </c>
      <c r="E34" s="428"/>
      <c r="F34" s="429"/>
      <c r="G34" s="429"/>
      <c r="H34" s="430"/>
      <c r="I34" s="431"/>
      <c r="J34" s="429"/>
      <c r="K34" s="429"/>
      <c r="L34" s="429"/>
      <c r="M34" s="429"/>
      <c r="N34" s="429"/>
      <c r="O34" s="429"/>
      <c r="P34" s="429"/>
      <c r="Q34" s="429"/>
      <c r="R34" s="629"/>
    </row>
    <row r="35" spans="1:19" s="435" customFormat="1" ht="18" customHeight="1" x14ac:dyDescent="0.3">
      <c r="A35" s="395">
        <v>28</v>
      </c>
      <c r="B35" s="416"/>
      <c r="C35" s="417"/>
      <c r="D35" s="418"/>
      <c r="E35" s="487" t="s">
        <v>252</v>
      </c>
      <c r="F35" s="419"/>
      <c r="G35" s="419"/>
      <c r="H35" s="420"/>
      <c r="I35" s="333">
        <f>SUM(J35:Q35)</f>
        <v>339398</v>
      </c>
      <c r="J35" s="419">
        <v>11283</v>
      </c>
      <c r="K35" s="419"/>
      <c r="L35" s="419"/>
      <c r="M35" s="419"/>
      <c r="N35" s="419"/>
      <c r="O35" s="419"/>
      <c r="P35" s="419">
        <v>17000</v>
      </c>
      <c r="Q35" s="419">
        <v>311115</v>
      </c>
      <c r="R35" s="628">
        <v>241132</v>
      </c>
    </row>
    <row r="36" spans="1:19" s="435" customFormat="1" ht="18" customHeight="1" x14ac:dyDescent="0.3">
      <c r="A36" s="395">
        <v>29</v>
      </c>
      <c r="B36" s="416"/>
      <c r="C36" s="1038"/>
      <c r="D36" s="417"/>
      <c r="E36" s="1003" t="s">
        <v>921</v>
      </c>
      <c r="F36" s="1039"/>
      <c r="G36" s="1039"/>
      <c r="H36" s="1040"/>
      <c r="I36" s="1046">
        <f>SUM(J36:Q36)</f>
        <v>364002</v>
      </c>
      <c r="J36" s="1047">
        <v>11283</v>
      </c>
      <c r="K36" s="1047"/>
      <c r="L36" s="1047"/>
      <c r="M36" s="1047"/>
      <c r="N36" s="1047"/>
      <c r="O36" s="1047"/>
      <c r="P36" s="1047">
        <v>29092</v>
      </c>
      <c r="Q36" s="1047">
        <v>323627</v>
      </c>
      <c r="R36" s="1413">
        <v>241132</v>
      </c>
    </row>
    <row r="37" spans="1:19" s="435" customFormat="1" ht="18" customHeight="1" thickBot="1" x14ac:dyDescent="0.35">
      <c r="A37" s="395">
        <v>30</v>
      </c>
      <c r="B37" s="416"/>
      <c r="C37" s="1038"/>
      <c r="D37" s="1495"/>
      <c r="E37" s="1002" t="s">
        <v>972</v>
      </c>
      <c r="F37" s="1039"/>
      <c r="G37" s="1039"/>
      <c r="H37" s="1040"/>
      <c r="I37" s="1045">
        <f>SUM(J37:Q37)</f>
        <v>168466</v>
      </c>
      <c r="J37" s="1178">
        <v>5640</v>
      </c>
      <c r="K37" s="1039"/>
      <c r="L37" s="1039"/>
      <c r="M37" s="1039"/>
      <c r="N37" s="1039"/>
      <c r="O37" s="1039"/>
      <c r="P37" s="1178">
        <v>29092</v>
      </c>
      <c r="Q37" s="1178">
        <v>133734</v>
      </c>
      <c r="R37" s="627">
        <v>125389</v>
      </c>
    </row>
    <row r="38" spans="1:19" s="399" customFormat="1" ht="22.5" customHeight="1" thickTop="1" x14ac:dyDescent="0.3">
      <c r="A38" s="395">
        <v>31</v>
      </c>
      <c r="B38" s="427"/>
      <c r="C38" s="1800" t="s">
        <v>336</v>
      </c>
      <c r="D38" s="1801"/>
      <c r="E38" s="1802"/>
      <c r="F38" s="436">
        <f>SUM(F8:F35)</f>
        <v>2263283</v>
      </c>
      <c r="G38" s="436">
        <f>SUM(G8:G35)</f>
        <v>2486834</v>
      </c>
      <c r="H38" s="437">
        <f>SUM(H8:H35)</f>
        <v>2669723</v>
      </c>
      <c r="I38" s="438"/>
      <c r="J38" s="436"/>
      <c r="K38" s="436"/>
      <c r="L38" s="436"/>
      <c r="M38" s="436"/>
      <c r="N38" s="436"/>
      <c r="O38" s="436"/>
      <c r="P38" s="436"/>
      <c r="Q38" s="436"/>
      <c r="R38" s="630"/>
    </row>
    <row r="39" spans="1:19" s="422" customFormat="1" ht="18" customHeight="1" x14ac:dyDescent="0.3">
      <c r="A39" s="395">
        <v>32</v>
      </c>
      <c r="B39" s="439"/>
      <c r="C39" s="445"/>
      <c r="D39" s="446"/>
      <c r="E39" s="535" t="s">
        <v>252</v>
      </c>
      <c r="F39" s="447"/>
      <c r="G39" s="447"/>
      <c r="H39" s="448"/>
      <c r="I39" s="449">
        <f t="shared" ref="I39:R39" si="1">SUM(I10,I15,I20,I25,I30,I35,)</f>
        <v>3061705</v>
      </c>
      <c r="J39" s="447">
        <f t="shared" si="1"/>
        <v>87360</v>
      </c>
      <c r="K39" s="447">
        <f t="shared" si="1"/>
        <v>0</v>
      </c>
      <c r="L39" s="447">
        <f t="shared" si="1"/>
        <v>0</v>
      </c>
      <c r="M39" s="447">
        <f t="shared" si="1"/>
        <v>0</v>
      </c>
      <c r="N39" s="447">
        <f t="shared" si="1"/>
        <v>0</v>
      </c>
      <c r="O39" s="447">
        <f t="shared" si="1"/>
        <v>0</v>
      </c>
      <c r="P39" s="447">
        <f t="shared" si="1"/>
        <v>50000</v>
      </c>
      <c r="Q39" s="447">
        <f t="shared" si="1"/>
        <v>2924345</v>
      </c>
      <c r="R39" s="631">
        <f t="shared" si="1"/>
        <v>2245939</v>
      </c>
      <c r="S39" s="421"/>
    </row>
    <row r="40" spans="1:19" s="422" customFormat="1" ht="18" customHeight="1" x14ac:dyDescent="0.3">
      <c r="A40" s="395">
        <v>33</v>
      </c>
      <c r="B40" s="1042"/>
      <c r="C40" s="445"/>
      <c r="D40" s="446"/>
      <c r="E40" s="1003" t="s">
        <v>921</v>
      </c>
      <c r="F40" s="447"/>
      <c r="G40" s="447"/>
      <c r="H40" s="448"/>
      <c r="I40" s="1131">
        <f t="shared" ref="I40:R40" si="2">SUM(I11,I16,I21,I26,I31,I36,)</f>
        <v>3246378</v>
      </c>
      <c r="J40" s="1048">
        <f t="shared" si="2"/>
        <v>92710</v>
      </c>
      <c r="K40" s="1048">
        <f t="shared" si="2"/>
        <v>0</v>
      </c>
      <c r="L40" s="1048">
        <f t="shared" si="2"/>
        <v>0</v>
      </c>
      <c r="M40" s="1048">
        <f t="shared" si="2"/>
        <v>0</v>
      </c>
      <c r="N40" s="1048">
        <f t="shared" si="2"/>
        <v>0</v>
      </c>
      <c r="O40" s="1048">
        <f t="shared" si="2"/>
        <v>0</v>
      </c>
      <c r="P40" s="1048">
        <f t="shared" si="2"/>
        <v>164652</v>
      </c>
      <c r="Q40" s="1048">
        <f t="shared" si="2"/>
        <v>2989016</v>
      </c>
      <c r="R40" s="1414">
        <f t="shared" si="2"/>
        <v>2245939</v>
      </c>
      <c r="S40" s="421"/>
    </row>
    <row r="41" spans="1:19" s="422" customFormat="1" ht="18" customHeight="1" thickBot="1" x14ac:dyDescent="0.35">
      <c r="A41" s="395">
        <v>34</v>
      </c>
      <c r="B41" s="1042"/>
      <c r="C41" s="440"/>
      <c r="D41" s="441"/>
      <c r="E41" s="1639" t="s">
        <v>973</v>
      </c>
      <c r="F41" s="442"/>
      <c r="G41" s="442"/>
      <c r="H41" s="443"/>
      <c r="I41" s="1640">
        <f>SUM(J41:Q41)</f>
        <v>1456104</v>
      </c>
      <c r="J41" s="1641">
        <f>J37+J32+J27+J22+J17+J12</f>
        <v>59638</v>
      </c>
      <c r="K41" s="1641">
        <f t="shared" ref="K41:R41" si="3">K37+K32+K27+K22+K17+K12</f>
        <v>0</v>
      </c>
      <c r="L41" s="1641">
        <f t="shared" si="3"/>
        <v>0</v>
      </c>
      <c r="M41" s="1641">
        <f t="shared" si="3"/>
        <v>0</v>
      </c>
      <c r="N41" s="1641">
        <f t="shared" si="3"/>
        <v>0</v>
      </c>
      <c r="O41" s="1641">
        <f t="shared" si="3"/>
        <v>0</v>
      </c>
      <c r="P41" s="1641">
        <f t="shared" si="3"/>
        <v>164652</v>
      </c>
      <c r="Q41" s="1641">
        <f t="shared" si="3"/>
        <v>1231814</v>
      </c>
      <c r="R41" s="1642">
        <f t="shared" si="3"/>
        <v>1167889</v>
      </c>
      <c r="S41" s="421"/>
    </row>
    <row r="42" spans="1:19" s="97" customFormat="1" ht="30" customHeight="1" thickTop="1" x14ac:dyDescent="0.3">
      <c r="A42" s="395">
        <v>35</v>
      </c>
      <c r="B42" s="444">
        <v>7</v>
      </c>
      <c r="C42" s="403"/>
      <c r="D42" s="1824" t="s">
        <v>260</v>
      </c>
      <c r="E42" s="1825"/>
      <c r="F42" s="406">
        <v>1471300</v>
      </c>
      <c r="G42" s="406">
        <v>1651476</v>
      </c>
      <c r="H42" s="407">
        <v>1838188</v>
      </c>
      <c r="I42" s="408"/>
      <c r="J42" s="406"/>
      <c r="K42" s="406"/>
      <c r="L42" s="406"/>
      <c r="M42" s="406"/>
      <c r="N42" s="406"/>
      <c r="O42" s="406"/>
      <c r="P42" s="406"/>
      <c r="Q42" s="406"/>
      <c r="R42" s="627"/>
    </row>
    <row r="43" spans="1:19" s="421" customFormat="1" ht="18" customHeight="1" x14ac:dyDescent="0.3">
      <c r="A43" s="395">
        <v>36</v>
      </c>
      <c r="B43" s="416"/>
      <c r="C43" s="417"/>
      <c r="D43" s="418"/>
      <c r="E43" s="487" t="s">
        <v>252</v>
      </c>
      <c r="F43" s="419"/>
      <c r="G43" s="419"/>
      <c r="H43" s="420"/>
      <c r="I43" s="333">
        <f>SUM(J43:Q43)</f>
        <v>1825483</v>
      </c>
      <c r="J43" s="419">
        <v>32514</v>
      </c>
      <c r="K43" s="419">
        <v>1938</v>
      </c>
      <c r="L43" s="419"/>
      <c r="M43" s="419"/>
      <c r="N43" s="419"/>
      <c r="O43" s="419"/>
      <c r="P43" s="419">
        <v>43000</v>
      </c>
      <c r="Q43" s="419">
        <v>1748031</v>
      </c>
      <c r="R43" s="628">
        <f>925380+325200</f>
        <v>1250580</v>
      </c>
    </row>
    <row r="44" spans="1:19" s="421" customFormat="1" ht="18" customHeight="1" x14ac:dyDescent="0.3">
      <c r="A44" s="395">
        <v>37</v>
      </c>
      <c r="B44" s="416"/>
      <c r="C44" s="417"/>
      <c r="D44" s="418"/>
      <c r="E44" s="1003" t="s">
        <v>921</v>
      </c>
      <c r="F44" s="419"/>
      <c r="G44" s="419"/>
      <c r="H44" s="420"/>
      <c r="I44" s="1046">
        <f>SUM(J44:Q44)</f>
        <v>1978280</v>
      </c>
      <c r="J44" s="570">
        <v>44664</v>
      </c>
      <c r="K44" s="570">
        <v>25246</v>
      </c>
      <c r="L44" s="570"/>
      <c r="M44" s="570"/>
      <c r="N44" s="570"/>
      <c r="O44" s="570"/>
      <c r="P44" s="570">
        <v>134700</v>
      </c>
      <c r="Q44" s="570">
        <v>1773670</v>
      </c>
      <c r="R44" s="1412">
        <v>1273374</v>
      </c>
    </row>
    <row r="45" spans="1:19" s="421" customFormat="1" ht="18" customHeight="1" x14ac:dyDescent="0.3">
      <c r="A45" s="395">
        <v>38</v>
      </c>
      <c r="B45" s="416"/>
      <c r="C45" s="417"/>
      <c r="D45" s="418"/>
      <c r="E45" s="1002" t="s">
        <v>972</v>
      </c>
      <c r="F45" s="419"/>
      <c r="G45" s="419"/>
      <c r="H45" s="420"/>
      <c r="I45" s="1045">
        <f>SUM(J45:Q45)</f>
        <v>921744</v>
      </c>
      <c r="J45" s="415">
        <v>34476</v>
      </c>
      <c r="K45" s="415">
        <v>28422</v>
      </c>
      <c r="L45" s="419"/>
      <c r="M45" s="419"/>
      <c r="N45" s="419"/>
      <c r="O45" s="419"/>
      <c r="P45" s="415">
        <v>134700</v>
      </c>
      <c r="Q45" s="415">
        <v>724146</v>
      </c>
      <c r="R45" s="574">
        <v>668826</v>
      </c>
    </row>
    <row r="46" spans="1:19" ht="22.5" customHeight="1" x14ac:dyDescent="0.3">
      <c r="A46" s="395">
        <v>39</v>
      </c>
      <c r="B46" s="409">
        <v>8</v>
      </c>
      <c r="C46" s="410"/>
      <c r="D46" s="432" t="s">
        <v>100</v>
      </c>
      <c r="E46" s="432"/>
      <c r="F46" s="412">
        <v>118718</v>
      </c>
      <c r="G46" s="412">
        <v>96614</v>
      </c>
      <c r="H46" s="413">
        <v>146343</v>
      </c>
      <c r="I46" s="414"/>
      <c r="J46" s="412"/>
      <c r="K46" s="412"/>
      <c r="L46" s="412"/>
      <c r="M46" s="412"/>
      <c r="N46" s="412"/>
      <c r="O46" s="412"/>
      <c r="P46" s="412"/>
      <c r="Q46" s="412"/>
      <c r="R46" s="574"/>
      <c r="S46" s="97"/>
    </row>
    <row r="47" spans="1:19" s="425" customFormat="1" ht="18" customHeight="1" x14ac:dyDescent="0.3">
      <c r="A47" s="395">
        <v>40</v>
      </c>
      <c r="B47" s="416"/>
      <c r="C47" s="417"/>
      <c r="D47" s="418"/>
      <c r="E47" s="487" t="s">
        <v>252</v>
      </c>
      <c r="F47" s="419"/>
      <c r="G47" s="419"/>
      <c r="H47" s="420"/>
      <c r="I47" s="333">
        <f>SUM(J47:Q47)</f>
        <v>123176</v>
      </c>
      <c r="J47" s="419">
        <v>15000</v>
      </c>
      <c r="K47" s="419"/>
      <c r="L47" s="419"/>
      <c r="M47" s="419"/>
      <c r="N47" s="419"/>
      <c r="O47" s="419"/>
      <c r="P47" s="419"/>
      <c r="Q47" s="419">
        <v>108176</v>
      </c>
      <c r="R47" s="628">
        <v>38044</v>
      </c>
    </row>
    <row r="48" spans="1:19" s="425" customFormat="1" ht="18" customHeight="1" x14ac:dyDescent="0.3">
      <c r="A48" s="395">
        <v>41</v>
      </c>
      <c r="B48" s="416"/>
      <c r="C48" s="417"/>
      <c r="D48" s="418"/>
      <c r="E48" s="1003" t="s">
        <v>921</v>
      </c>
      <c r="F48" s="419"/>
      <c r="G48" s="419"/>
      <c r="H48" s="420"/>
      <c r="I48" s="1046">
        <f>SUM(J48:Q48)</f>
        <v>163060</v>
      </c>
      <c r="J48" s="570">
        <v>15000</v>
      </c>
      <c r="K48" s="570"/>
      <c r="L48" s="570"/>
      <c r="M48" s="570"/>
      <c r="N48" s="570"/>
      <c r="O48" s="570"/>
      <c r="P48" s="570">
        <v>22446</v>
      </c>
      <c r="Q48" s="570">
        <v>125614</v>
      </c>
      <c r="R48" s="1412">
        <v>55482</v>
      </c>
    </row>
    <row r="49" spans="1:19" s="425" customFormat="1" ht="18" customHeight="1" x14ac:dyDescent="0.3">
      <c r="A49" s="395">
        <v>42</v>
      </c>
      <c r="B49" s="416"/>
      <c r="C49" s="417"/>
      <c r="D49" s="418"/>
      <c r="E49" s="1002" t="s">
        <v>972</v>
      </c>
      <c r="F49" s="419"/>
      <c r="G49" s="419"/>
      <c r="H49" s="420"/>
      <c r="I49" s="1045">
        <f>SUM(J49:Q49)</f>
        <v>64870</v>
      </c>
      <c r="J49" s="415">
        <v>9438</v>
      </c>
      <c r="K49" s="419"/>
      <c r="L49" s="419"/>
      <c r="M49" s="419"/>
      <c r="N49" s="419"/>
      <c r="O49" s="419"/>
      <c r="P49" s="415">
        <v>22446</v>
      </c>
      <c r="Q49" s="415">
        <v>32986</v>
      </c>
      <c r="R49" s="574">
        <v>32569</v>
      </c>
    </row>
    <row r="50" spans="1:19" ht="22.5" customHeight="1" x14ac:dyDescent="0.3">
      <c r="A50" s="395">
        <v>43</v>
      </c>
      <c r="B50" s="409">
        <v>9</v>
      </c>
      <c r="C50" s="410"/>
      <c r="D50" s="432" t="s">
        <v>309</v>
      </c>
      <c r="E50" s="432"/>
      <c r="F50" s="412">
        <v>424358</v>
      </c>
      <c r="G50" s="412">
        <v>345822</v>
      </c>
      <c r="H50" s="413">
        <v>483799</v>
      </c>
      <c r="I50" s="414"/>
      <c r="J50" s="412"/>
      <c r="K50" s="412"/>
      <c r="L50" s="412"/>
      <c r="M50" s="412"/>
      <c r="N50" s="412"/>
      <c r="O50" s="412"/>
      <c r="P50" s="412"/>
      <c r="Q50" s="412"/>
      <c r="R50" s="574"/>
      <c r="S50" s="97"/>
    </row>
    <row r="51" spans="1:19" s="425" customFormat="1" ht="18" customHeight="1" x14ac:dyDescent="0.3">
      <c r="A51" s="395">
        <v>44</v>
      </c>
      <c r="B51" s="416"/>
      <c r="C51" s="445"/>
      <c r="D51" s="446"/>
      <c r="E51" s="487" t="s">
        <v>252</v>
      </c>
      <c r="F51" s="447"/>
      <c r="G51" s="447"/>
      <c r="H51" s="448"/>
      <c r="I51" s="449">
        <f>SUM(J51:Q51)</f>
        <v>417595</v>
      </c>
      <c r="J51" s="447">
        <v>1800</v>
      </c>
      <c r="K51" s="447"/>
      <c r="L51" s="447"/>
      <c r="M51" s="447"/>
      <c r="N51" s="447"/>
      <c r="O51" s="447"/>
      <c r="P51" s="447">
        <v>2948</v>
      </c>
      <c r="Q51" s="447">
        <f>409847+3000</f>
        <v>412847</v>
      </c>
      <c r="R51" s="631">
        <v>241563</v>
      </c>
    </row>
    <row r="52" spans="1:19" s="425" customFormat="1" ht="18" customHeight="1" x14ac:dyDescent="0.3">
      <c r="A52" s="395">
        <v>45</v>
      </c>
      <c r="B52" s="416"/>
      <c r="C52" s="445"/>
      <c r="D52" s="446"/>
      <c r="E52" s="1003" t="s">
        <v>921</v>
      </c>
      <c r="F52" s="447"/>
      <c r="G52" s="447"/>
      <c r="H52" s="448"/>
      <c r="I52" s="1131">
        <f>SUM(J52:Q52)</f>
        <v>507162</v>
      </c>
      <c r="J52" s="1048">
        <v>1800</v>
      </c>
      <c r="K52" s="1048"/>
      <c r="L52" s="1048"/>
      <c r="M52" s="1048"/>
      <c r="N52" s="1048"/>
      <c r="O52" s="1048"/>
      <c r="P52" s="1048">
        <v>29207</v>
      </c>
      <c r="Q52" s="1048">
        <v>476155</v>
      </c>
      <c r="R52" s="1414">
        <v>298566</v>
      </c>
    </row>
    <row r="53" spans="1:19" s="425" customFormat="1" ht="18" customHeight="1" x14ac:dyDescent="0.3">
      <c r="A53" s="395">
        <v>46</v>
      </c>
      <c r="B53" s="416"/>
      <c r="C53" s="445"/>
      <c r="D53" s="446"/>
      <c r="E53" s="1002" t="s">
        <v>972</v>
      </c>
      <c r="F53" s="447"/>
      <c r="G53" s="447"/>
      <c r="H53" s="448"/>
      <c r="I53" s="1045">
        <f>SUM(J53:Q53)</f>
        <v>244060</v>
      </c>
      <c r="J53" s="1175">
        <v>5505</v>
      </c>
      <c r="K53" s="1175">
        <v>119</v>
      </c>
      <c r="L53" s="447"/>
      <c r="M53" s="447"/>
      <c r="N53" s="447"/>
      <c r="O53" s="447"/>
      <c r="P53" s="1175">
        <v>29207</v>
      </c>
      <c r="Q53" s="1175">
        <v>209229</v>
      </c>
      <c r="R53" s="1176">
        <v>182615</v>
      </c>
    </row>
    <row r="54" spans="1:19" s="451" customFormat="1" ht="30" customHeight="1" thickBot="1" x14ac:dyDescent="0.35">
      <c r="A54" s="395">
        <v>47</v>
      </c>
      <c r="B54" s="409"/>
      <c r="C54" s="450">
        <v>1</v>
      </c>
      <c r="D54" s="1818" t="s">
        <v>805</v>
      </c>
      <c r="E54" s="1819"/>
      <c r="F54" s="412">
        <v>3539</v>
      </c>
      <c r="G54" s="412"/>
      <c r="H54" s="413"/>
      <c r="I54" s="414"/>
      <c r="J54" s="412"/>
      <c r="K54" s="412"/>
      <c r="L54" s="412"/>
      <c r="M54" s="412"/>
      <c r="N54" s="412"/>
      <c r="O54" s="412"/>
      <c r="P54" s="412"/>
      <c r="Q54" s="412"/>
      <c r="R54" s="574"/>
      <c r="S54" s="399"/>
    </row>
    <row r="55" spans="1:19" s="434" customFormat="1" ht="22.5" customHeight="1" thickTop="1" x14ac:dyDescent="0.3">
      <c r="A55" s="395">
        <v>48</v>
      </c>
      <c r="B55" s="427"/>
      <c r="C55" s="1800" t="s">
        <v>337</v>
      </c>
      <c r="D55" s="1801"/>
      <c r="E55" s="1802"/>
      <c r="F55" s="436">
        <f>SUM(F42:F54)</f>
        <v>2017915</v>
      </c>
      <c r="G55" s="436">
        <f>SUM(G42:G54)</f>
        <v>2093912</v>
      </c>
      <c r="H55" s="437">
        <f>SUM(H42:H54)</f>
        <v>2468330</v>
      </c>
      <c r="I55" s="438"/>
      <c r="J55" s="436"/>
      <c r="K55" s="436"/>
      <c r="L55" s="436"/>
      <c r="M55" s="436"/>
      <c r="N55" s="436"/>
      <c r="O55" s="436"/>
      <c r="P55" s="436"/>
      <c r="Q55" s="436"/>
      <c r="R55" s="632"/>
    </row>
    <row r="56" spans="1:19" s="425" customFormat="1" ht="18" customHeight="1" x14ac:dyDescent="0.3">
      <c r="A56" s="395">
        <v>49</v>
      </c>
      <c r="B56" s="416"/>
      <c r="C56" s="445"/>
      <c r="D56" s="446"/>
      <c r="E56" s="487" t="s">
        <v>252</v>
      </c>
      <c r="F56" s="447"/>
      <c r="G56" s="447"/>
      <c r="H56" s="448"/>
      <c r="I56" s="449">
        <f t="shared" ref="I56:R56" si="4">SUM(I43,I47,I51)</f>
        <v>2366254</v>
      </c>
      <c r="J56" s="447">
        <f t="shared" si="4"/>
        <v>49314</v>
      </c>
      <c r="K56" s="447">
        <f t="shared" si="4"/>
        <v>1938</v>
      </c>
      <c r="L56" s="447">
        <f t="shared" si="4"/>
        <v>0</v>
      </c>
      <c r="M56" s="447">
        <f t="shared" si="4"/>
        <v>0</v>
      </c>
      <c r="N56" s="447">
        <f t="shared" si="4"/>
        <v>0</v>
      </c>
      <c r="O56" s="447">
        <f t="shared" si="4"/>
        <v>0</v>
      </c>
      <c r="P56" s="447">
        <f t="shared" si="4"/>
        <v>45948</v>
      </c>
      <c r="Q56" s="447">
        <f t="shared" si="4"/>
        <v>2269054</v>
      </c>
      <c r="R56" s="631">
        <f t="shared" si="4"/>
        <v>1530187</v>
      </c>
    </row>
    <row r="57" spans="1:19" s="425" customFormat="1" ht="18" customHeight="1" x14ac:dyDescent="0.3">
      <c r="A57" s="395">
        <v>50</v>
      </c>
      <c r="B57" s="1043"/>
      <c r="C57" s="1415"/>
      <c r="D57" s="417"/>
      <c r="E57" s="1003" t="s">
        <v>921</v>
      </c>
      <c r="F57" s="447"/>
      <c r="G57" s="447"/>
      <c r="H57" s="448"/>
      <c r="I57" s="1131">
        <f t="shared" ref="I57:R57" si="5">SUM(I44,I48,I52)</f>
        <v>2648502</v>
      </c>
      <c r="J57" s="1048">
        <f t="shared" si="5"/>
        <v>61464</v>
      </c>
      <c r="K57" s="1048">
        <f t="shared" si="5"/>
        <v>25246</v>
      </c>
      <c r="L57" s="1048">
        <f t="shared" si="5"/>
        <v>0</v>
      </c>
      <c r="M57" s="1048">
        <f t="shared" si="5"/>
        <v>0</v>
      </c>
      <c r="N57" s="1048">
        <f t="shared" si="5"/>
        <v>0</v>
      </c>
      <c r="O57" s="1048">
        <f t="shared" si="5"/>
        <v>0</v>
      </c>
      <c r="P57" s="1048">
        <f t="shared" si="5"/>
        <v>186353</v>
      </c>
      <c r="Q57" s="1048">
        <f t="shared" si="5"/>
        <v>2375439</v>
      </c>
      <c r="R57" s="1414">
        <f t="shared" si="5"/>
        <v>1627422</v>
      </c>
    </row>
    <row r="58" spans="1:19" s="425" customFormat="1" ht="18" customHeight="1" thickBot="1" x14ac:dyDescent="0.35">
      <c r="A58" s="395">
        <v>51</v>
      </c>
      <c r="B58" s="1043"/>
      <c r="C58" s="1044"/>
      <c r="D58" s="440"/>
      <c r="E58" s="1639" t="s">
        <v>973</v>
      </c>
      <c r="F58" s="442"/>
      <c r="G58" s="442"/>
      <c r="H58" s="443"/>
      <c r="I58" s="1640">
        <f>SUM(J58:Q58)</f>
        <v>1230674</v>
      </c>
      <c r="J58" s="1641">
        <f>J53+J49+J45</f>
        <v>49419</v>
      </c>
      <c r="K58" s="1641">
        <f t="shared" ref="K58:R58" si="6">K53+K49+K45</f>
        <v>28541</v>
      </c>
      <c r="L58" s="1641">
        <f t="shared" si="6"/>
        <v>0</v>
      </c>
      <c r="M58" s="1641">
        <f t="shared" si="6"/>
        <v>0</v>
      </c>
      <c r="N58" s="1641">
        <f t="shared" si="6"/>
        <v>0</v>
      </c>
      <c r="O58" s="1641">
        <f t="shared" si="6"/>
        <v>0</v>
      </c>
      <c r="P58" s="1641">
        <f t="shared" si="6"/>
        <v>186353</v>
      </c>
      <c r="Q58" s="1641">
        <f>Q53+Q49+Q45</f>
        <v>966361</v>
      </c>
      <c r="R58" s="1642">
        <f t="shared" si="6"/>
        <v>884010</v>
      </c>
    </row>
    <row r="59" spans="1:19" s="400" customFormat="1" ht="22.5" customHeight="1" thickTop="1" x14ac:dyDescent="0.3">
      <c r="A59" s="395">
        <v>52</v>
      </c>
      <c r="B59" s="402">
        <v>10</v>
      </c>
      <c r="C59" s="403"/>
      <c r="D59" s="394" t="s">
        <v>310</v>
      </c>
      <c r="E59" s="452"/>
      <c r="F59" s="406">
        <v>557354</v>
      </c>
      <c r="G59" s="406">
        <v>493071</v>
      </c>
      <c r="H59" s="407">
        <v>619997</v>
      </c>
      <c r="I59" s="408"/>
      <c r="J59" s="406"/>
      <c r="K59" s="406"/>
      <c r="L59" s="406"/>
      <c r="M59" s="406"/>
      <c r="N59" s="406"/>
      <c r="O59" s="406"/>
      <c r="P59" s="406"/>
      <c r="Q59" s="406"/>
      <c r="R59" s="627"/>
      <c r="S59" s="399"/>
    </row>
    <row r="60" spans="1:19" s="421" customFormat="1" ht="18" customHeight="1" x14ac:dyDescent="0.3">
      <c r="A60" s="395">
        <v>53</v>
      </c>
      <c r="B60" s="416"/>
      <c r="C60" s="417"/>
      <c r="D60" s="418"/>
      <c r="E60" s="487" t="s">
        <v>252</v>
      </c>
      <c r="F60" s="419"/>
      <c r="G60" s="419"/>
      <c r="H60" s="420"/>
      <c r="I60" s="333">
        <f>SUM(J60:Q60)</f>
        <v>421845</v>
      </c>
      <c r="J60" s="419">
        <v>49066</v>
      </c>
      <c r="K60" s="419"/>
      <c r="L60" s="419"/>
      <c r="M60" s="419"/>
      <c r="N60" s="419"/>
      <c r="O60" s="419"/>
      <c r="P60" s="419">
        <f>35000+25298</f>
        <v>60298</v>
      </c>
      <c r="Q60" s="419">
        <v>312481</v>
      </c>
      <c r="R60" s="628">
        <v>53447</v>
      </c>
    </row>
    <row r="61" spans="1:19" s="421" customFormat="1" ht="18" customHeight="1" x14ac:dyDescent="0.3">
      <c r="A61" s="395">
        <v>54</v>
      </c>
      <c r="B61" s="416"/>
      <c r="C61" s="417"/>
      <c r="D61" s="418"/>
      <c r="E61" s="1003" t="s">
        <v>921</v>
      </c>
      <c r="F61" s="419"/>
      <c r="G61" s="419"/>
      <c r="H61" s="420"/>
      <c r="I61" s="1046">
        <f>SUM(J61:Q61)</f>
        <v>496096</v>
      </c>
      <c r="J61" s="570">
        <v>49066</v>
      </c>
      <c r="K61" s="570"/>
      <c r="L61" s="570"/>
      <c r="M61" s="570"/>
      <c r="N61" s="570"/>
      <c r="O61" s="570"/>
      <c r="P61" s="570">
        <v>120140</v>
      </c>
      <c r="Q61" s="570">
        <v>326890</v>
      </c>
      <c r="R61" s="1412">
        <v>68985</v>
      </c>
    </row>
    <row r="62" spans="1:19" s="421" customFormat="1" ht="18" customHeight="1" x14ac:dyDescent="0.3">
      <c r="A62" s="395">
        <v>55</v>
      </c>
      <c r="B62" s="416"/>
      <c r="C62" s="417"/>
      <c r="D62" s="418"/>
      <c r="E62" s="1002" t="s">
        <v>973</v>
      </c>
      <c r="F62" s="1467"/>
      <c r="G62" s="419"/>
      <c r="H62" s="420"/>
      <c r="I62" s="1045">
        <f t="shared" ref="I62" si="7">SUM(J62:Q62)</f>
        <v>181754</v>
      </c>
      <c r="J62" s="415">
        <v>37210</v>
      </c>
      <c r="K62" s="415"/>
      <c r="L62" s="415">
        <v>15</v>
      </c>
      <c r="M62" s="415"/>
      <c r="N62" s="415"/>
      <c r="O62" s="415"/>
      <c r="P62" s="415">
        <v>120140</v>
      </c>
      <c r="Q62" s="1184">
        <v>24389</v>
      </c>
      <c r="R62" s="574">
        <v>35872</v>
      </c>
    </row>
    <row r="63" spans="1:19" s="451" customFormat="1" ht="30" customHeight="1" x14ac:dyDescent="0.3">
      <c r="A63" s="395">
        <v>56</v>
      </c>
      <c r="B63" s="409"/>
      <c r="C63" s="450">
        <v>1</v>
      </c>
      <c r="D63" s="1818" t="s">
        <v>334</v>
      </c>
      <c r="E63" s="1819"/>
      <c r="F63" s="412">
        <v>29483</v>
      </c>
      <c r="G63" s="412">
        <v>38386</v>
      </c>
      <c r="H63" s="413">
        <v>38386</v>
      </c>
      <c r="I63" s="414"/>
      <c r="J63" s="412"/>
      <c r="K63" s="412"/>
      <c r="L63" s="412"/>
      <c r="M63" s="412"/>
      <c r="N63" s="412"/>
      <c r="O63" s="412"/>
      <c r="P63" s="412"/>
      <c r="Q63" s="412"/>
      <c r="R63" s="574"/>
      <c r="S63" s="399"/>
    </row>
    <row r="64" spans="1:19" s="451" customFormat="1" ht="30" customHeight="1" x14ac:dyDescent="0.3">
      <c r="A64" s="395">
        <v>57</v>
      </c>
      <c r="B64" s="409"/>
      <c r="C64" s="450">
        <v>2</v>
      </c>
      <c r="D64" s="1818" t="s">
        <v>431</v>
      </c>
      <c r="E64" s="1819"/>
      <c r="F64" s="412">
        <v>1173</v>
      </c>
      <c r="G64" s="412"/>
      <c r="H64" s="413"/>
      <c r="I64" s="414"/>
      <c r="J64" s="412"/>
      <c r="K64" s="412"/>
      <c r="L64" s="412"/>
      <c r="M64" s="412"/>
      <c r="N64" s="412"/>
      <c r="O64" s="412"/>
      <c r="P64" s="412"/>
      <c r="Q64" s="412"/>
      <c r="R64" s="574"/>
      <c r="S64" s="399"/>
    </row>
    <row r="65" spans="1:19" s="451" customFormat="1" ht="22.5" customHeight="1" x14ac:dyDescent="0.3">
      <c r="A65" s="395">
        <v>58</v>
      </c>
      <c r="B65" s="409">
        <v>11</v>
      </c>
      <c r="C65" s="410"/>
      <c r="D65" s="432" t="s">
        <v>306</v>
      </c>
      <c r="E65" s="432"/>
      <c r="F65" s="412">
        <v>433654</v>
      </c>
      <c r="G65" s="412">
        <v>629204</v>
      </c>
      <c r="H65" s="413">
        <v>659994</v>
      </c>
      <c r="I65" s="414"/>
      <c r="J65" s="412"/>
      <c r="K65" s="412"/>
      <c r="L65" s="412"/>
      <c r="M65" s="412"/>
      <c r="N65" s="412"/>
      <c r="O65" s="412"/>
      <c r="P65" s="412"/>
      <c r="Q65" s="412"/>
      <c r="R65" s="574"/>
      <c r="S65" s="399"/>
    </row>
    <row r="66" spans="1:19" s="421" customFormat="1" ht="18" customHeight="1" x14ac:dyDescent="0.3">
      <c r="A66" s="395">
        <v>59</v>
      </c>
      <c r="B66" s="416"/>
      <c r="C66" s="417"/>
      <c r="D66" s="418"/>
      <c r="E66" s="487" t="s">
        <v>252</v>
      </c>
      <c r="F66" s="419"/>
      <c r="G66" s="419"/>
      <c r="H66" s="420"/>
      <c r="I66" s="333">
        <f t="shared" ref="I66:I68" si="8">SUM(J66:Q66)</f>
        <v>275654</v>
      </c>
      <c r="J66" s="419">
        <v>29423</v>
      </c>
      <c r="K66" s="419"/>
      <c r="L66" s="419"/>
      <c r="M66" s="419"/>
      <c r="N66" s="419"/>
      <c r="O66" s="419"/>
      <c r="P66" s="419">
        <v>25546</v>
      </c>
      <c r="Q66" s="419">
        <v>220685</v>
      </c>
      <c r="R66" s="628">
        <v>48646</v>
      </c>
    </row>
    <row r="67" spans="1:19" s="421" customFormat="1" ht="18" customHeight="1" x14ac:dyDescent="0.3">
      <c r="A67" s="395">
        <v>60</v>
      </c>
      <c r="B67" s="416"/>
      <c r="C67" s="417"/>
      <c r="D67" s="418"/>
      <c r="E67" s="1003" t="s">
        <v>921</v>
      </c>
      <c r="F67" s="419"/>
      <c r="G67" s="419"/>
      <c r="H67" s="420"/>
      <c r="I67" s="1046">
        <f t="shared" si="8"/>
        <v>329647</v>
      </c>
      <c r="J67" s="570">
        <v>29591</v>
      </c>
      <c r="K67" s="570"/>
      <c r="L67" s="570">
        <v>17513</v>
      </c>
      <c r="M67" s="570"/>
      <c r="N67" s="570"/>
      <c r="O67" s="570"/>
      <c r="P67" s="570">
        <v>28813</v>
      </c>
      <c r="Q67" s="570">
        <v>253730</v>
      </c>
      <c r="R67" s="1412">
        <v>63384</v>
      </c>
    </row>
    <row r="68" spans="1:19" s="421" customFormat="1" ht="18" customHeight="1" x14ac:dyDescent="0.3">
      <c r="A68" s="395">
        <v>61</v>
      </c>
      <c r="B68" s="416"/>
      <c r="C68" s="417"/>
      <c r="D68" s="418"/>
      <c r="E68" s="1002" t="s">
        <v>972</v>
      </c>
      <c r="F68" s="419"/>
      <c r="G68" s="419"/>
      <c r="H68" s="420"/>
      <c r="I68" s="1045">
        <f t="shared" si="8"/>
        <v>190272</v>
      </c>
      <c r="J68" s="415">
        <v>35442</v>
      </c>
      <c r="K68" s="415"/>
      <c r="L68" s="415">
        <v>3216</v>
      </c>
      <c r="M68" s="415"/>
      <c r="N68" s="415"/>
      <c r="O68" s="415"/>
      <c r="P68" s="415">
        <v>28813</v>
      </c>
      <c r="Q68" s="415">
        <v>122801</v>
      </c>
      <c r="R68" s="574">
        <v>32960</v>
      </c>
    </row>
    <row r="69" spans="1:19" s="451" customFormat="1" ht="18" customHeight="1" x14ac:dyDescent="0.3">
      <c r="A69" s="395">
        <v>62</v>
      </c>
      <c r="B69" s="409"/>
      <c r="C69" s="410">
        <v>2</v>
      </c>
      <c r="D69" s="423" t="s">
        <v>432</v>
      </c>
      <c r="E69" s="636"/>
      <c r="F69" s="412">
        <v>7512</v>
      </c>
      <c r="G69" s="412"/>
      <c r="H69" s="413"/>
      <c r="I69" s="414"/>
      <c r="J69" s="412"/>
      <c r="K69" s="412"/>
      <c r="L69" s="412"/>
      <c r="M69" s="412"/>
      <c r="N69" s="412"/>
      <c r="O69" s="412"/>
      <c r="P69" s="412"/>
      <c r="Q69" s="412"/>
      <c r="R69" s="574"/>
      <c r="S69" s="399"/>
    </row>
    <row r="70" spans="1:19" s="426" customFormat="1" ht="22.5" customHeight="1" x14ac:dyDescent="0.3">
      <c r="A70" s="395">
        <v>63</v>
      </c>
      <c r="B70" s="409">
        <v>12</v>
      </c>
      <c r="C70" s="410"/>
      <c r="D70" s="432" t="s">
        <v>944</v>
      </c>
      <c r="E70" s="453"/>
      <c r="F70" s="412">
        <v>602096</v>
      </c>
      <c r="G70" s="412">
        <v>618266</v>
      </c>
      <c r="H70" s="413">
        <v>719597</v>
      </c>
      <c r="I70" s="414"/>
      <c r="J70" s="412"/>
      <c r="K70" s="412"/>
      <c r="L70" s="412"/>
      <c r="M70" s="412"/>
      <c r="N70" s="412"/>
      <c r="O70" s="412"/>
      <c r="P70" s="412"/>
      <c r="Q70" s="412"/>
      <c r="R70" s="574"/>
    </row>
    <row r="71" spans="1:19" s="433" customFormat="1" ht="18" customHeight="1" x14ac:dyDescent="0.3">
      <c r="A71" s="395">
        <v>64</v>
      </c>
      <c r="B71" s="416"/>
      <c r="C71" s="417"/>
      <c r="D71" s="418"/>
      <c r="E71" s="487" t="s">
        <v>252</v>
      </c>
      <c r="F71" s="419"/>
      <c r="G71" s="419"/>
      <c r="H71" s="420"/>
      <c r="I71" s="333">
        <f t="shared" ref="I71:I73" si="9">SUM(J71:Q71)</f>
        <v>671116</v>
      </c>
      <c r="J71" s="419">
        <v>50272</v>
      </c>
      <c r="K71" s="419"/>
      <c r="L71" s="419">
        <v>3816</v>
      </c>
      <c r="M71" s="419"/>
      <c r="N71" s="419"/>
      <c r="O71" s="419"/>
      <c r="P71" s="419">
        <f>10700+12632</f>
        <v>23332</v>
      </c>
      <c r="Q71" s="419">
        <v>593696</v>
      </c>
      <c r="R71" s="628">
        <v>327956</v>
      </c>
    </row>
    <row r="72" spans="1:19" s="433" customFormat="1" ht="18" customHeight="1" x14ac:dyDescent="0.3">
      <c r="A72" s="395">
        <v>65</v>
      </c>
      <c r="B72" s="416"/>
      <c r="C72" s="417"/>
      <c r="D72" s="418"/>
      <c r="E72" s="1003" t="s">
        <v>921</v>
      </c>
      <c r="F72" s="419"/>
      <c r="G72" s="419"/>
      <c r="H72" s="420"/>
      <c r="I72" s="1046">
        <f t="shared" si="9"/>
        <v>728319</v>
      </c>
      <c r="J72" s="570">
        <v>50272</v>
      </c>
      <c r="K72" s="570"/>
      <c r="L72" s="570">
        <v>3816</v>
      </c>
      <c r="M72" s="570"/>
      <c r="N72" s="570"/>
      <c r="O72" s="570"/>
      <c r="P72" s="570">
        <v>73081</v>
      </c>
      <c r="Q72" s="570">
        <v>601150</v>
      </c>
      <c r="R72" s="1412">
        <v>327956</v>
      </c>
    </row>
    <row r="73" spans="1:19" s="433" customFormat="1" ht="18" customHeight="1" x14ac:dyDescent="0.3">
      <c r="A73" s="395">
        <v>66</v>
      </c>
      <c r="B73" s="416"/>
      <c r="C73" s="417"/>
      <c r="D73" s="418"/>
      <c r="E73" s="1002" t="s">
        <v>972</v>
      </c>
      <c r="F73" s="419"/>
      <c r="G73" s="419"/>
      <c r="H73" s="420"/>
      <c r="I73" s="1045">
        <f t="shared" si="9"/>
        <v>383355</v>
      </c>
      <c r="J73" s="415">
        <v>27414</v>
      </c>
      <c r="K73" s="415"/>
      <c r="L73" s="415">
        <v>815</v>
      </c>
      <c r="M73" s="419"/>
      <c r="N73" s="419"/>
      <c r="O73" s="419"/>
      <c r="P73" s="415">
        <v>73081</v>
      </c>
      <c r="Q73" s="415">
        <v>282045</v>
      </c>
      <c r="R73" s="574">
        <v>170537</v>
      </c>
    </row>
    <row r="74" spans="1:19" s="426" customFormat="1" ht="30" customHeight="1" x14ac:dyDescent="0.3">
      <c r="A74" s="395">
        <v>67</v>
      </c>
      <c r="B74" s="427"/>
      <c r="C74" s="450">
        <v>2</v>
      </c>
      <c r="D74" s="1818" t="s">
        <v>334</v>
      </c>
      <c r="E74" s="1819"/>
      <c r="F74" s="412">
        <v>13578</v>
      </c>
      <c r="G74" s="412">
        <v>15126</v>
      </c>
      <c r="H74" s="413">
        <v>24753</v>
      </c>
      <c r="I74" s="414"/>
      <c r="J74" s="412"/>
      <c r="K74" s="412"/>
      <c r="L74" s="412"/>
      <c r="M74" s="412"/>
      <c r="N74" s="412"/>
      <c r="O74" s="412"/>
      <c r="P74" s="412"/>
      <c r="Q74" s="412"/>
      <c r="R74" s="574"/>
    </row>
    <row r="75" spans="1:19" s="426" customFormat="1" ht="22.5" customHeight="1" x14ac:dyDescent="0.3">
      <c r="A75" s="395">
        <v>68</v>
      </c>
      <c r="B75" s="409">
        <v>13</v>
      </c>
      <c r="C75" s="410"/>
      <c r="D75" s="432" t="s">
        <v>30</v>
      </c>
      <c r="E75" s="453"/>
      <c r="F75" s="412">
        <v>520566</v>
      </c>
      <c r="G75" s="412">
        <v>469102</v>
      </c>
      <c r="H75" s="413">
        <v>743638</v>
      </c>
      <c r="I75" s="414"/>
      <c r="J75" s="412"/>
      <c r="K75" s="412"/>
      <c r="L75" s="412"/>
      <c r="M75" s="412"/>
      <c r="N75" s="412"/>
      <c r="O75" s="412"/>
      <c r="P75" s="412"/>
      <c r="Q75" s="412"/>
      <c r="R75" s="574"/>
    </row>
    <row r="76" spans="1:19" s="433" customFormat="1" ht="18" customHeight="1" x14ac:dyDescent="0.3">
      <c r="A76" s="395">
        <v>69</v>
      </c>
      <c r="B76" s="416"/>
      <c r="C76" s="417"/>
      <c r="D76" s="418"/>
      <c r="E76" s="487" t="s">
        <v>252</v>
      </c>
      <c r="F76" s="419"/>
      <c r="G76" s="419"/>
      <c r="H76" s="420"/>
      <c r="I76" s="333">
        <f t="shared" ref="I76:I78" si="10">SUM(J76:Q76)</f>
        <v>689496</v>
      </c>
      <c r="J76" s="419">
        <f>94504+47383</f>
        <v>141887</v>
      </c>
      <c r="K76" s="419"/>
      <c r="L76" s="419">
        <f>63161-23994</f>
        <v>39167</v>
      </c>
      <c r="M76" s="419"/>
      <c r="N76" s="419"/>
      <c r="O76" s="419">
        <v>23994</v>
      </c>
      <c r="P76" s="419">
        <f>9400+122797</f>
        <v>132197</v>
      </c>
      <c r="Q76" s="419">
        <v>352251</v>
      </c>
      <c r="R76" s="628">
        <v>159352</v>
      </c>
    </row>
    <row r="77" spans="1:19" s="433" customFormat="1" ht="18" customHeight="1" x14ac:dyDescent="0.3">
      <c r="A77" s="395">
        <v>70</v>
      </c>
      <c r="B77" s="416"/>
      <c r="C77" s="417"/>
      <c r="D77" s="418"/>
      <c r="E77" s="1003" t="s">
        <v>921</v>
      </c>
      <c r="F77" s="419"/>
      <c r="G77" s="419"/>
      <c r="H77" s="420"/>
      <c r="I77" s="1046">
        <f t="shared" si="10"/>
        <v>842694</v>
      </c>
      <c r="J77" s="570">
        <v>215737</v>
      </c>
      <c r="K77" s="570"/>
      <c r="L77" s="570">
        <v>36173</v>
      </c>
      <c r="M77" s="570"/>
      <c r="N77" s="570"/>
      <c r="O77" s="570">
        <v>23994</v>
      </c>
      <c r="P77" s="570">
        <v>197931</v>
      </c>
      <c r="Q77" s="570">
        <v>368859</v>
      </c>
      <c r="R77" s="1412">
        <v>159352</v>
      </c>
    </row>
    <row r="78" spans="1:19" s="433" customFormat="1" ht="18" customHeight="1" x14ac:dyDescent="0.3">
      <c r="A78" s="395">
        <v>71</v>
      </c>
      <c r="B78" s="416"/>
      <c r="C78" s="417"/>
      <c r="D78" s="418"/>
      <c r="E78" s="1002" t="s">
        <v>972</v>
      </c>
      <c r="F78" s="419"/>
      <c r="G78" s="419"/>
      <c r="H78" s="420"/>
      <c r="I78" s="1045">
        <f t="shared" si="10"/>
        <v>507587</v>
      </c>
      <c r="J78" s="415">
        <v>106957</v>
      </c>
      <c r="K78" s="415">
        <v>500</v>
      </c>
      <c r="L78" s="415">
        <v>9962</v>
      </c>
      <c r="M78" s="419"/>
      <c r="N78" s="419"/>
      <c r="O78" s="419"/>
      <c r="P78" s="415">
        <v>197931</v>
      </c>
      <c r="Q78" s="415">
        <v>192237</v>
      </c>
      <c r="R78" s="574">
        <v>82863</v>
      </c>
    </row>
    <row r="79" spans="1:19" s="451" customFormat="1" ht="18" customHeight="1" x14ac:dyDescent="0.3">
      <c r="A79" s="395">
        <v>72</v>
      </c>
      <c r="B79" s="409"/>
      <c r="C79" s="410">
        <v>1</v>
      </c>
      <c r="D79" s="423" t="s">
        <v>375</v>
      </c>
      <c r="E79" s="636"/>
      <c r="F79" s="412">
        <v>8944</v>
      </c>
      <c r="G79" s="412">
        <v>8944</v>
      </c>
      <c r="H79" s="413">
        <v>8944</v>
      </c>
      <c r="I79" s="414"/>
      <c r="J79" s="412"/>
      <c r="K79" s="412"/>
      <c r="L79" s="412"/>
      <c r="M79" s="412"/>
      <c r="N79" s="412"/>
      <c r="O79" s="412"/>
      <c r="P79" s="412"/>
      <c r="Q79" s="412"/>
      <c r="R79" s="574"/>
      <c r="S79" s="399"/>
    </row>
    <row r="80" spans="1:19" s="451" customFormat="1" ht="30" customHeight="1" x14ac:dyDescent="0.3">
      <c r="A80" s="395">
        <v>73</v>
      </c>
      <c r="B80" s="409"/>
      <c r="C80" s="450">
        <v>2</v>
      </c>
      <c r="D80" s="1829" t="s">
        <v>433</v>
      </c>
      <c r="E80" s="1830"/>
      <c r="F80" s="412">
        <v>25000</v>
      </c>
      <c r="G80" s="412">
        <v>2350</v>
      </c>
      <c r="H80" s="413">
        <v>2350</v>
      </c>
      <c r="I80" s="414"/>
      <c r="J80" s="412"/>
      <c r="K80" s="412"/>
      <c r="L80" s="412"/>
      <c r="M80" s="412"/>
      <c r="N80" s="412"/>
      <c r="O80" s="412"/>
      <c r="P80" s="412"/>
      <c r="Q80" s="412"/>
      <c r="R80" s="574"/>
      <c r="S80" s="399"/>
    </row>
    <row r="81" spans="1:19" s="451" customFormat="1" ht="18" customHeight="1" x14ac:dyDescent="0.3">
      <c r="A81" s="395">
        <v>74</v>
      </c>
      <c r="B81" s="409"/>
      <c r="C81" s="410">
        <v>3</v>
      </c>
      <c r="D81" s="1818" t="s">
        <v>487</v>
      </c>
      <c r="E81" s="1819"/>
      <c r="F81" s="412"/>
      <c r="G81" s="412">
        <v>4000</v>
      </c>
      <c r="H81" s="413">
        <v>6250</v>
      </c>
      <c r="I81" s="414"/>
      <c r="J81" s="412"/>
      <c r="K81" s="412"/>
      <c r="L81" s="412"/>
      <c r="M81" s="412"/>
      <c r="N81" s="412"/>
      <c r="O81" s="412"/>
      <c r="P81" s="412"/>
      <c r="Q81" s="412"/>
      <c r="R81" s="574"/>
      <c r="S81" s="399"/>
    </row>
    <row r="82" spans="1:19" s="426" customFormat="1" ht="22.5" customHeight="1" x14ac:dyDescent="0.3">
      <c r="A82" s="395">
        <v>75</v>
      </c>
      <c r="B82" s="409">
        <v>14</v>
      </c>
      <c r="C82" s="410"/>
      <c r="D82" s="432" t="s">
        <v>307</v>
      </c>
      <c r="E82" s="432"/>
      <c r="F82" s="412">
        <v>233714</v>
      </c>
      <c r="G82" s="412">
        <v>231644</v>
      </c>
      <c r="H82" s="413">
        <v>414902</v>
      </c>
      <c r="I82" s="414"/>
      <c r="J82" s="412"/>
      <c r="K82" s="412"/>
      <c r="L82" s="412"/>
      <c r="M82" s="412"/>
      <c r="N82" s="412"/>
      <c r="O82" s="412"/>
      <c r="P82" s="412"/>
      <c r="Q82" s="412"/>
      <c r="R82" s="574"/>
    </row>
    <row r="83" spans="1:19" s="433" customFormat="1" ht="18" customHeight="1" x14ac:dyDescent="0.3">
      <c r="A83" s="395">
        <v>76</v>
      </c>
      <c r="B83" s="416"/>
      <c r="C83" s="417"/>
      <c r="D83" s="418"/>
      <c r="E83" s="487" t="s">
        <v>252</v>
      </c>
      <c r="F83" s="419"/>
      <c r="G83" s="419"/>
      <c r="H83" s="420"/>
      <c r="I83" s="333">
        <f>SUM(J83:Q83)</f>
        <v>265743</v>
      </c>
      <c r="J83" s="419">
        <v>49800</v>
      </c>
      <c r="K83" s="419"/>
      <c r="L83" s="419"/>
      <c r="M83" s="419"/>
      <c r="N83" s="419"/>
      <c r="O83" s="419"/>
      <c r="P83" s="419">
        <v>17210</v>
      </c>
      <c r="Q83" s="419">
        <v>198733</v>
      </c>
      <c r="R83" s="628">
        <v>79619</v>
      </c>
    </row>
    <row r="84" spans="1:19" s="433" customFormat="1" ht="18" customHeight="1" x14ac:dyDescent="0.3">
      <c r="A84" s="395">
        <v>77</v>
      </c>
      <c r="B84" s="416"/>
      <c r="C84" s="417"/>
      <c r="D84" s="418"/>
      <c r="E84" s="1003" t="s">
        <v>921</v>
      </c>
      <c r="F84" s="419"/>
      <c r="G84" s="419"/>
      <c r="H84" s="420"/>
      <c r="I84" s="1046">
        <f>SUM(J84:Q84)</f>
        <v>287012</v>
      </c>
      <c r="J84" s="570">
        <v>49800</v>
      </c>
      <c r="K84" s="570"/>
      <c r="L84" s="570">
        <v>3530</v>
      </c>
      <c r="M84" s="570"/>
      <c r="N84" s="570"/>
      <c r="O84" s="570"/>
      <c r="P84" s="570">
        <v>18072</v>
      </c>
      <c r="Q84" s="570">
        <v>215610</v>
      </c>
      <c r="R84" s="1412">
        <v>79619</v>
      </c>
    </row>
    <row r="85" spans="1:19" s="433" customFormat="1" ht="18" customHeight="1" x14ac:dyDescent="0.3">
      <c r="A85" s="395">
        <v>78</v>
      </c>
      <c r="B85" s="416"/>
      <c r="C85" s="417"/>
      <c r="D85" s="418"/>
      <c r="E85" s="1002" t="s">
        <v>972</v>
      </c>
      <c r="F85" s="419"/>
      <c r="G85" s="419"/>
      <c r="H85" s="420"/>
      <c r="I85" s="1045">
        <f>SUM(J85:Q85)</f>
        <v>161822</v>
      </c>
      <c r="J85" s="415">
        <v>29079</v>
      </c>
      <c r="K85" s="419"/>
      <c r="L85" s="415">
        <v>7395</v>
      </c>
      <c r="M85" s="419"/>
      <c r="N85" s="419"/>
      <c r="O85" s="419"/>
      <c r="P85" s="415">
        <v>18072</v>
      </c>
      <c r="Q85" s="415">
        <v>107276</v>
      </c>
      <c r="R85" s="574">
        <v>41401</v>
      </c>
    </row>
    <row r="86" spans="1:19" s="455" customFormat="1" ht="18" customHeight="1" x14ac:dyDescent="0.3">
      <c r="A86" s="395">
        <v>79</v>
      </c>
      <c r="B86" s="454"/>
      <c r="C86" s="410">
        <v>1</v>
      </c>
      <c r="D86" s="636" t="s">
        <v>118</v>
      </c>
      <c r="E86" s="636"/>
      <c r="F86" s="412">
        <v>623</v>
      </c>
      <c r="G86" s="412"/>
      <c r="H86" s="413"/>
      <c r="I86" s="414"/>
      <c r="J86" s="412"/>
      <c r="K86" s="412"/>
      <c r="L86" s="412"/>
      <c r="M86" s="412"/>
      <c r="N86" s="412"/>
      <c r="O86" s="412"/>
      <c r="P86" s="412"/>
      <c r="Q86" s="412"/>
      <c r="R86" s="574"/>
      <c r="S86" s="400"/>
    </row>
    <row r="87" spans="1:19" s="451" customFormat="1" ht="18" customHeight="1" x14ac:dyDescent="0.3">
      <c r="A87" s="395">
        <v>80</v>
      </c>
      <c r="B87" s="409"/>
      <c r="C87" s="410">
        <v>2</v>
      </c>
      <c r="D87" s="423" t="s">
        <v>375</v>
      </c>
      <c r="E87" s="636"/>
      <c r="F87" s="412">
        <v>2874</v>
      </c>
      <c r="G87" s="412"/>
      <c r="H87" s="413"/>
      <c r="I87" s="414"/>
      <c r="J87" s="412"/>
      <c r="K87" s="412"/>
      <c r="L87" s="412"/>
      <c r="M87" s="412"/>
      <c r="N87" s="412"/>
      <c r="O87" s="412"/>
      <c r="P87" s="412"/>
      <c r="Q87" s="412"/>
      <c r="R87" s="574"/>
      <c r="S87" s="399"/>
    </row>
    <row r="88" spans="1:19" s="451" customFormat="1" ht="30" customHeight="1" x14ac:dyDescent="0.3">
      <c r="A88" s="395">
        <v>81</v>
      </c>
      <c r="B88" s="409"/>
      <c r="C88" s="450">
        <v>3</v>
      </c>
      <c r="D88" s="1829" t="s">
        <v>806</v>
      </c>
      <c r="E88" s="1830"/>
      <c r="F88" s="412">
        <v>5204</v>
      </c>
      <c r="G88" s="412"/>
      <c r="H88" s="413"/>
      <c r="I88" s="414"/>
      <c r="J88" s="412"/>
      <c r="K88" s="412"/>
      <c r="L88" s="412"/>
      <c r="M88" s="412"/>
      <c r="N88" s="412"/>
      <c r="O88" s="412"/>
      <c r="P88" s="412"/>
      <c r="Q88" s="412"/>
      <c r="R88" s="574"/>
      <c r="S88" s="399"/>
    </row>
    <row r="89" spans="1:19" s="424" customFormat="1" ht="22.5" customHeight="1" x14ac:dyDescent="0.3">
      <c r="A89" s="395">
        <v>82</v>
      </c>
      <c r="B89" s="409">
        <v>15</v>
      </c>
      <c r="C89" s="410"/>
      <c r="D89" s="432" t="s">
        <v>123</v>
      </c>
      <c r="E89" s="453"/>
      <c r="F89" s="412">
        <v>1328135</v>
      </c>
      <c r="G89" s="412">
        <v>961735</v>
      </c>
      <c r="H89" s="413">
        <v>1371608</v>
      </c>
      <c r="I89" s="414"/>
      <c r="J89" s="412"/>
      <c r="K89" s="412"/>
      <c r="L89" s="412"/>
      <c r="M89" s="412"/>
      <c r="N89" s="412"/>
      <c r="O89" s="412"/>
      <c r="P89" s="412"/>
      <c r="Q89" s="412"/>
      <c r="R89" s="574"/>
    </row>
    <row r="90" spans="1:19" s="425" customFormat="1" ht="18" customHeight="1" x14ac:dyDescent="0.3">
      <c r="A90" s="395">
        <v>83</v>
      </c>
      <c r="B90" s="416"/>
      <c r="C90" s="445"/>
      <c r="D90" s="446"/>
      <c r="E90" s="487" t="s">
        <v>252</v>
      </c>
      <c r="F90" s="447"/>
      <c r="G90" s="447"/>
      <c r="H90" s="448"/>
      <c r="I90" s="449">
        <f>SUM(J90:Q90)</f>
        <v>950477</v>
      </c>
      <c r="J90" s="447">
        <v>210554</v>
      </c>
      <c r="K90" s="447">
        <v>31000</v>
      </c>
      <c r="L90" s="447"/>
      <c r="M90" s="447"/>
      <c r="N90" s="447"/>
      <c r="O90" s="447"/>
      <c r="P90" s="447"/>
      <c r="Q90" s="447">
        <v>708923</v>
      </c>
      <c r="R90" s="631">
        <v>436728</v>
      </c>
    </row>
    <row r="91" spans="1:19" s="425" customFormat="1" ht="18" customHeight="1" x14ac:dyDescent="0.3">
      <c r="A91" s="395">
        <v>84</v>
      </c>
      <c r="B91" s="416"/>
      <c r="C91" s="445"/>
      <c r="D91" s="446"/>
      <c r="E91" s="1003" t="s">
        <v>921</v>
      </c>
      <c r="F91" s="447"/>
      <c r="G91" s="447"/>
      <c r="H91" s="448"/>
      <c r="I91" s="1131">
        <f>SUM(J91:Q91)</f>
        <v>1147297</v>
      </c>
      <c r="J91" s="1048">
        <v>210554</v>
      </c>
      <c r="K91" s="1048">
        <v>31000</v>
      </c>
      <c r="L91" s="1048"/>
      <c r="M91" s="1048"/>
      <c r="N91" s="1048"/>
      <c r="O91" s="1048"/>
      <c r="P91" s="1048">
        <v>153581</v>
      </c>
      <c r="Q91" s="1048">
        <v>752162</v>
      </c>
      <c r="R91" s="1414">
        <v>436728</v>
      </c>
    </row>
    <row r="92" spans="1:19" s="425" customFormat="1" ht="18" customHeight="1" thickBot="1" x14ac:dyDescent="0.35">
      <c r="A92" s="395">
        <v>85</v>
      </c>
      <c r="B92" s="416"/>
      <c r="C92" s="417"/>
      <c r="D92" s="418"/>
      <c r="E92" s="1002" t="s">
        <v>972</v>
      </c>
      <c r="F92" s="419"/>
      <c r="G92" s="419"/>
      <c r="H92" s="420"/>
      <c r="I92" s="1045">
        <f>SUM(J92:Q92)</f>
        <v>684773</v>
      </c>
      <c r="J92" s="415">
        <v>144371</v>
      </c>
      <c r="K92" s="415"/>
      <c r="L92" s="415">
        <v>3000</v>
      </c>
      <c r="M92" s="419"/>
      <c r="N92" s="419"/>
      <c r="O92" s="419"/>
      <c r="P92" s="415">
        <v>153581</v>
      </c>
      <c r="Q92" s="415">
        <v>383821</v>
      </c>
      <c r="R92" s="574">
        <v>227099</v>
      </c>
    </row>
    <row r="93" spans="1:19" s="424" customFormat="1" ht="22.5" customHeight="1" thickTop="1" x14ac:dyDescent="0.3">
      <c r="A93" s="395">
        <v>86</v>
      </c>
      <c r="B93" s="427"/>
      <c r="C93" s="1800" t="s">
        <v>338</v>
      </c>
      <c r="D93" s="1801"/>
      <c r="E93" s="1802"/>
      <c r="F93" s="436">
        <f>SUM(F59:F90)</f>
        <v>3769910</v>
      </c>
      <c r="G93" s="436">
        <f>SUM(G59:G90)</f>
        <v>3471828</v>
      </c>
      <c r="H93" s="437">
        <f>SUM(H59:H90)</f>
        <v>4610419</v>
      </c>
      <c r="I93" s="438"/>
      <c r="J93" s="436"/>
      <c r="K93" s="436"/>
      <c r="L93" s="436"/>
      <c r="M93" s="436"/>
      <c r="N93" s="436"/>
      <c r="O93" s="436"/>
      <c r="P93" s="436"/>
      <c r="Q93" s="436"/>
      <c r="R93" s="632"/>
    </row>
    <row r="94" spans="1:19" s="425" customFormat="1" ht="18" customHeight="1" x14ac:dyDescent="0.3">
      <c r="A94" s="395">
        <v>87</v>
      </c>
      <c r="B94" s="416"/>
      <c r="C94" s="445"/>
      <c r="D94" s="446"/>
      <c r="E94" s="487" t="s">
        <v>252</v>
      </c>
      <c r="F94" s="447"/>
      <c r="G94" s="447"/>
      <c r="H94" s="448"/>
      <c r="I94" s="449">
        <f t="shared" ref="I94:R94" si="11">SUM(I60,I66,I71,I76,I83,I90)</f>
        <v>3274331</v>
      </c>
      <c r="J94" s="447">
        <f t="shared" si="11"/>
        <v>531002</v>
      </c>
      <c r="K94" s="447">
        <f t="shared" si="11"/>
        <v>31000</v>
      </c>
      <c r="L94" s="447">
        <f t="shared" si="11"/>
        <v>42983</v>
      </c>
      <c r="M94" s="447">
        <f t="shared" si="11"/>
        <v>0</v>
      </c>
      <c r="N94" s="447">
        <f t="shared" si="11"/>
        <v>0</v>
      </c>
      <c r="O94" s="447">
        <f t="shared" si="11"/>
        <v>23994</v>
      </c>
      <c r="P94" s="447">
        <f t="shared" si="11"/>
        <v>258583</v>
      </c>
      <c r="Q94" s="447">
        <f t="shared" si="11"/>
        <v>2386769</v>
      </c>
      <c r="R94" s="631">
        <f t="shared" si="11"/>
        <v>1105748</v>
      </c>
    </row>
    <row r="95" spans="1:19" s="425" customFormat="1" ht="18" customHeight="1" x14ac:dyDescent="0.3">
      <c r="A95" s="395">
        <v>88</v>
      </c>
      <c r="B95" s="1043"/>
      <c r="C95" s="445"/>
      <c r="D95" s="446"/>
      <c r="E95" s="1003" t="s">
        <v>921</v>
      </c>
      <c r="F95" s="447"/>
      <c r="G95" s="447"/>
      <c r="H95" s="448"/>
      <c r="I95" s="1131">
        <f t="shared" ref="I95:R95" si="12">SUM(I61,I67,I72,I77,I84,I91)</f>
        <v>3831065</v>
      </c>
      <c r="J95" s="1048">
        <f t="shared" si="12"/>
        <v>605020</v>
      </c>
      <c r="K95" s="1048">
        <f t="shared" si="12"/>
        <v>31000</v>
      </c>
      <c r="L95" s="1048">
        <f t="shared" si="12"/>
        <v>61032</v>
      </c>
      <c r="M95" s="1048">
        <f t="shared" si="12"/>
        <v>0</v>
      </c>
      <c r="N95" s="1048">
        <f t="shared" si="12"/>
        <v>0</v>
      </c>
      <c r="O95" s="1048">
        <f t="shared" si="12"/>
        <v>23994</v>
      </c>
      <c r="P95" s="1048">
        <f t="shared" si="12"/>
        <v>591618</v>
      </c>
      <c r="Q95" s="1048">
        <f t="shared" si="12"/>
        <v>2518401</v>
      </c>
      <c r="R95" s="1414">
        <f t="shared" si="12"/>
        <v>1136024</v>
      </c>
    </row>
    <row r="96" spans="1:19" s="425" customFormat="1" ht="18" customHeight="1" thickBot="1" x14ac:dyDescent="0.35">
      <c r="A96" s="395">
        <v>89</v>
      </c>
      <c r="B96" s="1043"/>
      <c r="C96" s="440"/>
      <c r="D96" s="441"/>
      <c r="E96" s="1639" t="s">
        <v>972</v>
      </c>
      <c r="F96" s="442"/>
      <c r="G96" s="442"/>
      <c r="H96" s="443"/>
      <c r="I96" s="1640">
        <f>SUM(J96:Q96)</f>
        <v>2109563</v>
      </c>
      <c r="J96" s="1641">
        <f>J92+J85+J78+J73+J68+J62</f>
        <v>380473</v>
      </c>
      <c r="K96" s="1641">
        <f t="shared" ref="K96:R96" si="13">K92+K85+K78+K73+K68+K62</f>
        <v>500</v>
      </c>
      <c r="L96" s="1641">
        <f t="shared" si="13"/>
        <v>24403</v>
      </c>
      <c r="M96" s="1641">
        <f t="shared" si="13"/>
        <v>0</v>
      </c>
      <c r="N96" s="1641">
        <f t="shared" si="13"/>
        <v>0</v>
      </c>
      <c r="O96" s="1641">
        <f t="shared" si="13"/>
        <v>0</v>
      </c>
      <c r="P96" s="1641">
        <f t="shared" si="13"/>
        <v>591618</v>
      </c>
      <c r="Q96" s="1641">
        <f t="shared" si="13"/>
        <v>1112569</v>
      </c>
      <c r="R96" s="1642">
        <f t="shared" si="13"/>
        <v>590732</v>
      </c>
    </row>
    <row r="97" spans="1:19" ht="22.5" customHeight="1" thickTop="1" x14ac:dyDescent="0.3">
      <c r="A97" s="395">
        <v>90</v>
      </c>
      <c r="B97" s="402">
        <v>16</v>
      </c>
      <c r="C97" s="403"/>
      <c r="D97" s="394" t="s">
        <v>227</v>
      </c>
      <c r="E97" s="394"/>
      <c r="F97" s="406">
        <v>1598773</v>
      </c>
      <c r="G97" s="406">
        <v>1425063</v>
      </c>
      <c r="H97" s="407">
        <v>1728283</v>
      </c>
      <c r="I97" s="408"/>
      <c r="J97" s="406"/>
      <c r="K97" s="406"/>
      <c r="L97" s="406"/>
      <c r="M97" s="406"/>
      <c r="N97" s="406"/>
      <c r="O97" s="406"/>
      <c r="P97" s="406"/>
      <c r="Q97" s="406"/>
      <c r="R97" s="627"/>
      <c r="S97" s="399"/>
    </row>
    <row r="98" spans="1:19" s="457" customFormat="1" ht="18" customHeight="1" x14ac:dyDescent="0.3">
      <c r="A98" s="395">
        <v>91</v>
      </c>
      <c r="B98" s="416"/>
      <c r="C98" s="417"/>
      <c r="D98" s="417"/>
      <c r="E98" s="487" t="s">
        <v>252</v>
      </c>
      <c r="F98" s="419"/>
      <c r="G98" s="419"/>
      <c r="H98" s="420"/>
      <c r="I98" s="333">
        <f>SUM(J98:Q98)</f>
        <v>1824602</v>
      </c>
      <c r="J98" s="419">
        <v>425293</v>
      </c>
      <c r="K98" s="419"/>
      <c r="L98" s="419"/>
      <c r="M98" s="419"/>
      <c r="N98" s="419"/>
      <c r="O98" s="419"/>
      <c r="P98" s="419">
        <v>76231</v>
      </c>
      <c r="Q98" s="419">
        <v>1323078</v>
      </c>
      <c r="R98" s="628">
        <v>594122</v>
      </c>
      <c r="S98" s="456"/>
    </row>
    <row r="99" spans="1:19" s="457" customFormat="1" ht="18" customHeight="1" x14ac:dyDescent="0.3">
      <c r="A99" s="395">
        <v>92</v>
      </c>
      <c r="B99" s="416"/>
      <c r="C99" s="417"/>
      <c r="D99" s="417"/>
      <c r="E99" s="1003" t="s">
        <v>921</v>
      </c>
      <c r="F99" s="419"/>
      <c r="G99" s="419"/>
      <c r="H99" s="420"/>
      <c r="I99" s="1046">
        <f>SUM(J99:Q99)</f>
        <v>2068755</v>
      </c>
      <c r="J99" s="570">
        <v>425293</v>
      </c>
      <c r="K99" s="570"/>
      <c r="L99" s="570"/>
      <c r="M99" s="570"/>
      <c r="N99" s="570"/>
      <c r="O99" s="570"/>
      <c r="P99" s="570">
        <v>317907</v>
      </c>
      <c r="Q99" s="570">
        <v>1325555</v>
      </c>
      <c r="R99" s="1412">
        <v>594122</v>
      </c>
      <c r="S99" s="456"/>
    </row>
    <row r="100" spans="1:19" s="457" customFormat="1" ht="18" customHeight="1" thickBot="1" x14ac:dyDescent="0.35">
      <c r="A100" s="395">
        <v>93</v>
      </c>
      <c r="B100" s="1759"/>
      <c r="C100" s="458"/>
      <c r="D100" s="458"/>
      <c r="E100" s="1643" t="s">
        <v>972</v>
      </c>
      <c r="F100" s="1760"/>
      <c r="G100" s="1760"/>
      <c r="H100" s="1761"/>
      <c r="I100" s="1646">
        <f>SUM(J100:Q100)</f>
        <v>952206</v>
      </c>
      <c r="J100" s="1678">
        <v>303519</v>
      </c>
      <c r="K100" s="1678">
        <v>29</v>
      </c>
      <c r="L100" s="1760"/>
      <c r="M100" s="1760"/>
      <c r="N100" s="1760"/>
      <c r="O100" s="1760"/>
      <c r="P100" s="1678">
        <v>317907</v>
      </c>
      <c r="Q100" s="1678">
        <v>330751</v>
      </c>
      <c r="R100" s="1794">
        <v>308943</v>
      </c>
      <c r="S100" s="456"/>
    </row>
    <row r="101" spans="1:19" s="455" customFormat="1" ht="30" customHeight="1" x14ac:dyDescent="0.3">
      <c r="A101" s="395">
        <v>94</v>
      </c>
      <c r="B101" s="1831" t="s">
        <v>124</v>
      </c>
      <c r="C101" s="1832"/>
      <c r="D101" s="1832"/>
      <c r="E101" s="1833"/>
      <c r="F101" s="1047">
        <f>SUM(F97,F93,F55,F38)</f>
        <v>9649881</v>
      </c>
      <c r="G101" s="1047">
        <f>SUM(G97,G93,G55,G38)</f>
        <v>9477637</v>
      </c>
      <c r="H101" s="1758">
        <f>SUM(H97,H93,H55,H38)</f>
        <v>11476755</v>
      </c>
      <c r="I101" s="408"/>
      <c r="J101" s="406"/>
      <c r="K101" s="406"/>
      <c r="L101" s="406"/>
      <c r="M101" s="406"/>
      <c r="N101" s="406"/>
      <c r="O101" s="406"/>
      <c r="P101" s="406"/>
      <c r="Q101" s="406"/>
      <c r="R101" s="627"/>
      <c r="S101" s="400"/>
    </row>
    <row r="102" spans="1:19" s="457" customFormat="1" ht="18" customHeight="1" x14ac:dyDescent="0.3">
      <c r="A102" s="395">
        <v>95</v>
      </c>
      <c r="B102" s="416"/>
      <c r="C102" s="417"/>
      <c r="D102" s="418"/>
      <c r="E102" s="487" t="s">
        <v>252</v>
      </c>
      <c r="F102" s="419"/>
      <c r="G102" s="419"/>
      <c r="H102" s="420"/>
      <c r="I102" s="333">
        <f t="shared" ref="I102:R102" si="14">SUM(I98,I94,I56,I39)</f>
        <v>10526892</v>
      </c>
      <c r="J102" s="419">
        <f t="shared" si="14"/>
        <v>1092969</v>
      </c>
      <c r="K102" s="419">
        <f t="shared" si="14"/>
        <v>32938</v>
      </c>
      <c r="L102" s="419">
        <f t="shared" si="14"/>
        <v>42983</v>
      </c>
      <c r="M102" s="419">
        <f t="shared" si="14"/>
        <v>0</v>
      </c>
      <c r="N102" s="419">
        <f t="shared" si="14"/>
        <v>0</v>
      </c>
      <c r="O102" s="419">
        <f t="shared" si="14"/>
        <v>23994</v>
      </c>
      <c r="P102" s="419">
        <f t="shared" si="14"/>
        <v>430762</v>
      </c>
      <c r="Q102" s="419">
        <f t="shared" si="14"/>
        <v>8903246</v>
      </c>
      <c r="R102" s="628">
        <f t="shared" si="14"/>
        <v>5475996</v>
      </c>
      <c r="S102" s="456"/>
    </row>
    <row r="103" spans="1:19" s="457" customFormat="1" ht="18" customHeight="1" x14ac:dyDescent="0.3">
      <c r="A103" s="395">
        <v>96</v>
      </c>
      <c r="B103" s="416"/>
      <c r="C103" s="417"/>
      <c r="D103" s="418"/>
      <c r="E103" s="1003" t="s">
        <v>921</v>
      </c>
      <c r="F103" s="419"/>
      <c r="G103" s="419"/>
      <c r="H103" s="420"/>
      <c r="I103" s="1046">
        <f t="shared" ref="I103:R103" si="15">SUM(I99,I95,I57,I40)</f>
        <v>11794700</v>
      </c>
      <c r="J103" s="570">
        <f t="shared" si="15"/>
        <v>1184487</v>
      </c>
      <c r="K103" s="570">
        <f t="shared" si="15"/>
        <v>56246</v>
      </c>
      <c r="L103" s="570">
        <f t="shared" si="15"/>
        <v>61032</v>
      </c>
      <c r="M103" s="570">
        <f t="shared" si="15"/>
        <v>0</v>
      </c>
      <c r="N103" s="570">
        <f t="shared" si="15"/>
        <v>0</v>
      </c>
      <c r="O103" s="570">
        <f t="shared" si="15"/>
        <v>23994</v>
      </c>
      <c r="P103" s="570">
        <f t="shared" si="15"/>
        <v>1260530</v>
      </c>
      <c r="Q103" s="570">
        <f t="shared" si="15"/>
        <v>9208411</v>
      </c>
      <c r="R103" s="1226">
        <f t="shared" si="15"/>
        <v>5603507</v>
      </c>
      <c r="S103" s="456"/>
    </row>
    <row r="104" spans="1:19" s="457" customFormat="1" ht="18" customHeight="1" thickBot="1" x14ac:dyDescent="0.35">
      <c r="A104" s="395">
        <v>97</v>
      </c>
      <c r="B104" s="416"/>
      <c r="C104" s="417"/>
      <c r="D104" s="418"/>
      <c r="E104" s="1002" t="s">
        <v>973</v>
      </c>
      <c r="F104" s="419"/>
      <c r="G104" s="419"/>
      <c r="H104" s="420"/>
      <c r="I104" s="1045">
        <f>SUM(J104:Q104)</f>
        <v>5748547</v>
      </c>
      <c r="J104" s="415">
        <f t="shared" ref="J104:R104" si="16">J100+J96+J58+J41</f>
        <v>793049</v>
      </c>
      <c r="K104" s="415">
        <f t="shared" si="16"/>
        <v>29070</v>
      </c>
      <c r="L104" s="415">
        <f t="shared" si="16"/>
        <v>24403</v>
      </c>
      <c r="M104" s="415">
        <f t="shared" si="16"/>
        <v>0</v>
      </c>
      <c r="N104" s="415">
        <f t="shared" si="16"/>
        <v>0</v>
      </c>
      <c r="O104" s="415">
        <f t="shared" si="16"/>
        <v>0</v>
      </c>
      <c r="P104" s="415">
        <f t="shared" si="16"/>
        <v>1260530</v>
      </c>
      <c r="Q104" s="415">
        <f t="shared" si="16"/>
        <v>3641495</v>
      </c>
      <c r="R104" s="1051">
        <f t="shared" si="16"/>
        <v>2951574</v>
      </c>
      <c r="S104" s="456"/>
    </row>
    <row r="105" spans="1:19" ht="30" customHeight="1" x14ac:dyDescent="0.3">
      <c r="A105" s="395">
        <v>98</v>
      </c>
      <c r="B105" s="462">
        <v>17</v>
      </c>
      <c r="C105" s="463"/>
      <c r="D105" s="1834" t="s">
        <v>125</v>
      </c>
      <c r="E105" s="1835"/>
      <c r="F105" s="464">
        <v>2581389</v>
      </c>
      <c r="G105" s="464">
        <v>2293390</v>
      </c>
      <c r="H105" s="465">
        <v>2865198</v>
      </c>
      <c r="I105" s="466"/>
      <c r="J105" s="466"/>
      <c r="K105" s="467"/>
      <c r="L105" s="461"/>
      <c r="M105" s="461"/>
      <c r="N105" s="461"/>
      <c r="O105" s="461"/>
      <c r="P105" s="461"/>
      <c r="Q105" s="461"/>
      <c r="R105" s="633"/>
      <c r="S105" s="399"/>
    </row>
    <row r="106" spans="1:19" s="457" customFormat="1" ht="18" customHeight="1" x14ac:dyDescent="0.3">
      <c r="A106" s="395">
        <v>99</v>
      </c>
      <c r="B106" s="468"/>
      <c r="C106" s="445"/>
      <c r="D106" s="445"/>
      <c r="E106" s="469" t="s">
        <v>252</v>
      </c>
      <c r="F106" s="447"/>
      <c r="G106" s="447"/>
      <c r="H106" s="448"/>
      <c r="I106" s="449">
        <f t="shared" ref="I106:I108" si="17">SUM(J106:Q106)</f>
        <v>2584822</v>
      </c>
      <c r="J106" s="447">
        <v>3000</v>
      </c>
      <c r="K106" s="447"/>
      <c r="L106" s="447"/>
      <c r="M106" s="447"/>
      <c r="N106" s="447"/>
      <c r="O106" s="447"/>
      <c r="P106" s="447">
        <v>10712</v>
      </c>
      <c r="Q106" s="447">
        <v>2571110</v>
      </c>
      <c r="R106" s="631">
        <v>913168</v>
      </c>
      <c r="S106" s="456"/>
    </row>
    <row r="107" spans="1:19" s="457" customFormat="1" ht="18" customHeight="1" x14ac:dyDescent="0.3">
      <c r="A107" s="395">
        <v>100</v>
      </c>
      <c r="B107" s="1416"/>
      <c r="C107" s="445"/>
      <c r="D107" s="446"/>
      <c r="E107" s="1003" t="s">
        <v>921</v>
      </c>
      <c r="F107" s="447"/>
      <c r="G107" s="447"/>
      <c r="H107" s="448"/>
      <c r="I107" s="1131">
        <f t="shared" si="17"/>
        <v>3378436</v>
      </c>
      <c r="J107" s="1048">
        <v>3000</v>
      </c>
      <c r="K107" s="1048">
        <v>39173</v>
      </c>
      <c r="L107" s="1048"/>
      <c r="M107" s="1048"/>
      <c r="N107" s="1048"/>
      <c r="O107" s="1048"/>
      <c r="P107" s="1048">
        <v>700703</v>
      </c>
      <c r="Q107" s="1048">
        <v>2635560</v>
      </c>
      <c r="R107" s="1414">
        <v>913168</v>
      </c>
      <c r="S107" s="456"/>
    </row>
    <row r="108" spans="1:19" s="457" customFormat="1" ht="18" customHeight="1" thickBot="1" x14ac:dyDescent="0.35">
      <c r="A108" s="395">
        <v>101</v>
      </c>
      <c r="B108" s="1049"/>
      <c r="C108" s="417"/>
      <c r="D108" s="418"/>
      <c r="E108" s="1468" t="s">
        <v>972</v>
      </c>
      <c r="F108" s="1467"/>
      <c r="G108" s="419"/>
      <c r="H108" s="420"/>
      <c r="I108" s="1045">
        <f t="shared" si="17"/>
        <v>1164124</v>
      </c>
      <c r="J108" s="415">
        <v>10202</v>
      </c>
      <c r="K108" s="415">
        <v>33044</v>
      </c>
      <c r="L108" s="415"/>
      <c r="M108" s="415">
        <v>30</v>
      </c>
      <c r="N108" s="415"/>
      <c r="O108" s="415"/>
      <c r="P108" s="415">
        <v>700703</v>
      </c>
      <c r="Q108" s="415">
        <v>420145</v>
      </c>
      <c r="R108" s="574">
        <v>474847</v>
      </c>
      <c r="S108" s="456"/>
    </row>
    <row r="109" spans="1:19" s="455" customFormat="1" ht="30" customHeight="1" x14ac:dyDescent="0.3">
      <c r="A109" s="395">
        <v>102</v>
      </c>
      <c r="B109" s="1826" t="s">
        <v>13</v>
      </c>
      <c r="C109" s="1827"/>
      <c r="D109" s="1827"/>
      <c r="E109" s="1828"/>
      <c r="F109" s="459">
        <f>SUM(F101:F106)</f>
        <v>12231270</v>
      </c>
      <c r="G109" s="459">
        <f>SUM(G101:G106)</f>
        <v>11771027</v>
      </c>
      <c r="H109" s="460">
        <f>SUM(H101:H106)</f>
        <v>14341953</v>
      </c>
      <c r="I109" s="470"/>
      <c r="J109" s="459"/>
      <c r="K109" s="459"/>
      <c r="L109" s="459"/>
      <c r="M109" s="459"/>
      <c r="N109" s="459"/>
      <c r="O109" s="459"/>
      <c r="P109" s="459"/>
      <c r="Q109" s="459"/>
      <c r="R109" s="634"/>
      <c r="S109" s="400"/>
    </row>
    <row r="110" spans="1:19" s="457" customFormat="1" ht="18" customHeight="1" x14ac:dyDescent="0.3">
      <c r="A110" s="395">
        <v>103</v>
      </c>
      <c r="B110" s="468"/>
      <c r="C110" s="445"/>
      <c r="D110" s="445"/>
      <c r="E110" s="1050" t="s">
        <v>252</v>
      </c>
      <c r="F110" s="447"/>
      <c r="G110" s="447"/>
      <c r="H110" s="448"/>
      <c r="I110" s="449">
        <f t="shared" ref="I110:R110" si="18">SUM(I102,I106)</f>
        <v>13111714</v>
      </c>
      <c r="J110" s="447">
        <f t="shared" si="18"/>
        <v>1095969</v>
      </c>
      <c r="K110" s="447">
        <f t="shared" si="18"/>
        <v>32938</v>
      </c>
      <c r="L110" s="447">
        <f t="shared" si="18"/>
        <v>42983</v>
      </c>
      <c r="M110" s="447">
        <f t="shared" si="18"/>
        <v>0</v>
      </c>
      <c r="N110" s="447">
        <f t="shared" si="18"/>
        <v>0</v>
      </c>
      <c r="O110" s="447">
        <f t="shared" si="18"/>
        <v>23994</v>
      </c>
      <c r="P110" s="447">
        <f t="shared" si="18"/>
        <v>441474</v>
      </c>
      <c r="Q110" s="447">
        <f t="shared" si="18"/>
        <v>11474356</v>
      </c>
      <c r="R110" s="631">
        <f t="shared" si="18"/>
        <v>6389164</v>
      </c>
      <c r="S110" s="456"/>
    </row>
    <row r="111" spans="1:19" s="457" customFormat="1" ht="18" customHeight="1" x14ac:dyDescent="0.3">
      <c r="A111" s="395">
        <v>104</v>
      </c>
      <c r="B111" s="468"/>
      <c r="C111" s="445"/>
      <c r="D111" s="445"/>
      <c r="E111" s="1417" t="s">
        <v>921</v>
      </c>
      <c r="F111" s="447"/>
      <c r="G111" s="447"/>
      <c r="H111" s="448"/>
      <c r="I111" s="1131">
        <f t="shared" ref="I111:R111" si="19">SUM(I103,I107)</f>
        <v>15173136</v>
      </c>
      <c r="J111" s="1048">
        <f t="shared" si="19"/>
        <v>1187487</v>
      </c>
      <c r="K111" s="1048">
        <f t="shared" si="19"/>
        <v>95419</v>
      </c>
      <c r="L111" s="1048">
        <f t="shared" si="19"/>
        <v>61032</v>
      </c>
      <c r="M111" s="1048">
        <f t="shared" si="19"/>
        <v>0</v>
      </c>
      <c r="N111" s="1048">
        <f t="shared" si="19"/>
        <v>0</v>
      </c>
      <c r="O111" s="1048">
        <f t="shared" si="19"/>
        <v>23994</v>
      </c>
      <c r="P111" s="1048">
        <f t="shared" si="19"/>
        <v>1961233</v>
      </c>
      <c r="Q111" s="1048">
        <f t="shared" si="19"/>
        <v>11843971</v>
      </c>
      <c r="R111" s="1227">
        <f t="shared" si="19"/>
        <v>6516675</v>
      </c>
      <c r="S111" s="456"/>
    </row>
    <row r="112" spans="1:19" ht="18" customHeight="1" thickBot="1" x14ac:dyDescent="0.35">
      <c r="A112" s="395">
        <v>105</v>
      </c>
      <c r="B112" s="1052"/>
      <c r="C112" s="1053"/>
      <c r="D112" s="1053"/>
      <c r="E112" s="1643" t="s">
        <v>973</v>
      </c>
      <c r="F112" s="1644"/>
      <c r="G112" s="1644"/>
      <c r="H112" s="1645"/>
      <c r="I112" s="1646">
        <f>SUM(J112:Q112)</f>
        <v>6912671</v>
      </c>
      <c r="J112" s="1678">
        <f>J108+J104</f>
        <v>803251</v>
      </c>
      <c r="K112" s="1678">
        <f t="shared" ref="K112:R112" si="20">K108+K104</f>
        <v>62114</v>
      </c>
      <c r="L112" s="1678">
        <f t="shared" si="20"/>
        <v>24403</v>
      </c>
      <c r="M112" s="1678">
        <f t="shared" si="20"/>
        <v>30</v>
      </c>
      <c r="N112" s="1678">
        <f t="shared" si="20"/>
        <v>0</v>
      </c>
      <c r="O112" s="1678">
        <f t="shared" si="20"/>
        <v>0</v>
      </c>
      <c r="P112" s="1678">
        <f t="shared" si="20"/>
        <v>1961233</v>
      </c>
      <c r="Q112" s="1678">
        <f>Q108+Q104</f>
        <v>4061640</v>
      </c>
      <c r="R112" s="1647">
        <f t="shared" si="20"/>
        <v>3426421</v>
      </c>
    </row>
  </sheetData>
  <mergeCells count="29">
    <mergeCell ref="B109:E109"/>
    <mergeCell ref="D80:E80"/>
    <mergeCell ref="D88:E88"/>
    <mergeCell ref="C93:E93"/>
    <mergeCell ref="B101:E101"/>
    <mergeCell ref="D105:E105"/>
    <mergeCell ref="D81:E81"/>
    <mergeCell ref="D74:E74"/>
    <mergeCell ref="I6:I7"/>
    <mergeCell ref="J6:L6"/>
    <mergeCell ref="M6:O6"/>
    <mergeCell ref="P6:P7"/>
    <mergeCell ref="D42:E42"/>
    <mergeCell ref="D54:E54"/>
    <mergeCell ref="C55:E55"/>
    <mergeCell ref="D63:E63"/>
    <mergeCell ref="D64:E64"/>
    <mergeCell ref="Q6:R6"/>
    <mergeCell ref="C38:E38"/>
    <mergeCell ref="B1:E1"/>
    <mergeCell ref="B2:R2"/>
    <mergeCell ref="B3:R3"/>
    <mergeCell ref="D5:E5"/>
    <mergeCell ref="B6:B7"/>
    <mergeCell ref="C6:C7"/>
    <mergeCell ref="D6:E7"/>
    <mergeCell ref="F6:F7"/>
    <mergeCell ref="G6:G7"/>
    <mergeCell ref="H6:H7"/>
  </mergeCells>
  <printOptions horizontalCentered="1"/>
  <pageMargins left="0.19685039370078741" right="0.19685039370078741" top="0.59055118110236227" bottom="0.59055118110236227" header="0.51181102362204722" footer="0.31496062992125984"/>
  <pageSetup paperSize="9" scale="64" fitToHeight="0" orientation="landscape" verticalDpi="300" r:id="rId1"/>
  <headerFooter alignWithMargins="0">
    <oddFooter>&amp;C- &amp;P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E249"/>
  <sheetViews>
    <sheetView view="pageBreakPreview" zoomScaleNormal="100" zoomScaleSheetLayoutView="100" workbookViewId="0">
      <selection activeCell="S225" sqref="S225"/>
    </sheetView>
  </sheetViews>
  <sheetFormatPr defaultColWidth="9.28515625" defaultRowHeight="15" x14ac:dyDescent="0.3"/>
  <cols>
    <col min="1" max="1" width="3.7109375" style="395" customWidth="1"/>
    <col min="2" max="2" width="5.5703125" style="474" customWidth="1"/>
    <col min="3" max="3" width="5.7109375" style="474" customWidth="1"/>
    <col min="4" max="4" width="4.7109375" style="474" customWidth="1"/>
    <col min="5" max="5" width="60.7109375" style="97" customWidth="1"/>
    <col min="6" max="6" width="6.7109375" style="158" customWidth="1"/>
    <col min="7" max="7" width="10.7109375" style="237" customWidth="1"/>
    <col min="8" max="8" width="12.28515625" style="237" customWidth="1"/>
    <col min="9" max="9" width="10.7109375" style="237" customWidth="1"/>
    <col min="10" max="10" width="13.7109375" style="475" customWidth="1"/>
    <col min="11" max="18" width="14.7109375" style="237" customWidth="1"/>
    <col min="19" max="19" width="9.5703125" style="237" bestFit="1" customWidth="1"/>
    <col min="20" max="31" width="9.28515625" style="237"/>
    <col min="32" max="16384" width="9.28515625" style="97"/>
  </cols>
  <sheetData>
    <row r="1" spans="1:31" s="160" customFormat="1" ht="18" customHeight="1" x14ac:dyDescent="0.2">
      <c r="A1" s="395"/>
      <c r="B1" s="1803" t="s">
        <v>1009</v>
      </c>
      <c r="C1" s="1803"/>
      <c r="D1" s="1803"/>
      <c r="E1" s="1803"/>
      <c r="F1" s="1803"/>
      <c r="G1" s="1803"/>
      <c r="H1" s="472"/>
      <c r="I1" s="472"/>
      <c r="J1" s="473"/>
      <c r="K1" s="472"/>
      <c r="L1" s="472"/>
      <c r="M1" s="472"/>
      <c r="N1" s="472"/>
      <c r="O1" s="472"/>
      <c r="P1" s="472"/>
      <c r="Q1" s="472"/>
      <c r="R1" s="472"/>
      <c r="S1" s="472"/>
      <c r="T1" s="472"/>
      <c r="U1" s="472"/>
      <c r="V1" s="472"/>
      <c r="W1" s="472"/>
      <c r="X1" s="472"/>
      <c r="Y1" s="472"/>
      <c r="Z1" s="472"/>
      <c r="AA1" s="472"/>
      <c r="AB1" s="472"/>
      <c r="AC1" s="472"/>
      <c r="AD1" s="472"/>
      <c r="AE1" s="472"/>
    </row>
    <row r="2" spans="1:31" s="160" customFormat="1" ht="24.75" customHeight="1" x14ac:dyDescent="0.2">
      <c r="A2" s="395"/>
      <c r="B2" s="1804" t="s">
        <v>108</v>
      </c>
      <c r="C2" s="1804"/>
      <c r="D2" s="1804"/>
      <c r="E2" s="1804"/>
      <c r="F2" s="1804"/>
      <c r="G2" s="1804"/>
      <c r="H2" s="1804"/>
      <c r="I2" s="1804"/>
      <c r="J2" s="1804"/>
      <c r="K2" s="1804"/>
      <c r="L2" s="1804"/>
      <c r="M2" s="1804"/>
      <c r="N2" s="1804"/>
      <c r="O2" s="1804"/>
      <c r="P2" s="1804"/>
      <c r="Q2" s="1804"/>
      <c r="R2" s="1804"/>
      <c r="S2" s="472"/>
      <c r="T2" s="472"/>
      <c r="U2" s="472"/>
      <c r="V2" s="472"/>
      <c r="W2" s="472"/>
      <c r="X2" s="472"/>
      <c r="Y2" s="472"/>
      <c r="Z2" s="472"/>
      <c r="AA2" s="472"/>
      <c r="AB2" s="472"/>
      <c r="AC2" s="472"/>
      <c r="AD2" s="472"/>
      <c r="AE2" s="472"/>
    </row>
    <row r="3" spans="1:31" s="160" customFormat="1" ht="24.75" customHeight="1" x14ac:dyDescent="0.2">
      <c r="A3" s="395"/>
      <c r="B3" s="1804" t="s">
        <v>1007</v>
      </c>
      <c r="C3" s="1804"/>
      <c r="D3" s="1804"/>
      <c r="E3" s="1804"/>
      <c r="F3" s="1804"/>
      <c r="G3" s="1804"/>
      <c r="H3" s="1804"/>
      <c r="I3" s="1804"/>
      <c r="J3" s="1804"/>
      <c r="K3" s="1804"/>
      <c r="L3" s="1804"/>
      <c r="M3" s="1804"/>
      <c r="N3" s="1804"/>
      <c r="O3" s="1804"/>
      <c r="P3" s="1804"/>
      <c r="Q3" s="1804"/>
      <c r="R3" s="1804"/>
      <c r="S3" s="472"/>
      <c r="T3" s="472"/>
      <c r="U3" s="472"/>
      <c r="V3" s="472"/>
      <c r="W3" s="472"/>
      <c r="X3" s="472"/>
      <c r="Y3" s="472"/>
      <c r="Z3" s="472"/>
      <c r="AA3" s="472"/>
      <c r="AB3" s="472"/>
      <c r="AC3" s="472"/>
      <c r="AD3" s="472"/>
      <c r="AE3" s="472"/>
    </row>
    <row r="4" spans="1:31" ht="18" customHeight="1" x14ac:dyDescent="0.3">
      <c r="Q4" s="1845" t="s">
        <v>0</v>
      </c>
      <c r="R4" s="1845"/>
    </row>
    <row r="5" spans="1:31" s="395" customFormat="1" ht="18" customHeight="1" thickBot="1" x14ac:dyDescent="0.25">
      <c r="B5" s="395" t="s">
        <v>1</v>
      </c>
      <c r="C5" s="395" t="s">
        <v>3</v>
      </c>
      <c r="D5" s="1805" t="s">
        <v>2</v>
      </c>
      <c r="E5" s="1805"/>
      <c r="F5" s="395" t="s">
        <v>4</v>
      </c>
      <c r="G5" s="395" t="s">
        <v>5</v>
      </c>
      <c r="H5" s="395" t="s">
        <v>15</v>
      </c>
      <c r="I5" s="395" t="s">
        <v>16</v>
      </c>
      <c r="J5" s="395" t="s">
        <v>17</v>
      </c>
      <c r="K5" s="395" t="s">
        <v>32</v>
      </c>
      <c r="L5" s="395" t="s">
        <v>28</v>
      </c>
      <c r="M5" s="395" t="s">
        <v>23</v>
      </c>
      <c r="N5" s="395" t="s">
        <v>33</v>
      </c>
      <c r="O5" s="395" t="s">
        <v>34</v>
      </c>
      <c r="P5" s="395" t="s">
        <v>126</v>
      </c>
      <c r="Q5" s="395" t="s">
        <v>127</v>
      </c>
      <c r="R5" s="395" t="s">
        <v>128</v>
      </c>
    </row>
    <row r="6" spans="1:31" s="158" customFormat="1" ht="30" customHeight="1" x14ac:dyDescent="0.3">
      <c r="A6" s="395"/>
      <c r="B6" s="1806" t="s">
        <v>18</v>
      </c>
      <c r="C6" s="1846" t="s">
        <v>19</v>
      </c>
      <c r="D6" s="1810" t="s">
        <v>6</v>
      </c>
      <c r="E6" s="1848"/>
      <c r="F6" s="1850" t="s">
        <v>20</v>
      </c>
      <c r="G6" s="1814" t="s">
        <v>532</v>
      </c>
      <c r="H6" s="1814" t="s">
        <v>523</v>
      </c>
      <c r="I6" s="1816" t="s">
        <v>545</v>
      </c>
      <c r="J6" s="1852" t="s">
        <v>534</v>
      </c>
      <c r="K6" s="1854" t="s">
        <v>35</v>
      </c>
      <c r="L6" s="1855"/>
      <c r="M6" s="1855"/>
      <c r="N6" s="1855"/>
      <c r="O6" s="1856"/>
      <c r="P6" s="1857" t="s">
        <v>129</v>
      </c>
      <c r="Q6" s="1857"/>
      <c r="R6" s="1857"/>
    </row>
    <row r="7" spans="1:31" s="158" customFormat="1" ht="60.75" customHeight="1" thickBot="1" x14ac:dyDescent="0.35">
      <c r="A7" s="395"/>
      <c r="B7" s="1807"/>
      <c r="C7" s="1847"/>
      <c r="D7" s="1812"/>
      <c r="E7" s="1849"/>
      <c r="F7" s="1851"/>
      <c r="G7" s="1815"/>
      <c r="H7" s="1815"/>
      <c r="I7" s="1817"/>
      <c r="J7" s="1853"/>
      <c r="K7" s="635" t="s">
        <v>36</v>
      </c>
      <c r="L7" s="635" t="s">
        <v>37</v>
      </c>
      <c r="M7" s="635" t="s">
        <v>38</v>
      </c>
      <c r="N7" s="635" t="s">
        <v>186</v>
      </c>
      <c r="O7" s="635" t="s">
        <v>39</v>
      </c>
      <c r="P7" s="476" t="s">
        <v>193</v>
      </c>
      <c r="Q7" s="635" t="s">
        <v>194</v>
      </c>
      <c r="R7" s="635" t="s">
        <v>130</v>
      </c>
    </row>
    <row r="8" spans="1:31" ht="22.5" customHeight="1" x14ac:dyDescent="0.3">
      <c r="A8" s="395">
        <v>1</v>
      </c>
      <c r="B8" s="402">
        <v>1</v>
      </c>
      <c r="C8" s="477"/>
      <c r="D8" s="478" t="s">
        <v>255</v>
      </c>
      <c r="E8" s="478"/>
      <c r="F8" s="479" t="s">
        <v>23</v>
      </c>
      <c r="G8" s="406">
        <v>248778</v>
      </c>
      <c r="H8" s="406">
        <v>302590</v>
      </c>
      <c r="I8" s="1201">
        <v>309916</v>
      </c>
      <c r="J8" s="480"/>
      <c r="K8" s="406"/>
      <c r="L8" s="406"/>
      <c r="M8" s="406"/>
      <c r="N8" s="406"/>
      <c r="O8" s="406"/>
      <c r="P8" s="406"/>
      <c r="Q8" s="406"/>
      <c r="R8" s="481"/>
    </row>
    <row r="9" spans="1:31" ht="18" customHeight="1" x14ac:dyDescent="0.3">
      <c r="A9" s="395">
        <v>2</v>
      </c>
      <c r="B9" s="409"/>
      <c r="C9" s="482"/>
      <c r="D9" s="483" t="s">
        <v>258</v>
      </c>
      <c r="E9" s="483"/>
      <c r="F9" s="412"/>
      <c r="G9" s="412"/>
      <c r="H9" s="412"/>
      <c r="I9" s="1202"/>
      <c r="J9" s="484"/>
      <c r="K9" s="412"/>
      <c r="L9" s="412"/>
      <c r="M9" s="412"/>
      <c r="N9" s="412"/>
      <c r="O9" s="412"/>
      <c r="P9" s="412"/>
      <c r="Q9" s="412"/>
      <c r="R9" s="485"/>
    </row>
    <row r="10" spans="1:31" s="421" customFormat="1" ht="18" customHeight="1" x14ac:dyDescent="0.3">
      <c r="A10" s="395">
        <v>3</v>
      </c>
      <c r="B10" s="416"/>
      <c r="C10" s="486"/>
      <c r="D10" s="486"/>
      <c r="E10" s="487" t="s">
        <v>252</v>
      </c>
      <c r="F10" s="488"/>
      <c r="G10" s="488"/>
      <c r="H10" s="488"/>
      <c r="I10" s="1203"/>
      <c r="J10" s="489">
        <f>SUM(K10:R10)</f>
        <v>373089</v>
      </c>
      <c r="K10" s="490">
        <v>235491</v>
      </c>
      <c r="L10" s="490">
        <v>36087</v>
      </c>
      <c r="M10" s="490">
        <v>100611</v>
      </c>
      <c r="N10" s="490"/>
      <c r="O10" s="490"/>
      <c r="P10" s="490">
        <v>900</v>
      </c>
      <c r="Q10" s="490"/>
      <c r="R10" s="491"/>
      <c r="S10" s="492"/>
      <c r="T10" s="492"/>
      <c r="U10" s="492"/>
      <c r="V10" s="492"/>
      <c r="W10" s="492"/>
      <c r="X10" s="492"/>
      <c r="Y10" s="492"/>
      <c r="Z10" s="492"/>
      <c r="AA10" s="492"/>
      <c r="AB10" s="492"/>
      <c r="AC10" s="492"/>
      <c r="AD10" s="492"/>
      <c r="AE10" s="492"/>
    </row>
    <row r="11" spans="1:31" s="421" customFormat="1" ht="18" customHeight="1" x14ac:dyDescent="0.3">
      <c r="A11" s="395">
        <v>4</v>
      </c>
      <c r="B11" s="416"/>
      <c r="C11" s="486"/>
      <c r="D11" s="486"/>
      <c r="E11" s="1003" t="s">
        <v>921</v>
      </c>
      <c r="F11" s="488"/>
      <c r="G11" s="488"/>
      <c r="H11" s="488"/>
      <c r="I11" s="1203"/>
      <c r="J11" s="484">
        <f>SUM(K11:R11)</f>
        <v>398682</v>
      </c>
      <c r="K11" s="1062">
        <v>241116</v>
      </c>
      <c r="L11" s="1062">
        <v>37555</v>
      </c>
      <c r="M11" s="1062">
        <v>109911</v>
      </c>
      <c r="N11" s="1062"/>
      <c r="O11" s="1062"/>
      <c r="P11" s="1062">
        <v>10100</v>
      </c>
      <c r="Q11" s="490"/>
      <c r="R11" s="491"/>
      <c r="S11" s="492"/>
      <c r="T11" s="492"/>
      <c r="U11" s="492"/>
      <c r="V11" s="492"/>
      <c r="W11" s="492"/>
      <c r="X11" s="492"/>
      <c r="Y11" s="492"/>
      <c r="Z11" s="492"/>
      <c r="AA11" s="492"/>
      <c r="AB11" s="492"/>
      <c r="AC11" s="492"/>
      <c r="AD11" s="492"/>
      <c r="AE11" s="492"/>
    </row>
    <row r="12" spans="1:31" s="421" customFormat="1" ht="18" customHeight="1" x14ac:dyDescent="0.3">
      <c r="A12" s="395">
        <v>5</v>
      </c>
      <c r="B12" s="416"/>
      <c r="C12" s="486"/>
      <c r="D12" s="486"/>
      <c r="E12" s="1002" t="s">
        <v>972</v>
      </c>
      <c r="F12" s="488"/>
      <c r="G12" s="488"/>
      <c r="H12" s="488"/>
      <c r="I12" s="1204"/>
      <c r="J12" s="1045">
        <f>SUM(K12:R12)</f>
        <v>182707</v>
      </c>
      <c r="K12" s="523">
        <v>116776</v>
      </c>
      <c r="L12" s="523">
        <v>17546</v>
      </c>
      <c r="M12" s="523">
        <v>48288</v>
      </c>
      <c r="N12" s="1062"/>
      <c r="O12" s="490"/>
      <c r="P12" s="523">
        <v>97</v>
      </c>
      <c r="Q12" s="490"/>
      <c r="R12" s="491"/>
      <c r="S12" s="492"/>
      <c r="T12" s="492"/>
      <c r="U12" s="492"/>
      <c r="V12" s="492"/>
      <c r="W12" s="492"/>
      <c r="X12" s="492"/>
      <c r="Y12" s="492"/>
      <c r="Z12" s="492"/>
      <c r="AA12" s="492"/>
      <c r="AB12" s="492"/>
      <c r="AC12" s="492"/>
      <c r="AD12" s="492"/>
      <c r="AE12" s="492"/>
    </row>
    <row r="13" spans="1:31" s="451" customFormat="1" ht="22.5" customHeight="1" x14ac:dyDescent="0.3">
      <c r="A13" s="395">
        <v>6</v>
      </c>
      <c r="B13" s="409">
        <v>2</v>
      </c>
      <c r="C13" s="482"/>
      <c r="D13" s="493" t="s">
        <v>254</v>
      </c>
      <c r="E13" s="493"/>
      <c r="F13" s="494" t="s">
        <v>23</v>
      </c>
      <c r="G13" s="412">
        <v>403341</v>
      </c>
      <c r="H13" s="412">
        <v>500303</v>
      </c>
      <c r="I13" s="1202">
        <v>507890</v>
      </c>
      <c r="J13" s="484"/>
      <c r="K13" s="412"/>
      <c r="L13" s="412"/>
      <c r="M13" s="412"/>
      <c r="N13" s="412"/>
      <c r="O13" s="412"/>
      <c r="P13" s="412"/>
      <c r="Q13" s="412"/>
      <c r="R13" s="485"/>
      <c r="S13" s="495"/>
      <c r="T13" s="495"/>
      <c r="U13" s="495"/>
      <c r="V13" s="495"/>
      <c r="W13" s="495"/>
      <c r="X13" s="495"/>
      <c r="Y13" s="495"/>
      <c r="Z13" s="495"/>
      <c r="AA13" s="495"/>
      <c r="AB13" s="495"/>
      <c r="AC13" s="495"/>
      <c r="AD13" s="495"/>
      <c r="AE13" s="495"/>
    </row>
    <row r="14" spans="1:31" ht="18" customHeight="1" x14ac:dyDescent="0.3">
      <c r="A14" s="395">
        <v>7</v>
      </c>
      <c r="B14" s="409"/>
      <c r="C14" s="482"/>
      <c r="D14" s="483" t="s">
        <v>253</v>
      </c>
      <c r="E14" s="483"/>
      <c r="F14" s="412"/>
      <c r="G14" s="412"/>
      <c r="H14" s="412"/>
      <c r="I14" s="413"/>
      <c r="J14" s="1046"/>
      <c r="K14" s="412"/>
      <c r="L14" s="412"/>
      <c r="M14" s="412"/>
      <c r="N14" s="412"/>
      <c r="O14" s="412"/>
      <c r="P14" s="412"/>
      <c r="Q14" s="412"/>
      <c r="R14" s="485"/>
    </row>
    <row r="15" spans="1:31" s="433" customFormat="1" ht="18" customHeight="1" x14ac:dyDescent="0.3">
      <c r="A15" s="395">
        <v>8</v>
      </c>
      <c r="B15" s="416"/>
      <c r="C15" s="486"/>
      <c r="D15" s="486"/>
      <c r="E15" s="487" t="s">
        <v>252</v>
      </c>
      <c r="F15" s="488"/>
      <c r="G15" s="488"/>
      <c r="H15" s="488"/>
      <c r="I15" s="1204"/>
      <c r="J15" s="333">
        <f>SUM(K15:R15)</f>
        <v>612920</v>
      </c>
      <c r="K15" s="490">
        <v>413725</v>
      </c>
      <c r="L15" s="490">
        <v>65131</v>
      </c>
      <c r="M15" s="490">
        <v>132364</v>
      </c>
      <c r="N15" s="490"/>
      <c r="O15" s="490"/>
      <c r="P15" s="490">
        <v>1700</v>
      </c>
      <c r="Q15" s="490"/>
      <c r="R15" s="491"/>
      <c r="S15" s="496"/>
      <c r="T15" s="496"/>
      <c r="U15" s="496"/>
      <c r="V15" s="496"/>
      <c r="W15" s="496"/>
      <c r="X15" s="496"/>
      <c r="Y15" s="496"/>
      <c r="Z15" s="496"/>
      <c r="AA15" s="496"/>
      <c r="AB15" s="496"/>
      <c r="AC15" s="496"/>
      <c r="AD15" s="496"/>
      <c r="AE15" s="496"/>
    </row>
    <row r="16" spans="1:31" s="433" customFormat="1" ht="18" customHeight="1" x14ac:dyDescent="0.3">
      <c r="A16" s="395">
        <v>9</v>
      </c>
      <c r="B16" s="416"/>
      <c r="C16" s="486"/>
      <c r="D16" s="486"/>
      <c r="E16" s="1003" t="s">
        <v>921</v>
      </c>
      <c r="F16" s="488"/>
      <c r="G16" s="488"/>
      <c r="H16" s="488"/>
      <c r="I16" s="1204"/>
      <c r="J16" s="1046">
        <f>SUM(K16:R16)</f>
        <v>640748</v>
      </c>
      <c r="K16" s="1062">
        <v>424621</v>
      </c>
      <c r="L16" s="1062">
        <v>67643</v>
      </c>
      <c r="M16" s="1062">
        <v>139884</v>
      </c>
      <c r="N16" s="1062"/>
      <c r="O16" s="1062"/>
      <c r="P16" s="1062">
        <v>8600</v>
      </c>
      <c r="Q16" s="490"/>
      <c r="R16" s="491"/>
      <c r="S16" s="496"/>
      <c r="T16" s="496"/>
      <c r="U16" s="496"/>
      <c r="V16" s="496"/>
      <c r="W16" s="496"/>
      <c r="X16" s="496"/>
      <c r="Y16" s="496"/>
      <c r="Z16" s="496"/>
      <c r="AA16" s="496"/>
      <c r="AB16" s="496"/>
      <c r="AC16" s="496"/>
      <c r="AD16" s="496"/>
      <c r="AE16" s="496"/>
    </row>
    <row r="17" spans="1:31" s="433" customFormat="1" ht="18" customHeight="1" x14ac:dyDescent="0.3">
      <c r="A17" s="395">
        <v>10</v>
      </c>
      <c r="B17" s="416"/>
      <c r="C17" s="486"/>
      <c r="D17" s="486"/>
      <c r="E17" s="1002" t="s">
        <v>972</v>
      </c>
      <c r="F17" s="488"/>
      <c r="G17" s="488"/>
      <c r="H17" s="488"/>
      <c r="I17" s="1204"/>
      <c r="J17" s="1045">
        <f>SUM(K17:R17)</f>
        <v>279415</v>
      </c>
      <c r="K17" s="523">
        <v>192357</v>
      </c>
      <c r="L17" s="523">
        <v>29135</v>
      </c>
      <c r="M17" s="523">
        <v>54979</v>
      </c>
      <c r="N17" s="523"/>
      <c r="O17" s="523"/>
      <c r="P17" s="523">
        <v>2944</v>
      </c>
      <c r="Q17" s="490"/>
      <c r="R17" s="491"/>
      <c r="S17" s="496"/>
      <c r="T17" s="496"/>
      <c r="U17" s="496"/>
      <c r="V17" s="496"/>
      <c r="W17" s="496"/>
      <c r="X17" s="496"/>
      <c r="Y17" s="496"/>
      <c r="Z17" s="496"/>
      <c r="AA17" s="496"/>
      <c r="AB17" s="496"/>
      <c r="AC17" s="496"/>
      <c r="AD17" s="496"/>
      <c r="AE17" s="496"/>
    </row>
    <row r="18" spans="1:31" ht="22.5" customHeight="1" x14ac:dyDescent="0.3">
      <c r="A18" s="395">
        <v>11</v>
      </c>
      <c r="B18" s="409">
        <v>3</v>
      </c>
      <c r="C18" s="482"/>
      <c r="D18" s="493" t="s">
        <v>223</v>
      </c>
      <c r="E18" s="493"/>
      <c r="F18" s="494" t="s">
        <v>23</v>
      </c>
      <c r="G18" s="412">
        <v>455779</v>
      </c>
      <c r="H18" s="412">
        <v>527697</v>
      </c>
      <c r="I18" s="413">
        <v>507514</v>
      </c>
      <c r="J18" s="1046"/>
      <c r="K18" s="412"/>
      <c r="L18" s="412"/>
      <c r="M18" s="412"/>
      <c r="N18" s="412"/>
      <c r="O18" s="412"/>
      <c r="P18" s="412"/>
      <c r="Q18" s="412"/>
      <c r="R18" s="485"/>
    </row>
    <row r="19" spans="1:31" s="399" customFormat="1" ht="18" customHeight="1" x14ac:dyDescent="0.3">
      <c r="A19" s="395">
        <v>12</v>
      </c>
      <c r="B19" s="409"/>
      <c r="C19" s="482"/>
      <c r="D19" s="483" t="s">
        <v>119</v>
      </c>
      <c r="E19" s="483"/>
      <c r="F19" s="412"/>
      <c r="G19" s="412"/>
      <c r="H19" s="412"/>
      <c r="I19" s="413"/>
      <c r="J19" s="1046"/>
      <c r="K19" s="412"/>
      <c r="L19" s="412"/>
      <c r="M19" s="412"/>
      <c r="N19" s="412"/>
      <c r="O19" s="412"/>
      <c r="P19" s="412"/>
      <c r="Q19" s="412"/>
      <c r="R19" s="485"/>
      <c r="S19" s="497"/>
      <c r="T19" s="497"/>
      <c r="U19" s="497"/>
      <c r="V19" s="497"/>
      <c r="W19" s="497"/>
      <c r="X19" s="497"/>
      <c r="Y19" s="497"/>
      <c r="Z19" s="497"/>
      <c r="AA19" s="497"/>
      <c r="AB19" s="497"/>
      <c r="AC19" s="497"/>
      <c r="AD19" s="497"/>
      <c r="AE19" s="497"/>
    </row>
    <row r="20" spans="1:31" s="421" customFormat="1" ht="18" customHeight="1" x14ac:dyDescent="0.3">
      <c r="A20" s="395">
        <v>13</v>
      </c>
      <c r="B20" s="416"/>
      <c r="C20" s="486"/>
      <c r="D20" s="486"/>
      <c r="E20" s="487" t="s">
        <v>252</v>
      </c>
      <c r="F20" s="488"/>
      <c r="G20" s="488"/>
      <c r="H20" s="488"/>
      <c r="I20" s="1204"/>
      <c r="J20" s="333">
        <f>SUM(K20:R20)</f>
        <v>616909</v>
      </c>
      <c r="K20" s="490">
        <v>432805</v>
      </c>
      <c r="L20" s="490">
        <v>65693</v>
      </c>
      <c r="M20" s="490">
        <v>116411</v>
      </c>
      <c r="N20" s="490"/>
      <c r="O20" s="490"/>
      <c r="P20" s="490">
        <v>2000</v>
      </c>
      <c r="Q20" s="490"/>
      <c r="R20" s="491"/>
      <c r="S20" s="492"/>
      <c r="T20" s="492"/>
      <c r="U20" s="492"/>
      <c r="V20" s="492"/>
      <c r="W20" s="492"/>
      <c r="X20" s="492"/>
      <c r="Y20" s="492"/>
      <c r="Z20" s="492"/>
      <c r="AA20" s="492"/>
      <c r="AB20" s="492"/>
      <c r="AC20" s="492"/>
      <c r="AD20" s="492"/>
      <c r="AE20" s="492"/>
    </row>
    <row r="21" spans="1:31" s="421" customFormat="1" ht="18" customHeight="1" x14ac:dyDescent="0.3">
      <c r="A21" s="395">
        <v>14</v>
      </c>
      <c r="B21" s="416"/>
      <c r="C21" s="486"/>
      <c r="D21" s="486"/>
      <c r="E21" s="1003" t="s">
        <v>921</v>
      </c>
      <c r="F21" s="488"/>
      <c r="G21" s="488"/>
      <c r="H21" s="488"/>
      <c r="I21" s="1204"/>
      <c r="J21" s="1046">
        <f>SUM(K21:R21)</f>
        <v>657897</v>
      </c>
      <c r="K21" s="1062">
        <v>460851</v>
      </c>
      <c r="L21" s="1062">
        <v>69259</v>
      </c>
      <c r="M21" s="1062">
        <v>125687</v>
      </c>
      <c r="N21" s="1062"/>
      <c r="O21" s="1062"/>
      <c r="P21" s="1062">
        <v>2100</v>
      </c>
      <c r="Q21" s="1062"/>
      <c r="R21" s="1089"/>
      <c r="S21" s="492"/>
      <c r="T21" s="492"/>
      <c r="U21" s="492"/>
      <c r="V21" s="492"/>
      <c r="W21" s="492"/>
      <c r="X21" s="492"/>
      <c r="Y21" s="492"/>
      <c r="Z21" s="492"/>
      <c r="AA21" s="492"/>
      <c r="AB21" s="492"/>
      <c r="AC21" s="492"/>
      <c r="AD21" s="492"/>
      <c r="AE21" s="492"/>
    </row>
    <row r="22" spans="1:31" s="421" customFormat="1" ht="18" customHeight="1" x14ac:dyDescent="0.3">
      <c r="A22" s="395">
        <v>15</v>
      </c>
      <c r="B22" s="416"/>
      <c r="C22" s="486"/>
      <c r="D22" s="486"/>
      <c r="E22" s="1002" t="s">
        <v>972</v>
      </c>
      <c r="F22" s="488"/>
      <c r="G22" s="488"/>
      <c r="H22" s="488"/>
      <c r="I22" s="1204"/>
      <c r="J22" s="1045">
        <f>SUM(K22:R22)</f>
        <v>282004</v>
      </c>
      <c r="K22" s="523">
        <v>203386</v>
      </c>
      <c r="L22" s="523">
        <v>29000</v>
      </c>
      <c r="M22" s="523">
        <v>48540</v>
      </c>
      <c r="N22" s="490"/>
      <c r="O22" s="490"/>
      <c r="P22" s="523">
        <v>1078</v>
      </c>
      <c r="Q22" s="490"/>
      <c r="R22" s="491"/>
      <c r="S22" s="492"/>
      <c r="T22" s="492"/>
      <c r="U22" s="492"/>
      <c r="V22" s="492"/>
      <c r="W22" s="492"/>
      <c r="X22" s="492"/>
      <c r="Y22" s="492"/>
      <c r="Z22" s="492"/>
      <c r="AA22" s="492"/>
      <c r="AB22" s="492"/>
      <c r="AC22" s="492"/>
      <c r="AD22" s="492"/>
      <c r="AE22" s="492"/>
    </row>
    <row r="23" spans="1:31" ht="22.5" customHeight="1" x14ac:dyDescent="0.3">
      <c r="A23" s="395">
        <v>16</v>
      </c>
      <c r="B23" s="409">
        <v>4</v>
      </c>
      <c r="C23" s="482"/>
      <c r="D23" s="493" t="s">
        <v>224</v>
      </c>
      <c r="E23" s="493"/>
      <c r="F23" s="494" t="s">
        <v>23</v>
      </c>
      <c r="G23" s="412">
        <v>384695</v>
      </c>
      <c r="H23" s="412">
        <v>441720</v>
      </c>
      <c r="I23" s="413">
        <v>457384</v>
      </c>
      <c r="J23" s="1046"/>
      <c r="K23" s="412"/>
      <c r="L23" s="412"/>
      <c r="M23" s="412"/>
      <c r="N23" s="412"/>
      <c r="O23" s="412"/>
      <c r="P23" s="412"/>
      <c r="Q23" s="412"/>
      <c r="R23" s="485"/>
    </row>
    <row r="24" spans="1:31" ht="18" customHeight="1" x14ac:dyDescent="0.3">
      <c r="A24" s="395">
        <v>17</v>
      </c>
      <c r="B24" s="409"/>
      <c r="C24" s="482"/>
      <c r="D24" s="483" t="s">
        <v>120</v>
      </c>
      <c r="E24" s="483"/>
      <c r="F24" s="412"/>
      <c r="G24" s="412"/>
      <c r="H24" s="412"/>
      <c r="I24" s="413"/>
      <c r="J24" s="1046"/>
      <c r="K24" s="412"/>
      <c r="L24" s="412"/>
      <c r="M24" s="412"/>
      <c r="N24" s="412"/>
      <c r="O24" s="412"/>
      <c r="P24" s="412"/>
      <c r="Q24" s="412"/>
      <c r="R24" s="485"/>
    </row>
    <row r="25" spans="1:31" s="421" customFormat="1" ht="18" customHeight="1" x14ac:dyDescent="0.3">
      <c r="A25" s="395">
        <v>18</v>
      </c>
      <c r="B25" s="416"/>
      <c r="C25" s="486"/>
      <c r="D25" s="486"/>
      <c r="E25" s="487" t="s">
        <v>252</v>
      </c>
      <c r="F25" s="488"/>
      <c r="G25" s="488"/>
      <c r="H25" s="488"/>
      <c r="I25" s="1204"/>
      <c r="J25" s="333">
        <f>SUM(K25:R25)</f>
        <v>539457</v>
      </c>
      <c r="K25" s="490">
        <v>373199</v>
      </c>
      <c r="L25" s="490">
        <v>57099</v>
      </c>
      <c r="M25" s="490">
        <v>107759</v>
      </c>
      <c r="N25" s="490"/>
      <c r="O25" s="490"/>
      <c r="P25" s="490">
        <v>1400</v>
      </c>
      <c r="Q25" s="490"/>
      <c r="R25" s="491"/>
      <c r="S25" s="492"/>
      <c r="T25" s="492"/>
      <c r="U25" s="492"/>
      <c r="V25" s="492"/>
      <c r="W25" s="492"/>
      <c r="X25" s="492"/>
      <c r="Y25" s="492"/>
      <c r="Z25" s="492"/>
      <c r="AA25" s="492"/>
      <c r="AB25" s="492"/>
      <c r="AC25" s="492"/>
      <c r="AD25" s="492"/>
      <c r="AE25" s="492"/>
    </row>
    <row r="26" spans="1:31" s="421" customFormat="1" ht="18" customHeight="1" x14ac:dyDescent="0.3">
      <c r="A26" s="395">
        <v>19</v>
      </c>
      <c r="B26" s="416"/>
      <c r="C26" s="486"/>
      <c r="D26" s="486"/>
      <c r="E26" s="1003" t="s">
        <v>921</v>
      </c>
      <c r="F26" s="488"/>
      <c r="G26" s="488"/>
      <c r="H26" s="488"/>
      <c r="I26" s="1204"/>
      <c r="J26" s="1046">
        <f>SUM(K26:R26)</f>
        <v>571477</v>
      </c>
      <c r="K26" s="1062">
        <v>389842</v>
      </c>
      <c r="L26" s="1062">
        <v>59676</v>
      </c>
      <c r="M26" s="1062">
        <v>115939</v>
      </c>
      <c r="N26" s="1062"/>
      <c r="O26" s="1062"/>
      <c r="P26" s="1062">
        <v>6020</v>
      </c>
      <c r="Q26" s="490"/>
      <c r="R26" s="491"/>
      <c r="S26" s="492"/>
      <c r="T26" s="492"/>
      <c r="U26" s="492"/>
      <c r="V26" s="492"/>
      <c r="W26" s="492"/>
      <c r="X26" s="492"/>
      <c r="Y26" s="492"/>
      <c r="Z26" s="492"/>
      <c r="AA26" s="492"/>
      <c r="AB26" s="492"/>
      <c r="AC26" s="492"/>
      <c r="AD26" s="492"/>
      <c r="AE26" s="492"/>
    </row>
    <row r="27" spans="1:31" s="421" customFormat="1" ht="18" customHeight="1" x14ac:dyDescent="0.3">
      <c r="A27" s="395">
        <v>20</v>
      </c>
      <c r="B27" s="416"/>
      <c r="C27" s="486"/>
      <c r="D27" s="486"/>
      <c r="E27" s="1002" t="s">
        <v>972</v>
      </c>
      <c r="F27" s="488"/>
      <c r="G27" s="488"/>
      <c r="H27" s="488"/>
      <c r="I27" s="1204"/>
      <c r="J27" s="1045">
        <f>SUM(K27:R27)</f>
        <v>258879</v>
      </c>
      <c r="K27" s="523">
        <v>178254</v>
      </c>
      <c r="L27" s="523">
        <v>27331</v>
      </c>
      <c r="M27" s="523">
        <v>51596</v>
      </c>
      <c r="N27" s="523"/>
      <c r="O27" s="523"/>
      <c r="P27" s="523">
        <v>1698</v>
      </c>
      <c r="Q27" s="490"/>
      <c r="R27" s="491"/>
      <c r="S27" s="492"/>
      <c r="T27" s="492"/>
      <c r="U27" s="492"/>
      <c r="V27" s="492"/>
      <c r="W27" s="492"/>
      <c r="X27" s="492"/>
      <c r="Y27" s="492"/>
      <c r="Z27" s="492"/>
      <c r="AA27" s="492"/>
      <c r="AB27" s="492"/>
      <c r="AC27" s="492"/>
      <c r="AD27" s="492"/>
      <c r="AE27" s="492"/>
    </row>
    <row r="28" spans="1:31" s="451" customFormat="1" ht="22.5" customHeight="1" x14ac:dyDescent="0.3">
      <c r="A28" s="395">
        <v>21</v>
      </c>
      <c r="B28" s="409">
        <v>5</v>
      </c>
      <c r="C28" s="482"/>
      <c r="D28" s="493" t="s">
        <v>225</v>
      </c>
      <c r="E28" s="493"/>
      <c r="F28" s="494" t="s">
        <v>23</v>
      </c>
      <c r="G28" s="412">
        <v>407579</v>
      </c>
      <c r="H28" s="412">
        <v>444365</v>
      </c>
      <c r="I28" s="413">
        <v>452652</v>
      </c>
      <c r="J28" s="1046"/>
      <c r="K28" s="412"/>
      <c r="L28" s="412"/>
      <c r="M28" s="412"/>
      <c r="N28" s="498"/>
      <c r="O28" s="498"/>
      <c r="P28" s="498"/>
      <c r="Q28" s="498"/>
      <c r="R28" s="499"/>
      <c r="S28" s="495"/>
      <c r="T28" s="495"/>
      <c r="U28" s="495"/>
      <c r="V28" s="495"/>
      <c r="W28" s="495"/>
      <c r="X28" s="495"/>
      <c r="Y28" s="495"/>
      <c r="Z28" s="495"/>
      <c r="AA28" s="495"/>
      <c r="AB28" s="495"/>
      <c r="AC28" s="495"/>
      <c r="AD28" s="495"/>
      <c r="AE28" s="495"/>
    </row>
    <row r="29" spans="1:31" ht="18" customHeight="1" x14ac:dyDescent="0.3">
      <c r="A29" s="395">
        <v>22</v>
      </c>
      <c r="B29" s="409"/>
      <c r="C29" s="482"/>
      <c r="D29" s="483" t="s">
        <v>121</v>
      </c>
      <c r="E29" s="483"/>
      <c r="F29" s="412"/>
      <c r="G29" s="412"/>
      <c r="H29" s="412"/>
      <c r="I29" s="413"/>
      <c r="J29" s="1046"/>
      <c r="K29" s="412"/>
      <c r="L29" s="412"/>
      <c r="M29" s="412"/>
      <c r="N29" s="498"/>
      <c r="O29" s="498"/>
      <c r="P29" s="498"/>
      <c r="Q29" s="498"/>
      <c r="R29" s="499"/>
    </row>
    <row r="30" spans="1:31" s="433" customFormat="1" ht="18" customHeight="1" x14ac:dyDescent="0.3">
      <c r="A30" s="395">
        <v>23</v>
      </c>
      <c r="B30" s="416"/>
      <c r="C30" s="486"/>
      <c r="D30" s="486"/>
      <c r="E30" s="487" t="s">
        <v>252</v>
      </c>
      <c r="F30" s="488"/>
      <c r="G30" s="488"/>
      <c r="H30" s="488"/>
      <c r="I30" s="1204"/>
      <c r="J30" s="333">
        <f>SUM(K30:R30)</f>
        <v>579932</v>
      </c>
      <c r="K30" s="490">
        <v>372806</v>
      </c>
      <c r="L30" s="490">
        <v>56014</v>
      </c>
      <c r="M30" s="490">
        <v>149512</v>
      </c>
      <c r="N30" s="490"/>
      <c r="O30" s="490"/>
      <c r="P30" s="490">
        <v>1600</v>
      </c>
      <c r="Q30" s="490"/>
      <c r="R30" s="491"/>
      <c r="S30" s="496"/>
      <c r="T30" s="496"/>
      <c r="U30" s="496"/>
      <c r="V30" s="496"/>
      <c r="W30" s="496"/>
      <c r="X30" s="496"/>
      <c r="Y30" s="496"/>
      <c r="Z30" s="496"/>
      <c r="AA30" s="496"/>
      <c r="AB30" s="496"/>
      <c r="AC30" s="496"/>
      <c r="AD30" s="496"/>
      <c r="AE30" s="496"/>
    </row>
    <row r="31" spans="1:31" s="433" customFormat="1" ht="18" customHeight="1" x14ac:dyDescent="0.3">
      <c r="A31" s="395">
        <v>24</v>
      </c>
      <c r="B31" s="416"/>
      <c r="C31" s="486"/>
      <c r="D31" s="486"/>
      <c r="E31" s="1003" t="s">
        <v>921</v>
      </c>
      <c r="F31" s="488"/>
      <c r="G31" s="488"/>
      <c r="H31" s="488"/>
      <c r="I31" s="1204"/>
      <c r="J31" s="1046">
        <f>SUM(K31:R31)</f>
        <v>613572</v>
      </c>
      <c r="K31" s="1062">
        <v>380600</v>
      </c>
      <c r="L31" s="1062">
        <v>59422</v>
      </c>
      <c r="M31" s="1062">
        <v>169377</v>
      </c>
      <c r="N31" s="1062"/>
      <c r="O31" s="1062"/>
      <c r="P31" s="1062">
        <v>4173</v>
      </c>
      <c r="Q31" s="490"/>
      <c r="R31" s="491"/>
      <c r="S31" s="496"/>
      <c r="T31" s="496"/>
      <c r="U31" s="496"/>
      <c r="V31" s="496"/>
      <c r="W31" s="496"/>
      <c r="X31" s="496"/>
      <c r="Y31" s="496"/>
      <c r="Z31" s="496"/>
      <c r="AA31" s="496"/>
      <c r="AB31" s="496"/>
      <c r="AC31" s="496"/>
      <c r="AD31" s="496"/>
      <c r="AE31" s="496"/>
    </row>
    <row r="32" spans="1:31" s="433" customFormat="1" ht="18" customHeight="1" x14ac:dyDescent="0.3">
      <c r="A32" s="395">
        <v>25</v>
      </c>
      <c r="B32" s="416"/>
      <c r="C32" s="486"/>
      <c r="D32" s="486"/>
      <c r="E32" s="1002" t="s">
        <v>972</v>
      </c>
      <c r="F32" s="488"/>
      <c r="G32" s="488"/>
      <c r="H32" s="488"/>
      <c r="I32" s="1204"/>
      <c r="J32" s="1045">
        <f>SUM(K32:R32)</f>
        <v>275578</v>
      </c>
      <c r="K32" s="523">
        <v>173795</v>
      </c>
      <c r="L32" s="523">
        <v>27900</v>
      </c>
      <c r="M32" s="523">
        <v>73541</v>
      </c>
      <c r="N32" s="523"/>
      <c r="O32" s="523"/>
      <c r="P32" s="523">
        <v>342</v>
      </c>
      <c r="Q32" s="490"/>
      <c r="R32" s="491"/>
      <c r="S32" s="496"/>
      <c r="T32" s="496"/>
      <c r="U32" s="496"/>
      <c r="V32" s="496"/>
      <c r="W32" s="496"/>
      <c r="X32" s="496"/>
      <c r="Y32" s="496"/>
      <c r="Z32" s="496"/>
      <c r="AA32" s="496"/>
      <c r="AB32" s="496"/>
      <c r="AC32" s="496"/>
      <c r="AD32" s="496"/>
      <c r="AE32" s="496"/>
    </row>
    <row r="33" spans="1:31" s="400" customFormat="1" ht="22.5" customHeight="1" x14ac:dyDescent="0.3">
      <c r="A33" s="395">
        <v>26</v>
      </c>
      <c r="B33" s="409">
        <v>6</v>
      </c>
      <c r="C33" s="482"/>
      <c r="D33" s="493" t="s">
        <v>226</v>
      </c>
      <c r="E33" s="493"/>
      <c r="F33" s="494" t="s">
        <v>23</v>
      </c>
      <c r="G33" s="412">
        <v>228097</v>
      </c>
      <c r="H33" s="412">
        <v>270159</v>
      </c>
      <c r="I33" s="413">
        <v>269715</v>
      </c>
      <c r="J33" s="1046"/>
      <c r="K33" s="412"/>
      <c r="L33" s="412"/>
      <c r="M33" s="412"/>
      <c r="N33" s="498"/>
      <c r="O33" s="498"/>
      <c r="P33" s="498"/>
      <c r="Q33" s="498"/>
      <c r="R33" s="499"/>
      <c r="S33" s="54"/>
      <c r="T33" s="54"/>
      <c r="U33" s="54"/>
      <c r="V33" s="54"/>
      <c r="W33" s="54"/>
      <c r="X33" s="54"/>
      <c r="Y33" s="54"/>
      <c r="Z33" s="54"/>
      <c r="AA33" s="54"/>
      <c r="AB33" s="54"/>
      <c r="AC33" s="54"/>
      <c r="AD33" s="54"/>
      <c r="AE33" s="54"/>
    </row>
    <row r="34" spans="1:31" s="451" customFormat="1" ht="18" customHeight="1" x14ac:dyDescent="0.3">
      <c r="A34" s="395">
        <v>27</v>
      </c>
      <c r="B34" s="409"/>
      <c r="C34" s="482"/>
      <c r="D34" s="483" t="s">
        <v>122</v>
      </c>
      <c r="E34" s="483"/>
      <c r="F34" s="412"/>
      <c r="G34" s="412"/>
      <c r="H34" s="412"/>
      <c r="I34" s="413"/>
      <c r="J34" s="1046"/>
      <c r="K34" s="412"/>
      <c r="L34" s="412"/>
      <c r="M34" s="412"/>
      <c r="N34" s="498"/>
      <c r="O34" s="498"/>
      <c r="P34" s="498"/>
      <c r="Q34" s="498"/>
      <c r="R34" s="499"/>
      <c r="S34" s="495"/>
      <c r="T34" s="495"/>
      <c r="U34" s="495"/>
      <c r="V34" s="495"/>
      <c r="W34" s="495"/>
      <c r="X34" s="495"/>
      <c r="Y34" s="495"/>
      <c r="Z34" s="495"/>
      <c r="AA34" s="495"/>
      <c r="AB34" s="495"/>
      <c r="AC34" s="495"/>
      <c r="AD34" s="495"/>
      <c r="AE34" s="495"/>
    </row>
    <row r="35" spans="1:31" s="433" customFormat="1" ht="18" customHeight="1" x14ac:dyDescent="0.3">
      <c r="A35" s="395">
        <v>28</v>
      </c>
      <c r="B35" s="416"/>
      <c r="C35" s="486"/>
      <c r="D35" s="486"/>
      <c r="E35" s="487" t="s">
        <v>252</v>
      </c>
      <c r="F35" s="488"/>
      <c r="G35" s="488"/>
      <c r="H35" s="488"/>
      <c r="I35" s="1204"/>
      <c r="J35" s="333">
        <f>SUM(K35:R35)</f>
        <v>339398</v>
      </c>
      <c r="K35" s="490">
        <v>216724</v>
      </c>
      <c r="L35" s="490">
        <v>33439</v>
      </c>
      <c r="M35" s="490">
        <v>88535</v>
      </c>
      <c r="N35" s="490"/>
      <c r="O35" s="490"/>
      <c r="P35" s="490">
        <v>700</v>
      </c>
      <c r="Q35" s="490"/>
      <c r="R35" s="491"/>
      <c r="S35" s="496"/>
      <c r="T35" s="496"/>
      <c r="U35" s="496"/>
      <c r="V35" s="496"/>
      <c r="W35" s="496"/>
      <c r="X35" s="496"/>
      <c r="Y35" s="496"/>
      <c r="Z35" s="496"/>
      <c r="AA35" s="496"/>
      <c r="AB35" s="496"/>
      <c r="AC35" s="496"/>
      <c r="AD35" s="496"/>
      <c r="AE35" s="496"/>
    </row>
    <row r="36" spans="1:31" s="433" customFormat="1" ht="18" customHeight="1" x14ac:dyDescent="0.3">
      <c r="A36" s="395">
        <v>29</v>
      </c>
      <c r="B36" s="416"/>
      <c r="C36" s="1395"/>
      <c r="D36" s="486"/>
      <c r="E36" s="1003" t="s">
        <v>921</v>
      </c>
      <c r="F36" s="488"/>
      <c r="G36" s="488"/>
      <c r="H36" s="488"/>
      <c r="I36" s="1204"/>
      <c r="J36" s="1046">
        <f>SUM(K36:R36)</f>
        <v>364002</v>
      </c>
      <c r="K36" s="1062">
        <v>229521</v>
      </c>
      <c r="L36" s="1062">
        <v>37193</v>
      </c>
      <c r="M36" s="1062">
        <v>95038</v>
      </c>
      <c r="N36" s="1062"/>
      <c r="O36" s="1062"/>
      <c r="P36" s="1062">
        <v>2250</v>
      </c>
      <c r="Q36" s="490"/>
      <c r="R36" s="491"/>
      <c r="S36" s="496"/>
      <c r="T36" s="496"/>
      <c r="U36" s="496"/>
      <c r="V36" s="496"/>
      <c r="W36" s="496"/>
      <c r="X36" s="496"/>
      <c r="Y36" s="496"/>
      <c r="Z36" s="496"/>
      <c r="AA36" s="496"/>
      <c r="AB36" s="496"/>
      <c r="AC36" s="496"/>
      <c r="AD36" s="496"/>
      <c r="AE36" s="496"/>
    </row>
    <row r="37" spans="1:31" s="433" customFormat="1" ht="18" customHeight="1" thickBot="1" x14ac:dyDescent="0.35">
      <c r="A37" s="395">
        <v>30</v>
      </c>
      <c r="B37" s="416"/>
      <c r="C37" s="1057"/>
      <c r="D37" s="1058"/>
      <c r="E37" s="1002" t="s">
        <v>972</v>
      </c>
      <c r="F37" s="488"/>
      <c r="G37" s="488"/>
      <c r="H37" s="488"/>
      <c r="I37" s="1204"/>
      <c r="J37" s="1045">
        <f>SUM(K37:R37)</f>
        <v>162979</v>
      </c>
      <c r="K37" s="523">
        <v>107802</v>
      </c>
      <c r="L37" s="523">
        <v>17116</v>
      </c>
      <c r="M37" s="523">
        <v>37228</v>
      </c>
      <c r="N37" s="523"/>
      <c r="O37" s="523"/>
      <c r="P37" s="523">
        <v>833</v>
      </c>
      <c r="Q37" s="490"/>
      <c r="R37" s="491"/>
      <c r="S37" s="496"/>
      <c r="T37" s="496"/>
      <c r="U37" s="496"/>
      <c r="V37" s="496"/>
      <c r="W37" s="496"/>
      <c r="X37" s="496"/>
      <c r="Y37" s="496"/>
      <c r="Z37" s="496"/>
      <c r="AA37" s="496"/>
      <c r="AB37" s="496"/>
      <c r="AC37" s="496"/>
      <c r="AD37" s="496"/>
      <c r="AE37" s="496"/>
    </row>
    <row r="38" spans="1:31" s="505" customFormat="1" ht="22.5" customHeight="1" thickTop="1" x14ac:dyDescent="0.2">
      <c r="A38" s="395">
        <v>31</v>
      </c>
      <c r="B38" s="500"/>
      <c r="C38" s="1800" t="s">
        <v>336</v>
      </c>
      <c r="D38" s="1801"/>
      <c r="E38" s="1802"/>
      <c r="F38" s="501"/>
      <c r="G38" s="501">
        <f>SUM(G8:G35)</f>
        <v>2128269</v>
      </c>
      <c r="H38" s="501">
        <f>SUM(H8:H35)</f>
        <v>2486834</v>
      </c>
      <c r="I38" s="1207">
        <f>SUM(I8:I35)</f>
        <v>2505071</v>
      </c>
      <c r="J38" s="502"/>
      <c r="K38" s="501"/>
      <c r="L38" s="501"/>
      <c r="M38" s="501"/>
      <c r="N38" s="501"/>
      <c r="O38" s="501"/>
      <c r="P38" s="501"/>
      <c r="Q38" s="501"/>
      <c r="R38" s="503"/>
      <c r="S38" s="504"/>
      <c r="T38" s="504"/>
      <c r="U38" s="504"/>
      <c r="V38" s="504"/>
      <c r="W38" s="504"/>
      <c r="X38" s="504"/>
      <c r="Y38" s="504"/>
      <c r="Z38" s="504"/>
      <c r="AA38" s="504"/>
      <c r="AB38" s="504"/>
      <c r="AC38" s="504"/>
      <c r="AD38" s="504"/>
      <c r="AE38" s="504"/>
    </row>
    <row r="39" spans="1:31" s="421" customFormat="1" ht="18" customHeight="1" x14ac:dyDescent="0.3">
      <c r="A39" s="395">
        <v>32</v>
      </c>
      <c r="B39" s="416"/>
      <c r="C39" s="1059"/>
      <c r="D39" s="1060"/>
      <c r="E39" s="1050" t="s">
        <v>252</v>
      </c>
      <c r="F39" s="1061"/>
      <c r="G39" s="1061"/>
      <c r="H39" s="1061"/>
      <c r="I39" s="1208"/>
      <c r="J39" s="517">
        <f>SUM(K39:R39)</f>
        <v>3061705</v>
      </c>
      <c r="K39" s="518">
        <f t="shared" ref="K39:R40" si="0">SUM(K10,K15,K20,K25,K30,K35)</f>
        <v>2044750</v>
      </c>
      <c r="L39" s="518">
        <f t="shared" si="0"/>
        <v>313463</v>
      </c>
      <c r="M39" s="518">
        <f t="shared" si="0"/>
        <v>695192</v>
      </c>
      <c r="N39" s="518">
        <f t="shared" si="0"/>
        <v>0</v>
      </c>
      <c r="O39" s="518">
        <f t="shared" si="0"/>
        <v>0</v>
      </c>
      <c r="P39" s="518">
        <f t="shared" si="0"/>
        <v>8300</v>
      </c>
      <c r="Q39" s="518">
        <f t="shared" si="0"/>
        <v>0</v>
      </c>
      <c r="R39" s="519">
        <f t="shared" si="0"/>
        <v>0</v>
      </c>
      <c r="S39" s="492"/>
      <c r="T39" s="492"/>
      <c r="U39" s="492"/>
      <c r="V39" s="492"/>
      <c r="W39" s="492"/>
      <c r="X39" s="492"/>
      <c r="Y39" s="492"/>
      <c r="Z39" s="492"/>
      <c r="AA39" s="492"/>
      <c r="AB39" s="492"/>
      <c r="AC39" s="492"/>
      <c r="AD39" s="492"/>
      <c r="AE39" s="492"/>
    </row>
    <row r="40" spans="1:31" s="421" customFormat="1" ht="18" customHeight="1" x14ac:dyDescent="0.3">
      <c r="A40" s="395">
        <v>33</v>
      </c>
      <c r="B40" s="416"/>
      <c r="C40" s="1059"/>
      <c r="D40" s="1060"/>
      <c r="E40" s="1003" t="s">
        <v>921</v>
      </c>
      <c r="F40" s="1061"/>
      <c r="G40" s="1061"/>
      <c r="H40" s="1061"/>
      <c r="I40" s="1208"/>
      <c r="J40" s="1396">
        <f>SUM(K40:R40)</f>
        <v>3246378</v>
      </c>
      <c r="K40" s="1068">
        <f t="shared" si="0"/>
        <v>2126551</v>
      </c>
      <c r="L40" s="1068">
        <f t="shared" si="0"/>
        <v>330748</v>
      </c>
      <c r="M40" s="1068">
        <f t="shared" si="0"/>
        <v>755836</v>
      </c>
      <c r="N40" s="1068">
        <f t="shared" si="0"/>
        <v>0</v>
      </c>
      <c r="O40" s="1068">
        <f t="shared" si="0"/>
        <v>0</v>
      </c>
      <c r="P40" s="1068">
        <f t="shared" si="0"/>
        <v>33243</v>
      </c>
      <c r="Q40" s="1068">
        <f t="shared" si="0"/>
        <v>0</v>
      </c>
      <c r="R40" s="1410">
        <f t="shared" si="0"/>
        <v>0</v>
      </c>
      <c r="S40" s="492"/>
      <c r="T40" s="492"/>
      <c r="U40" s="492"/>
      <c r="V40" s="492"/>
      <c r="W40" s="492"/>
      <c r="X40" s="492"/>
      <c r="Y40" s="492"/>
      <c r="Z40" s="492"/>
      <c r="AA40" s="492"/>
      <c r="AB40" s="492"/>
      <c r="AC40" s="492"/>
      <c r="AD40" s="492"/>
      <c r="AE40" s="492"/>
    </row>
    <row r="41" spans="1:31" s="421" customFormat="1" ht="18" customHeight="1" thickBot="1" x14ac:dyDescent="0.35">
      <c r="A41" s="395">
        <v>34</v>
      </c>
      <c r="B41" s="416"/>
      <c r="C41" s="506"/>
      <c r="D41" s="507"/>
      <c r="E41" s="1639" t="s">
        <v>973</v>
      </c>
      <c r="F41" s="508"/>
      <c r="G41" s="508"/>
      <c r="H41" s="508"/>
      <c r="I41" s="1206"/>
      <c r="J41" s="1640">
        <f>SUM(K41:R41)</f>
        <v>1441562</v>
      </c>
      <c r="K41" s="1648">
        <f>K37+K32+K27+K22+K17+K12</f>
        <v>972370</v>
      </c>
      <c r="L41" s="1648">
        <f t="shared" ref="L41:R41" si="1">L37+L32+L27+L22+L17+L12</f>
        <v>148028</v>
      </c>
      <c r="M41" s="1648">
        <f t="shared" si="1"/>
        <v>314172</v>
      </c>
      <c r="N41" s="1648">
        <f t="shared" si="1"/>
        <v>0</v>
      </c>
      <c r="O41" s="1648">
        <f t="shared" si="1"/>
        <v>0</v>
      </c>
      <c r="P41" s="1648">
        <f t="shared" si="1"/>
        <v>6992</v>
      </c>
      <c r="Q41" s="1648">
        <f t="shared" si="1"/>
        <v>0</v>
      </c>
      <c r="R41" s="1649">
        <f t="shared" si="1"/>
        <v>0</v>
      </c>
      <c r="S41" s="492"/>
      <c r="T41" s="492"/>
      <c r="U41" s="492"/>
      <c r="V41" s="492"/>
      <c r="W41" s="492"/>
      <c r="X41" s="492"/>
      <c r="Y41" s="492"/>
      <c r="Z41" s="492"/>
      <c r="AA41" s="492"/>
      <c r="AB41" s="492"/>
      <c r="AC41" s="492"/>
      <c r="AD41" s="492"/>
      <c r="AE41" s="492"/>
    </row>
    <row r="42" spans="1:31" s="400" customFormat="1" ht="22.5" customHeight="1" thickTop="1" x14ac:dyDescent="0.3">
      <c r="A42" s="395">
        <v>35</v>
      </c>
      <c r="B42" s="402">
        <v>7</v>
      </c>
      <c r="C42" s="477"/>
      <c r="D42" s="478" t="s">
        <v>260</v>
      </c>
      <c r="E42" s="509"/>
      <c r="F42" s="479" t="s">
        <v>23</v>
      </c>
      <c r="G42" s="406">
        <v>1435465</v>
      </c>
      <c r="H42" s="406">
        <v>1651476</v>
      </c>
      <c r="I42" s="407">
        <v>1703488</v>
      </c>
      <c r="J42" s="1069"/>
      <c r="K42" s="406"/>
      <c r="L42" s="406"/>
      <c r="M42" s="406"/>
      <c r="N42" s="406"/>
      <c r="O42" s="406"/>
      <c r="P42" s="406"/>
      <c r="Q42" s="406"/>
      <c r="R42" s="481"/>
      <c r="S42" s="54"/>
      <c r="T42" s="54"/>
      <c r="U42" s="54"/>
      <c r="V42" s="54"/>
      <c r="W42" s="54"/>
      <c r="X42" s="54"/>
      <c r="Y42" s="54"/>
      <c r="Z42" s="54"/>
      <c r="AA42" s="54"/>
      <c r="AB42" s="54"/>
      <c r="AC42" s="54"/>
      <c r="AD42" s="54"/>
      <c r="AE42" s="54"/>
    </row>
    <row r="43" spans="1:31" s="421" customFormat="1" ht="18" customHeight="1" x14ac:dyDescent="0.3">
      <c r="A43" s="395">
        <v>36</v>
      </c>
      <c r="B43" s="416"/>
      <c r="C43" s="486"/>
      <c r="D43" s="486"/>
      <c r="E43" s="487" t="s">
        <v>252</v>
      </c>
      <c r="F43" s="488"/>
      <c r="G43" s="488"/>
      <c r="H43" s="488"/>
      <c r="I43" s="1204"/>
      <c r="J43" s="333">
        <f>SUM(K43:R43)</f>
        <v>1825483</v>
      </c>
      <c r="K43" s="490">
        <v>1335279</v>
      </c>
      <c r="L43" s="490">
        <v>199391</v>
      </c>
      <c r="M43" s="490">
        <v>282484</v>
      </c>
      <c r="N43" s="490"/>
      <c r="O43" s="490"/>
      <c r="P43" s="490">
        <v>8329</v>
      </c>
      <c r="Q43" s="490"/>
      <c r="R43" s="491"/>
      <c r="S43" s="492"/>
      <c r="T43" s="492"/>
      <c r="U43" s="492"/>
      <c r="V43" s="492"/>
      <c r="W43" s="492"/>
      <c r="X43" s="492"/>
      <c r="Y43" s="492"/>
      <c r="Z43" s="492"/>
      <c r="AA43" s="492"/>
      <c r="AB43" s="492"/>
      <c r="AC43" s="492"/>
      <c r="AD43" s="492"/>
      <c r="AE43" s="492"/>
    </row>
    <row r="44" spans="1:31" s="421" customFormat="1" ht="18" customHeight="1" x14ac:dyDescent="0.3">
      <c r="A44" s="395">
        <v>37</v>
      </c>
      <c r="B44" s="416"/>
      <c r="C44" s="486"/>
      <c r="D44" s="486"/>
      <c r="E44" s="1003" t="s">
        <v>921</v>
      </c>
      <c r="F44" s="488"/>
      <c r="G44" s="488"/>
      <c r="H44" s="488"/>
      <c r="I44" s="1204"/>
      <c r="J44" s="1046">
        <f>SUM(K44:R44)</f>
        <v>1978280</v>
      </c>
      <c r="K44" s="1062">
        <v>1419154</v>
      </c>
      <c r="L44" s="1062">
        <v>211483</v>
      </c>
      <c r="M44" s="1062">
        <v>324314</v>
      </c>
      <c r="N44" s="1062"/>
      <c r="O44" s="1062"/>
      <c r="P44" s="1062">
        <v>23329</v>
      </c>
      <c r="Q44" s="490"/>
      <c r="R44" s="491"/>
      <c r="S44" s="492"/>
      <c r="T44" s="492"/>
      <c r="U44" s="492"/>
      <c r="V44" s="492"/>
      <c r="W44" s="492"/>
      <c r="X44" s="492"/>
      <c r="Y44" s="492"/>
      <c r="Z44" s="492"/>
      <c r="AA44" s="492"/>
      <c r="AB44" s="492"/>
      <c r="AC44" s="492"/>
      <c r="AD44" s="492"/>
      <c r="AE44" s="492"/>
    </row>
    <row r="45" spans="1:31" s="421" customFormat="1" ht="18" customHeight="1" x14ac:dyDescent="0.3">
      <c r="A45" s="395">
        <v>38</v>
      </c>
      <c r="B45" s="416"/>
      <c r="C45" s="486"/>
      <c r="D45" s="486"/>
      <c r="E45" s="1002" t="s">
        <v>972</v>
      </c>
      <c r="F45" s="488"/>
      <c r="G45" s="488"/>
      <c r="H45" s="488"/>
      <c r="I45" s="1204"/>
      <c r="J45" s="1045">
        <f>SUM(K45:R45)</f>
        <v>890783</v>
      </c>
      <c r="K45" s="523">
        <v>658667</v>
      </c>
      <c r="L45" s="523">
        <v>94102</v>
      </c>
      <c r="M45" s="523">
        <v>137448</v>
      </c>
      <c r="N45" s="523"/>
      <c r="O45" s="523"/>
      <c r="P45" s="523">
        <v>566</v>
      </c>
      <c r="Q45" s="490"/>
      <c r="R45" s="491"/>
      <c r="S45" s="492"/>
      <c r="T45" s="492"/>
      <c r="U45" s="492"/>
      <c r="V45" s="492"/>
      <c r="W45" s="492"/>
      <c r="X45" s="492"/>
      <c r="Y45" s="492"/>
      <c r="Z45" s="492"/>
      <c r="AA45" s="492"/>
      <c r="AB45" s="492"/>
      <c r="AC45" s="492"/>
      <c r="AD45" s="492"/>
      <c r="AE45" s="492"/>
    </row>
    <row r="46" spans="1:31" s="451" customFormat="1" ht="22.5" customHeight="1" x14ac:dyDescent="0.3">
      <c r="A46" s="395">
        <v>39</v>
      </c>
      <c r="B46" s="409">
        <v>8</v>
      </c>
      <c r="C46" s="482"/>
      <c r="D46" s="493" t="s">
        <v>100</v>
      </c>
      <c r="E46" s="493"/>
      <c r="F46" s="494" t="s">
        <v>23</v>
      </c>
      <c r="G46" s="412">
        <v>105788</v>
      </c>
      <c r="H46" s="412">
        <v>96614</v>
      </c>
      <c r="I46" s="413">
        <v>123896</v>
      </c>
      <c r="J46" s="1070"/>
      <c r="K46" s="412"/>
      <c r="L46" s="412"/>
      <c r="M46" s="412"/>
      <c r="N46" s="412"/>
      <c r="O46" s="412"/>
      <c r="P46" s="412"/>
      <c r="Q46" s="412"/>
      <c r="R46" s="485"/>
      <c r="S46" s="495"/>
      <c r="T46" s="495"/>
      <c r="U46" s="495"/>
      <c r="V46" s="495"/>
      <c r="W46" s="495"/>
      <c r="X46" s="495"/>
      <c r="Y46" s="495"/>
      <c r="Z46" s="495"/>
      <c r="AA46" s="495"/>
      <c r="AB46" s="495"/>
      <c r="AC46" s="495"/>
      <c r="AD46" s="495"/>
      <c r="AE46" s="495"/>
    </row>
    <row r="47" spans="1:31" s="433" customFormat="1" ht="18" customHeight="1" x14ac:dyDescent="0.3">
      <c r="A47" s="395">
        <v>40</v>
      </c>
      <c r="B47" s="512"/>
      <c r="C47" s="513"/>
      <c r="D47" s="513"/>
      <c r="E47" s="487" t="s">
        <v>252</v>
      </c>
      <c r="F47" s="514"/>
      <c r="G47" s="514"/>
      <c r="H47" s="514"/>
      <c r="I47" s="1204"/>
      <c r="J47" s="333">
        <f>SUM(K47:R47)</f>
        <v>123176</v>
      </c>
      <c r="K47" s="490">
        <v>68672</v>
      </c>
      <c r="L47" s="490">
        <v>9339</v>
      </c>
      <c r="M47" s="490">
        <v>44665</v>
      </c>
      <c r="N47" s="490"/>
      <c r="O47" s="490"/>
      <c r="P47" s="490">
        <v>500</v>
      </c>
      <c r="Q47" s="490"/>
      <c r="R47" s="491"/>
      <c r="S47" s="496"/>
      <c r="T47" s="496"/>
      <c r="U47" s="496"/>
      <c r="V47" s="496"/>
      <c r="W47" s="496"/>
      <c r="X47" s="496"/>
      <c r="Y47" s="496"/>
      <c r="Z47" s="496"/>
      <c r="AA47" s="496"/>
      <c r="AB47" s="496"/>
      <c r="AC47" s="496"/>
      <c r="AD47" s="496"/>
      <c r="AE47" s="496"/>
    </row>
    <row r="48" spans="1:31" s="433" customFormat="1" ht="18" customHeight="1" x14ac:dyDescent="0.3">
      <c r="A48" s="395">
        <v>41</v>
      </c>
      <c r="B48" s="512"/>
      <c r="C48" s="513"/>
      <c r="D48" s="513"/>
      <c r="E48" s="1003" t="s">
        <v>921</v>
      </c>
      <c r="F48" s="514"/>
      <c r="G48" s="514"/>
      <c r="H48" s="514"/>
      <c r="I48" s="1204"/>
      <c r="J48" s="1046">
        <f>SUM(K48:R48)</f>
        <v>163060</v>
      </c>
      <c r="K48" s="1062">
        <v>93305</v>
      </c>
      <c r="L48" s="1062">
        <v>11416</v>
      </c>
      <c r="M48" s="1062">
        <v>57239</v>
      </c>
      <c r="N48" s="1062"/>
      <c r="O48" s="1062"/>
      <c r="P48" s="1062">
        <v>1100</v>
      </c>
      <c r="Q48" s="490"/>
      <c r="R48" s="491"/>
      <c r="S48" s="496"/>
      <c r="T48" s="496"/>
      <c r="U48" s="496"/>
      <c r="V48" s="496"/>
      <c r="W48" s="496"/>
      <c r="X48" s="496"/>
      <c r="Y48" s="496"/>
      <c r="Z48" s="496"/>
      <c r="AA48" s="496"/>
      <c r="AB48" s="496"/>
      <c r="AC48" s="496"/>
      <c r="AD48" s="496"/>
      <c r="AE48" s="496"/>
    </row>
    <row r="49" spans="1:31" s="433" customFormat="1" ht="18" customHeight="1" x14ac:dyDescent="0.3">
      <c r="A49" s="395">
        <v>42</v>
      </c>
      <c r="B49" s="512"/>
      <c r="C49" s="513"/>
      <c r="D49" s="513"/>
      <c r="E49" s="1002" t="s">
        <v>972</v>
      </c>
      <c r="F49" s="514"/>
      <c r="G49" s="514"/>
      <c r="H49" s="514"/>
      <c r="I49" s="1204"/>
      <c r="J49" s="1045">
        <f>SUM(K49:R49)</f>
        <v>63884</v>
      </c>
      <c r="K49" s="523">
        <v>42903</v>
      </c>
      <c r="L49" s="523">
        <v>5099</v>
      </c>
      <c r="M49" s="523">
        <v>15854</v>
      </c>
      <c r="N49" s="523"/>
      <c r="O49" s="523"/>
      <c r="P49" s="523">
        <v>28</v>
      </c>
      <c r="Q49" s="490"/>
      <c r="R49" s="491"/>
      <c r="S49" s="496"/>
      <c r="T49" s="496"/>
      <c r="U49" s="496"/>
      <c r="V49" s="496"/>
      <c r="W49" s="496"/>
      <c r="X49" s="496"/>
      <c r="Y49" s="496"/>
      <c r="Z49" s="496"/>
      <c r="AA49" s="496"/>
      <c r="AB49" s="496"/>
      <c r="AC49" s="496"/>
      <c r="AD49" s="496"/>
      <c r="AE49" s="496"/>
    </row>
    <row r="50" spans="1:31" s="451" customFormat="1" ht="22.5" customHeight="1" x14ac:dyDescent="0.3">
      <c r="A50" s="395">
        <v>43</v>
      </c>
      <c r="B50" s="409">
        <v>9</v>
      </c>
      <c r="C50" s="482"/>
      <c r="D50" s="493" t="s">
        <v>309</v>
      </c>
      <c r="E50" s="493"/>
      <c r="F50" s="494" t="s">
        <v>23</v>
      </c>
      <c r="G50" s="412">
        <v>387908</v>
      </c>
      <c r="H50" s="412">
        <v>335111</v>
      </c>
      <c r="I50" s="413">
        <v>433330</v>
      </c>
      <c r="J50" s="1070"/>
      <c r="K50" s="412"/>
      <c r="L50" s="412"/>
      <c r="M50" s="412"/>
      <c r="N50" s="412"/>
      <c r="O50" s="412"/>
      <c r="P50" s="412"/>
      <c r="Q50" s="412"/>
      <c r="R50" s="485"/>
      <c r="S50" s="495"/>
      <c r="T50" s="495"/>
      <c r="U50" s="495"/>
      <c r="V50" s="495"/>
      <c r="W50" s="495"/>
      <c r="X50" s="495"/>
      <c r="Y50" s="495"/>
      <c r="Z50" s="495"/>
      <c r="AA50" s="495"/>
      <c r="AB50" s="495"/>
      <c r="AC50" s="495"/>
      <c r="AD50" s="495"/>
      <c r="AE50" s="495"/>
    </row>
    <row r="51" spans="1:31" s="433" customFormat="1" ht="18" customHeight="1" x14ac:dyDescent="0.3">
      <c r="A51" s="395">
        <v>44</v>
      </c>
      <c r="B51" s="512"/>
      <c r="C51" s="515"/>
      <c r="D51" s="515"/>
      <c r="E51" s="487" t="s">
        <v>252</v>
      </c>
      <c r="F51" s="516"/>
      <c r="G51" s="516"/>
      <c r="H51" s="516"/>
      <c r="I51" s="1205"/>
      <c r="J51" s="449">
        <f>SUM(K51:R51)</f>
        <v>411647</v>
      </c>
      <c r="K51" s="518">
        <v>317261</v>
      </c>
      <c r="L51" s="518">
        <v>48944</v>
      </c>
      <c r="M51" s="518">
        <v>44942</v>
      </c>
      <c r="N51" s="518"/>
      <c r="O51" s="518"/>
      <c r="P51" s="518">
        <v>500</v>
      </c>
      <c r="Q51" s="518"/>
      <c r="R51" s="519"/>
      <c r="S51" s="496"/>
      <c r="T51" s="496"/>
      <c r="U51" s="496"/>
      <c r="V51" s="496"/>
      <c r="W51" s="496"/>
      <c r="X51" s="496"/>
      <c r="Y51" s="496"/>
      <c r="Z51" s="496"/>
      <c r="AA51" s="496"/>
      <c r="AB51" s="496"/>
      <c r="AC51" s="496"/>
      <c r="AD51" s="496"/>
      <c r="AE51" s="496"/>
    </row>
    <row r="52" spans="1:31" s="433" customFormat="1" ht="18" customHeight="1" x14ac:dyDescent="0.3">
      <c r="A52" s="395">
        <v>45</v>
      </c>
      <c r="B52" s="512"/>
      <c r="C52" s="515"/>
      <c r="D52" s="515"/>
      <c r="E52" s="1003" t="s">
        <v>921</v>
      </c>
      <c r="F52" s="516"/>
      <c r="G52" s="516"/>
      <c r="H52" s="516"/>
      <c r="I52" s="1205"/>
      <c r="J52" s="1131">
        <f>SUM(K52:R52)</f>
        <v>492214</v>
      </c>
      <c r="K52" s="1068">
        <v>376245</v>
      </c>
      <c r="L52" s="1068">
        <v>56998</v>
      </c>
      <c r="M52" s="1068">
        <v>54921</v>
      </c>
      <c r="N52" s="1068"/>
      <c r="O52" s="1068"/>
      <c r="P52" s="1068">
        <v>4050</v>
      </c>
      <c r="Q52" s="518"/>
      <c r="R52" s="519"/>
      <c r="S52" s="496"/>
      <c r="T52" s="496"/>
      <c r="U52" s="496"/>
      <c r="V52" s="496"/>
      <c r="W52" s="496"/>
      <c r="X52" s="496"/>
      <c r="Y52" s="496"/>
      <c r="Z52" s="496"/>
      <c r="AA52" s="496"/>
      <c r="AB52" s="496"/>
      <c r="AC52" s="496"/>
      <c r="AD52" s="496"/>
      <c r="AE52" s="496"/>
    </row>
    <row r="53" spans="1:31" s="433" customFormat="1" ht="18" customHeight="1" x14ac:dyDescent="0.3">
      <c r="A53" s="395">
        <v>46</v>
      </c>
      <c r="B53" s="512"/>
      <c r="C53" s="515"/>
      <c r="D53" s="515"/>
      <c r="E53" s="1002" t="s">
        <v>972</v>
      </c>
      <c r="F53" s="516"/>
      <c r="G53" s="516"/>
      <c r="H53" s="516"/>
      <c r="I53" s="1205"/>
      <c r="J53" s="1045">
        <f>SUM(K53:R53)</f>
        <v>232829</v>
      </c>
      <c r="K53" s="1177">
        <v>186198</v>
      </c>
      <c r="L53" s="1177">
        <v>28721</v>
      </c>
      <c r="M53" s="1177">
        <f>26061-8622</f>
        <v>17439</v>
      </c>
      <c r="N53" s="1177"/>
      <c r="O53" s="1177"/>
      <c r="P53" s="1177">
        <v>471</v>
      </c>
      <c r="Q53" s="518"/>
      <c r="R53" s="519"/>
      <c r="S53" s="496"/>
      <c r="T53" s="496"/>
      <c r="U53" s="496"/>
      <c r="V53" s="496"/>
      <c r="W53" s="496"/>
      <c r="X53" s="496"/>
      <c r="Y53" s="496"/>
      <c r="Z53" s="496"/>
      <c r="AA53" s="496"/>
      <c r="AB53" s="496"/>
      <c r="AC53" s="496"/>
      <c r="AD53" s="496"/>
      <c r="AE53" s="496"/>
    </row>
    <row r="54" spans="1:31" s="451" customFormat="1" ht="23.1" customHeight="1" x14ac:dyDescent="0.3">
      <c r="A54" s="395">
        <v>47</v>
      </c>
      <c r="B54" s="454"/>
      <c r="C54" s="482">
        <v>2</v>
      </c>
      <c r="D54" s="521" t="s">
        <v>488</v>
      </c>
      <c r="E54" s="521"/>
      <c r="F54" s="522"/>
      <c r="G54" s="412">
        <v>16840</v>
      </c>
      <c r="H54" s="412">
        <v>10711</v>
      </c>
      <c r="I54" s="413">
        <v>21263</v>
      </c>
      <c r="J54" s="1070"/>
      <c r="K54" s="498"/>
      <c r="L54" s="498"/>
      <c r="M54" s="498"/>
      <c r="N54" s="523"/>
      <c r="O54" s="523"/>
      <c r="P54" s="523"/>
      <c r="Q54" s="523"/>
      <c r="R54" s="524"/>
      <c r="S54" s="495"/>
      <c r="T54" s="495"/>
      <c r="U54" s="495"/>
      <c r="V54" s="495"/>
      <c r="W54" s="495"/>
      <c r="X54" s="495"/>
      <c r="Y54" s="495"/>
      <c r="Z54" s="495"/>
      <c r="AA54" s="495"/>
      <c r="AB54" s="495"/>
      <c r="AC54" s="495"/>
      <c r="AD54" s="495"/>
      <c r="AE54" s="495"/>
    </row>
    <row r="55" spans="1:31" s="451" customFormat="1" ht="18" customHeight="1" x14ac:dyDescent="0.3">
      <c r="A55" s="395">
        <v>48</v>
      </c>
      <c r="B55" s="454"/>
      <c r="C55" s="525"/>
      <c r="D55" s="694"/>
      <c r="E55" s="487" t="s">
        <v>252</v>
      </c>
      <c r="F55" s="526"/>
      <c r="G55" s="406"/>
      <c r="H55" s="406"/>
      <c r="I55" s="407"/>
      <c r="J55" s="449">
        <f>SUM(K55:R55)</f>
        <v>5948</v>
      </c>
      <c r="K55" s="518"/>
      <c r="L55" s="518"/>
      <c r="M55" s="518">
        <v>5948</v>
      </c>
      <c r="N55" s="518"/>
      <c r="O55" s="518"/>
      <c r="P55" s="518"/>
      <c r="Q55" s="518"/>
      <c r="R55" s="519"/>
      <c r="S55" s="495"/>
      <c r="T55" s="495"/>
      <c r="U55" s="495"/>
      <c r="V55" s="495"/>
      <c r="W55" s="495"/>
      <c r="X55" s="495"/>
      <c r="Y55" s="495"/>
      <c r="Z55" s="495"/>
      <c r="AA55" s="495"/>
      <c r="AB55" s="495"/>
      <c r="AC55" s="495"/>
      <c r="AD55" s="495"/>
      <c r="AE55" s="495"/>
    </row>
    <row r="56" spans="1:31" s="451" customFormat="1" ht="18" customHeight="1" x14ac:dyDescent="0.3">
      <c r="A56" s="395">
        <v>49</v>
      </c>
      <c r="B56" s="454"/>
      <c r="C56" s="525"/>
      <c r="D56" s="1064"/>
      <c r="E56" s="1003" t="s">
        <v>921</v>
      </c>
      <c r="F56" s="526"/>
      <c r="G56" s="406"/>
      <c r="H56" s="406"/>
      <c r="I56" s="407"/>
      <c r="J56" s="1131">
        <f>SUM(K56:R56)</f>
        <v>14948</v>
      </c>
      <c r="K56" s="1068"/>
      <c r="L56" s="1068"/>
      <c r="M56" s="1068">
        <v>14948</v>
      </c>
      <c r="N56" s="518"/>
      <c r="O56" s="518"/>
      <c r="P56" s="518"/>
      <c r="Q56" s="518"/>
      <c r="R56" s="519"/>
      <c r="S56" s="495"/>
      <c r="T56" s="495"/>
      <c r="U56" s="495"/>
      <c r="V56" s="495"/>
      <c r="W56" s="495"/>
      <c r="X56" s="495"/>
      <c r="Y56" s="495"/>
      <c r="Z56" s="495"/>
      <c r="AA56" s="495"/>
      <c r="AB56" s="495"/>
      <c r="AC56" s="495"/>
      <c r="AD56" s="495"/>
      <c r="AE56" s="495"/>
    </row>
    <row r="57" spans="1:31" s="451" customFormat="1" ht="18" customHeight="1" x14ac:dyDescent="0.3">
      <c r="A57" s="395">
        <v>50</v>
      </c>
      <c r="B57" s="454"/>
      <c r="C57" s="525"/>
      <c r="D57" s="1064"/>
      <c r="E57" s="1002" t="s">
        <v>972</v>
      </c>
      <c r="F57" s="526"/>
      <c r="G57" s="406"/>
      <c r="H57" s="406"/>
      <c r="I57" s="407"/>
      <c r="J57" s="1045">
        <f>SUM(K57:R57)</f>
        <v>8622</v>
      </c>
      <c r="K57" s="518"/>
      <c r="L57" s="518"/>
      <c r="M57" s="1177">
        <v>8622</v>
      </c>
      <c r="N57" s="518"/>
      <c r="O57" s="518"/>
      <c r="P57" s="518"/>
      <c r="Q57" s="518"/>
      <c r="R57" s="519"/>
      <c r="S57" s="495"/>
      <c r="T57" s="495"/>
      <c r="U57" s="495"/>
      <c r="V57" s="495"/>
      <c r="W57" s="495"/>
      <c r="X57" s="495"/>
      <c r="Y57" s="495"/>
      <c r="Z57" s="495"/>
      <c r="AA57" s="495"/>
      <c r="AB57" s="495"/>
      <c r="AC57" s="495"/>
      <c r="AD57" s="495"/>
      <c r="AE57" s="495"/>
    </row>
    <row r="58" spans="1:31" s="451" customFormat="1" ht="29.65" customHeight="1" thickBot="1" x14ac:dyDescent="0.35">
      <c r="A58" s="395">
        <v>51</v>
      </c>
      <c r="B58" s="454"/>
      <c r="C58" s="520">
        <v>1</v>
      </c>
      <c r="D58" s="1818" t="s">
        <v>807</v>
      </c>
      <c r="E58" s="1844"/>
      <c r="F58" s="696"/>
      <c r="G58" s="412">
        <v>5245</v>
      </c>
      <c r="H58" s="412"/>
      <c r="I58" s="1202"/>
      <c r="J58" s="511"/>
      <c r="K58" s="498"/>
      <c r="L58" s="498"/>
      <c r="M58" s="498"/>
      <c r="N58" s="523"/>
      <c r="O58" s="523"/>
      <c r="P58" s="523"/>
      <c r="Q58" s="523"/>
      <c r="R58" s="524"/>
      <c r="S58" s="495"/>
      <c r="T58" s="495"/>
      <c r="U58" s="495"/>
      <c r="V58" s="495"/>
      <c r="W58" s="495"/>
      <c r="X58" s="495"/>
      <c r="Y58" s="495"/>
      <c r="Z58" s="495"/>
      <c r="AA58" s="495"/>
      <c r="AB58" s="495"/>
      <c r="AC58" s="495"/>
      <c r="AD58" s="495"/>
      <c r="AE58" s="495"/>
    </row>
    <row r="59" spans="1:31" s="531" customFormat="1" ht="22.5" customHeight="1" thickTop="1" x14ac:dyDescent="0.2">
      <c r="A59" s="395">
        <v>52</v>
      </c>
      <c r="B59" s="500"/>
      <c r="C59" s="1800" t="s">
        <v>337</v>
      </c>
      <c r="D59" s="1801"/>
      <c r="E59" s="1802"/>
      <c r="F59" s="527"/>
      <c r="G59" s="501">
        <f>SUM(G42:G58)</f>
        <v>1951246</v>
      </c>
      <c r="H59" s="501">
        <f>SUM(H42:H58)</f>
        <v>2093912</v>
      </c>
      <c r="I59" s="1207">
        <f>SUM(I42:I58)</f>
        <v>2281977</v>
      </c>
      <c r="J59" s="502"/>
      <c r="K59" s="528"/>
      <c r="L59" s="528"/>
      <c r="M59" s="528"/>
      <c r="N59" s="528"/>
      <c r="O59" s="528"/>
      <c r="P59" s="528"/>
      <c r="Q59" s="528"/>
      <c r="R59" s="529"/>
      <c r="S59" s="504"/>
      <c r="T59" s="530"/>
      <c r="U59" s="530"/>
      <c r="V59" s="530"/>
      <c r="W59" s="530"/>
      <c r="X59" s="530"/>
      <c r="Y59" s="530"/>
      <c r="Z59" s="530"/>
      <c r="AA59" s="530"/>
      <c r="AB59" s="530"/>
      <c r="AC59" s="530"/>
      <c r="AD59" s="530"/>
      <c r="AE59" s="530"/>
    </row>
    <row r="60" spans="1:31" s="433" customFormat="1" ht="18" customHeight="1" x14ac:dyDescent="0.3">
      <c r="A60" s="395">
        <v>53</v>
      </c>
      <c r="B60" s="512"/>
      <c r="C60" s="1066"/>
      <c r="D60" s="515"/>
      <c r="E60" s="469" t="s">
        <v>252</v>
      </c>
      <c r="F60" s="516"/>
      <c r="G60" s="516"/>
      <c r="H60" s="516"/>
      <c r="I60" s="1208"/>
      <c r="J60" s="517">
        <f>SUM(K60:R60)</f>
        <v>2366254</v>
      </c>
      <c r="K60" s="518">
        <f t="shared" ref="K60:R61" si="2">SUM(K43,K47,K51,K55)</f>
        <v>1721212</v>
      </c>
      <c r="L60" s="518">
        <f t="shared" si="2"/>
        <v>257674</v>
      </c>
      <c r="M60" s="518">
        <f t="shared" si="2"/>
        <v>378039</v>
      </c>
      <c r="N60" s="518">
        <f t="shared" si="2"/>
        <v>0</v>
      </c>
      <c r="O60" s="518">
        <f t="shared" si="2"/>
        <v>0</v>
      </c>
      <c r="P60" s="518">
        <f t="shared" si="2"/>
        <v>9329</v>
      </c>
      <c r="Q60" s="518">
        <f t="shared" si="2"/>
        <v>0</v>
      </c>
      <c r="R60" s="519">
        <f t="shared" si="2"/>
        <v>0</v>
      </c>
      <c r="S60" s="496"/>
      <c r="T60" s="496"/>
      <c r="U60" s="496"/>
      <c r="V60" s="496"/>
      <c r="W60" s="496"/>
      <c r="X60" s="496"/>
      <c r="Y60" s="496"/>
      <c r="Z60" s="496"/>
      <c r="AA60" s="496"/>
      <c r="AB60" s="496"/>
      <c r="AC60" s="496"/>
      <c r="AD60" s="496"/>
      <c r="AE60" s="496"/>
    </row>
    <row r="61" spans="1:31" s="433" customFormat="1" ht="18" customHeight="1" x14ac:dyDescent="0.3">
      <c r="A61" s="395">
        <v>54</v>
      </c>
      <c r="B61" s="1065"/>
      <c r="C61" s="1066"/>
      <c r="D61" s="515"/>
      <c r="E61" s="1003" t="s">
        <v>921</v>
      </c>
      <c r="F61" s="516"/>
      <c r="G61" s="516"/>
      <c r="H61" s="516"/>
      <c r="I61" s="1208"/>
      <c r="J61" s="1396">
        <f>SUM(K61:R61)</f>
        <v>2648502</v>
      </c>
      <c r="K61" s="1068">
        <f t="shared" si="2"/>
        <v>1888704</v>
      </c>
      <c r="L61" s="1068">
        <f t="shared" si="2"/>
        <v>279897</v>
      </c>
      <c r="M61" s="1068">
        <f t="shared" si="2"/>
        <v>451422</v>
      </c>
      <c r="N61" s="1068">
        <f t="shared" si="2"/>
        <v>0</v>
      </c>
      <c r="O61" s="1068">
        <f t="shared" si="2"/>
        <v>0</v>
      </c>
      <c r="P61" s="1068">
        <f t="shared" si="2"/>
        <v>28479</v>
      </c>
      <c r="Q61" s="1068">
        <f t="shared" si="2"/>
        <v>0</v>
      </c>
      <c r="R61" s="1410">
        <f t="shared" si="2"/>
        <v>0</v>
      </c>
      <c r="S61" s="496"/>
      <c r="T61" s="496"/>
      <c r="U61" s="496"/>
      <c r="V61" s="496"/>
      <c r="W61" s="496"/>
      <c r="X61" s="496"/>
      <c r="Y61" s="496"/>
      <c r="Z61" s="496"/>
      <c r="AA61" s="496"/>
      <c r="AB61" s="496"/>
      <c r="AC61" s="496"/>
      <c r="AD61" s="496"/>
      <c r="AE61" s="496"/>
    </row>
    <row r="62" spans="1:31" s="433" customFormat="1" ht="18" customHeight="1" thickBot="1" x14ac:dyDescent="0.35">
      <c r="A62" s="395">
        <v>55</v>
      </c>
      <c r="B62" s="1065"/>
      <c r="C62" s="532"/>
      <c r="D62" s="533"/>
      <c r="E62" s="1639" t="s">
        <v>973</v>
      </c>
      <c r="F62" s="534"/>
      <c r="G62" s="534"/>
      <c r="H62" s="534"/>
      <c r="I62" s="1206"/>
      <c r="J62" s="1640">
        <f>SUM(K62:R62)</f>
        <v>1196118</v>
      </c>
      <c r="K62" s="1648">
        <f>K57+K53+K49+K45</f>
        <v>887768</v>
      </c>
      <c r="L62" s="1648">
        <f t="shared" ref="L62:R62" si="3">L57+L53+L49+L45</f>
        <v>127922</v>
      </c>
      <c r="M62" s="1648">
        <f t="shared" si="3"/>
        <v>179363</v>
      </c>
      <c r="N62" s="1648">
        <f t="shared" si="3"/>
        <v>0</v>
      </c>
      <c r="O62" s="1648">
        <f t="shared" si="3"/>
        <v>0</v>
      </c>
      <c r="P62" s="1648">
        <f t="shared" si="3"/>
        <v>1065</v>
      </c>
      <c r="Q62" s="1648">
        <f t="shared" si="3"/>
        <v>0</v>
      </c>
      <c r="R62" s="1649">
        <f t="shared" si="3"/>
        <v>0</v>
      </c>
      <c r="S62" s="496"/>
      <c r="T62" s="496"/>
      <c r="U62" s="496"/>
      <c r="V62" s="496"/>
      <c r="W62" s="496"/>
      <c r="X62" s="496"/>
      <c r="Y62" s="496"/>
      <c r="Z62" s="496"/>
      <c r="AA62" s="496"/>
      <c r="AB62" s="496"/>
      <c r="AC62" s="496"/>
      <c r="AD62" s="496"/>
      <c r="AE62" s="496"/>
    </row>
    <row r="63" spans="1:31" s="399" customFormat="1" ht="22.5" customHeight="1" thickTop="1" x14ac:dyDescent="0.3">
      <c r="A63" s="395">
        <v>56</v>
      </c>
      <c r="B63" s="402">
        <v>10</v>
      </c>
      <c r="C63" s="477"/>
      <c r="D63" s="478" t="s">
        <v>310</v>
      </c>
      <c r="E63" s="509"/>
      <c r="F63" s="479" t="s">
        <v>23</v>
      </c>
      <c r="G63" s="406">
        <v>347458</v>
      </c>
      <c r="H63" s="406">
        <v>493071</v>
      </c>
      <c r="I63" s="1201">
        <v>499778</v>
      </c>
      <c r="J63" s="510"/>
      <c r="K63" s="406"/>
      <c r="L63" s="406"/>
      <c r="M63" s="406"/>
      <c r="N63" s="406"/>
      <c r="O63" s="406"/>
      <c r="P63" s="406"/>
      <c r="Q63" s="406"/>
      <c r="R63" s="481"/>
      <c r="S63" s="497"/>
      <c r="T63" s="497"/>
      <c r="U63" s="497"/>
      <c r="V63" s="497"/>
      <c r="W63" s="497"/>
      <c r="X63" s="497"/>
      <c r="Y63" s="497"/>
      <c r="Z63" s="497"/>
      <c r="AA63" s="497"/>
      <c r="AB63" s="497"/>
      <c r="AC63" s="497"/>
      <c r="AD63" s="497"/>
      <c r="AE63" s="497"/>
    </row>
    <row r="64" spans="1:31" s="433" customFormat="1" ht="18" customHeight="1" x14ac:dyDescent="0.3">
      <c r="A64" s="395">
        <v>57</v>
      </c>
      <c r="B64" s="512"/>
      <c r="C64" s="513"/>
      <c r="D64" s="513"/>
      <c r="E64" s="487" t="s">
        <v>252</v>
      </c>
      <c r="F64" s="514"/>
      <c r="G64" s="514"/>
      <c r="H64" s="514"/>
      <c r="I64" s="1203"/>
      <c r="J64" s="489">
        <f>SUM(K64:R64)</f>
        <v>421845</v>
      </c>
      <c r="K64" s="490">
        <v>138265</v>
      </c>
      <c r="L64" s="490">
        <v>18954</v>
      </c>
      <c r="M64" s="490">
        <f>234528+5216</f>
        <v>239744</v>
      </c>
      <c r="N64" s="490"/>
      <c r="O64" s="490"/>
      <c r="P64" s="490">
        <f>4800+20000+82</f>
        <v>24882</v>
      </c>
      <c r="Q64" s="490"/>
      <c r="R64" s="491"/>
      <c r="S64" s="496"/>
      <c r="T64" s="496"/>
      <c r="U64" s="496"/>
      <c r="V64" s="496"/>
      <c r="W64" s="496"/>
      <c r="X64" s="496"/>
      <c r="Y64" s="496"/>
      <c r="Z64" s="496"/>
      <c r="AA64" s="496"/>
      <c r="AB64" s="496"/>
      <c r="AC64" s="496"/>
      <c r="AD64" s="496"/>
      <c r="AE64" s="496"/>
    </row>
    <row r="65" spans="1:31" s="433" customFormat="1" ht="18" customHeight="1" x14ac:dyDescent="0.3">
      <c r="A65" s="395">
        <v>58</v>
      </c>
      <c r="B65" s="512"/>
      <c r="C65" s="513"/>
      <c r="D65" s="1071"/>
      <c r="E65" s="1003" t="s">
        <v>921</v>
      </c>
      <c r="F65" s="514"/>
      <c r="G65" s="514"/>
      <c r="H65" s="514"/>
      <c r="I65" s="1203"/>
      <c r="J65" s="484">
        <f>SUM(K65:R65)</f>
        <v>496096</v>
      </c>
      <c r="K65" s="1062">
        <v>157560</v>
      </c>
      <c r="L65" s="1062">
        <v>21424</v>
      </c>
      <c r="M65" s="1062">
        <v>268480</v>
      </c>
      <c r="N65" s="1062"/>
      <c r="O65" s="1062"/>
      <c r="P65" s="1062">
        <v>48632</v>
      </c>
      <c r="Q65" s="490"/>
      <c r="R65" s="491"/>
      <c r="S65" s="496"/>
      <c r="T65" s="496"/>
      <c r="U65" s="496"/>
      <c r="V65" s="496"/>
      <c r="W65" s="496"/>
      <c r="X65" s="496"/>
      <c r="Y65" s="496"/>
      <c r="Z65" s="496"/>
      <c r="AA65" s="496"/>
      <c r="AB65" s="496"/>
      <c r="AC65" s="496"/>
      <c r="AD65" s="496"/>
      <c r="AE65" s="496"/>
    </row>
    <row r="66" spans="1:31" s="433" customFormat="1" ht="18" customHeight="1" x14ac:dyDescent="0.3">
      <c r="A66" s="395">
        <v>59</v>
      </c>
      <c r="B66" s="512"/>
      <c r="C66" s="513"/>
      <c r="D66" s="1071"/>
      <c r="E66" s="1002" t="s">
        <v>972</v>
      </c>
      <c r="F66" s="514"/>
      <c r="G66" s="514"/>
      <c r="H66" s="514"/>
      <c r="I66" s="1204"/>
      <c r="J66" s="1045">
        <f>SUM(K66:R66)</f>
        <v>148108</v>
      </c>
      <c r="K66" s="523">
        <v>58185</v>
      </c>
      <c r="L66" s="523">
        <v>8119</v>
      </c>
      <c r="M66" s="523">
        <v>74946</v>
      </c>
      <c r="N66" s="523"/>
      <c r="O66" s="523"/>
      <c r="P66" s="523">
        <v>6858</v>
      </c>
      <c r="Q66" s="490"/>
      <c r="R66" s="491"/>
      <c r="S66" s="496"/>
      <c r="T66" s="496"/>
      <c r="U66" s="496"/>
      <c r="V66" s="496"/>
      <c r="W66" s="496"/>
      <c r="X66" s="496"/>
      <c r="Y66" s="496"/>
      <c r="Z66" s="496"/>
      <c r="AA66" s="496"/>
      <c r="AB66" s="496"/>
      <c r="AC66" s="496"/>
      <c r="AD66" s="496"/>
      <c r="AE66" s="496"/>
    </row>
    <row r="67" spans="1:31" s="399" customFormat="1" ht="29.25" customHeight="1" x14ac:dyDescent="0.3">
      <c r="A67" s="395">
        <v>60</v>
      </c>
      <c r="B67" s="454"/>
      <c r="C67" s="520">
        <v>1</v>
      </c>
      <c r="D67" s="1818" t="s">
        <v>334</v>
      </c>
      <c r="E67" s="1819"/>
      <c r="F67" s="522"/>
      <c r="G67" s="412">
        <v>28148</v>
      </c>
      <c r="H67" s="412">
        <v>38386</v>
      </c>
      <c r="I67" s="1202">
        <v>38465</v>
      </c>
      <c r="J67" s="511"/>
      <c r="K67" s="498"/>
      <c r="L67" s="498"/>
      <c r="M67" s="498"/>
      <c r="N67" s="523"/>
      <c r="O67" s="523"/>
      <c r="P67" s="523"/>
      <c r="Q67" s="523"/>
      <c r="R67" s="524"/>
      <c r="S67" s="497"/>
      <c r="T67" s="497"/>
      <c r="U67" s="497"/>
      <c r="V67" s="497"/>
      <c r="W67" s="497"/>
      <c r="X67" s="497"/>
      <c r="Y67" s="497"/>
      <c r="Z67" s="497"/>
      <c r="AA67" s="497"/>
      <c r="AB67" s="497"/>
      <c r="AC67" s="497"/>
      <c r="AD67" s="497"/>
      <c r="AE67" s="497"/>
    </row>
    <row r="68" spans="1:31" s="456" customFormat="1" ht="29.65" customHeight="1" x14ac:dyDescent="0.3">
      <c r="A68" s="395">
        <v>61</v>
      </c>
      <c r="B68" s="512"/>
      <c r="C68" s="520">
        <v>2</v>
      </c>
      <c r="D68" s="1842" t="s">
        <v>393</v>
      </c>
      <c r="E68" s="1843"/>
      <c r="F68" s="514"/>
      <c r="G68" s="695">
        <v>1050</v>
      </c>
      <c r="H68" s="539"/>
      <c r="I68" s="1209"/>
      <c r="J68" s="489"/>
      <c r="K68" s="490"/>
      <c r="L68" s="490"/>
      <c r="M68" s="490"/>
      <c r="N68" s="490"/>
      <c r="O68" s="490"/>
      <c r="P68" s="490"/>
      <c r="Q68" s="490"/>
      <c r="R68" s="491"/>
      <c r="S68" s="537"/>
      <c r="T68" s="537"/>
      <c r="U68" s="537"/>
      <c r="V68" s="537"/>
      <c r="W68" s="537"/>
      <c r="X68" s="537"/>
      <c r="Y68" s="537"/>
      <c r="Z68" s="537"/>
      <c r="AA68" s="537"/>
      <c r="AB68" s="537"/>
      <c r="AC68" s="537"/>
      <c r="AD68" s="537"/>
      <c r="AE68" s="537"/>
    </row>
    <row r="69" spans="1:31" s="400" customFormat="1" ht="22.5" customHeight="1" x14ac:dyDescent="0.3">
      <c r="A69" s="395">
        <v>62</v>
      </c>
      <c r="B69" s="409">
        <v>11</v>
      </c>
      <c r="C69" s="482"/>
      <c r="D69" s="493" t="s">
        <v>306</v>
      </c>
      <c r="E69" s="493"/>
      <c r="F69" s="494" t="s">
        <v>23</v>
      </c>
      <c r="G69" s="412">
        <v>286925</v>
      </c>
      <c r="H69" s="412">
        <v>629204</v>
      </c>
      <c r="I69" s="1202">
        <v>631182</v>
      </c>
      <c r="J69" s="511"/>
      <c r="K69" s="412"/>
      <c r="L69" s="412"/>
      <c r="M69" s="412"/>
      <c r="N69" s="412"/>
      <c r="O69" s="412"/>
      <c r="P69" s="412"/>
      <c r="Q69" s="412"/>
      <c r="R69" s="485"/>
      <c r="S69" s="54"/>
      <c r="T69" s="54"/>
      <c r="U69" s="54"/>
      <c r="V69" s="54"/>
      <c r="W69" s="54"/>
      <c r="X69" s="54"/>
      <c r="Y69" s="54"/>
      <c r="Z69" s="54"/>
      <c r="AA69" s="54"/>
      <c r="AB69" s="54"/>
      <c r="AC69" s="54"/>
      <c r="AD69" s="54"/>
      <c r="AE69" s="54"/>
    </row>
    <row r="70" spans="1:31" s="456" customFormat="1" ht="18" customHeight="1" x14ac:dyDescent="0.3">
      <c r="A70" s="395">
        <v>63</v>
      </c>
      <c r="B70" s="512"/>
      <c r="C70" s="513"/>
      <c r="D70" s="513"/>
      <c r="E70" s="487" t="s">
        <v>252</v>
      </c>
      <c r="F70" s="514"/>
      <c r="G70" s="514"/>
      <c r="H70" s="514"/>
      <c r="I70" s="1203"/>
      <c r="J70" s="489">
        <f t="shared" ref="J70:J72" si="4">SUM(K70:R70)</f>
        <v>275654</v>
      </c>
      <c r="K70" s="490">
        <f>124457+1000</f>
        <v>125457</v>
      </c>
      <c r="L70" s="490">
        <f>17213+117</f>
        <v>17330</v>
      </c>
      <c r="M70" s="490">
        <f>102189+15539</f>
        <v>117728</v>
      </c>
      <c r="N70" s="490"/>
      <c r="O70" s="490"/>
      <c r="P70" s="490">
        <f>6249+8890</f>
        <v>15139</v>
      </c>
      <c r="Q70" s="490"/>
      <c r="R70" s="491"/>
      <c r="S70" s="537"/>
      <c r="T70" s="537"/>
      <c r="U70" s="537"/>
      <c r="V70" s="537"/>
      <c r="W70" s="537"/>
      <c r="X70" s="537"/>
      <c r="Y70" s="537"/>
      <c r="Z70" s="537"/>
      <c r="AA70" s="537"/>
      <c r="AB70" s="537"/>
      <c r="AC70" s="537"/>
      <c r="AD70" s="537"/>
      <c r="AE70" s="537"/>
    </row>
    <row r="71" spans="1:31" s="456" customFormat="1" ht="18" customHeight="1" x14ac:dyDescent="0.3">
      <c r="A71" s="395">
        <v>64</v>
      </c>
      <c r="B71" s="512"/>
      <c r="C71" s="513"/>
      <c r="D71" s="513"/>
      <c r="E71" s="1003" t="s">
        <v>921</v>
      </c>
      <c r="F71" s="514"/>
      <c r="G71" s="514"/>
      <c r="H71" s="514"/>
      <c r="I71" s="1203"/>
      <c r="J71" s="484">
        <f t="shared" si="4"/>
        <v>329647</v>
      </c>
      <c r="K71" s="1062">
        <v>125457</v>
      </c>
      <c r="L71" s="1062">
        <v>17330</v>
      </c>
      <c r="M71" s="1062">
        <v>177239</v>
      </c>
      <c r="N71" s="1062"/>
      <c r="O71" s="1062">
        <v>2372</v>
      </c>
      <c r="P71" s="1062">
        <v>7249</v>
      </c>
      <c r="Q71" s="490"/>
      <c r="R71" s="491"/>
      <c r="S71" s="537"/>
      <c r="T71" s="537"/>
      <c r="U71" s="537"/>
      <c r="V71" s="537"/>
      <c r="W71" s="537"/>
      <c r="X71" s="537"/>
      <c r="Y71" s="537"/>
      <c r="Z71" s="537"/>
      <c r="AA71" s="537"/>
      <c r="AB71" s="537"/>
      <c r="AC71" s="537"/>
      <c r="AD71" s="537"/>
      <c r="AE71" s="537"/>
    </row>
    <row r="72" spans="1:31" s="456" customFormat="1" ht="18" customHeight="1" x14ac:dyDescent="0.3">
      <c r="A72" s="395">
        <v>65</v>
      </c>
      <c r="B72" s="512"/>
      <c r="C72" s="513"/>
      <c r="D72" s="513"/>
      <c r="E72" s="1002" t="s">
        <v>972</v>
      </c>
      <c r="F72" s="514"/>
      <c r="G72" s="514"/>
      <c r="H72" s="514"/>
      <c r="I72" s="1204"/>
      <c r="J72" s="1045">
        <f t="shared" si="4"/>
        <v>169287</v>
      </c>
      <c r="K72" s="523">
        <v>60773</v>
      </c>
      <c r="L72" s="523">
        <v>8462</v>
      </c>
      <c r="M72" s="523">
        <v>94549</v>
      </c>
      <c r="N72" s="523"/>
      <c r="O72" s="523"/>
      <c r="P72" s="523">
        <v>5503</v>
      </c>
      <c r="Q72" s="490"/>
      <c r="R72" s="491"/>
      <c r="S72" s="537"/>
      <c r="T72" s="537"/>
      <c r="U72" s="537"/>
      <c r="V72" s="537"/>
      <c r="W72" s="537"/>
      <c r="X72" s="537"/>
      <c r="Y72" s="537"/>
      <c r="Z72" s="537"/>
      <c r="AA72" s="537"/>
      <c r="AB72" s="537"/>
      <c r="AC72" s="537"/>
      <c r="AD72" s="537"/>
      <c r="AE72" s="537"/>
    </row>
    <row r="73" spans="1:31" s="456" customFormat="1" ht="18" customHeight="1" x14ac:dyDescent="0.3">
      <c r="A73" s="395">
        <v>66</v>
      </c>
      <c r="B73" s="512"/>
      <c r="C73" s="538">
        <v>2</v>
      </c>
      <c r="D73" s="540" t="s">
        <v>432</v>
      </c>
      <c r="E73" s="535"/>
      <c r="F73" s="536"/>
      <c r="G73" s="539">
        <v>7900</v>
      </c>
      <c r="H73" s="539"/>
      <c r="I73" s="1209"/>
      <c r="J73" s="489"/>
      <c r="K73" s="490"/>
      <c r="L73" s="490"/>
      <c r="M73" s="490"/>
      <c r="N73" s="490"/>
      <c r="O73" s="490"/>
      <c r="P73" s="490"/>
      <c r="Q73" s="490"/>
      <c r="R73" s="491"/>
      <c r="S73" s="537"/>
      <c r="T73" s="537"/>
      <c r="U73" s="537"/>
      <c r="V73" s="537"/>
      <c r="W73" s="537"/>
      <c r="X73" s="537"/>
      <c r="Y73" s="537"/>
      <c r="Z73" s="537"/>
      <c r="AA73" s="537"/>
      <c r="AB73" s="537"/>
      <c r="AC73" s="537"/>
      <c r="AD73" s="537"/>
      <c r="AE73" s="537"/>
    </row>
    <row r="74" spans="1:31" s="400" customFormat="1" ht="22.5" customHeight="1" x14ac:dyDescent="0.3">
      <c r="A74" s="395">
        <v>67</v>
      </c>
      <c r="B74" s="409">
        <v>12</v>
      </c>
      <c r="C74" s="482"/>
      <c r="D74" s="493" t="s">
        <v>944</v>
      </c>
      <c r="E74" s="493"/>
      <c r="F74" s="494" t="s">
        <v>23</v>
      </c>
      <c r="G74" s="412">
        <v>534134</v>
      </c>
      <c r="H74" s="412">
        <v>618266</v>
      </c>
      <c r="I74" s="1202">
        <v>656144</v>
      </c>
      <c r="J74" s="511"/>
      <c r="K74" s="412"/>
      <c r="L74" s="412"/>
      <c r="M74" s="412"/>
      <c r="N74" s="412"/>
      <c r="O74" s="412"/>
      <c r="P74" s="412"/>
      <c r="Q74" s="412"/>
      <c r="R74" s="485"/>
      <c r="S74" s="54"/>
      <c r="T74" s="54"/>
      <c r="U74" s="54"/>
      <c r="V74" s="54"/>
      <c r="W74" s="54"/>
      <c r="X74" s="54"/>
      <c r="Y74" s="54"/>
      <c r="Z74" s="54"/>
      <c r="AA74" s="54"/>
      <c r="AB74" s="54"/>
      <c r="AC74" s="54"/>
      <c r="AD74" s="54"/>
      <c r="AE74" s="54"/>
    </row>
    <row r="75" spans="1:31" s="456" customFormat="1" ht="18" customHeight="1" x14ac:dyDescent="0.3">
      <c r="A75" s="395">
        <v>68</v>
      </c>
      <c r="B75" s="512"/>
      <c r="C75" s="513"/>
      <c r="D75" s="513"/>
      <c r="E75" s="487" t="s">
        <v>252</v>
      </c>
      <c r="F75" s="514"/>
      <c r="G75" s="514"/>
      <c r="H75" s="514"/>
      <c r="I75" s="1203"/>
      <c r="J75" s="489">
        <f t="shared" ref="J75:J77" si="5">SUM(K75:R75)</f>
        <v>671116</v>
      </c>
      <c r="K75" s="490">
        <f>285733+394</f>
        <v>286127</v>
      </c>
      <c r="L75" s="490">
        <f>42321+257</f>
        <v>42578</v>
      </c>
      <c r="M75" s="490">
        <f>256894+7136</f>
        <v>264030</v>
      </c>
      <c r="N75" s="490"/>
      <c r="O75" s="490"/>
      <c r="P75" s="490">
        <f>69720+8661</f>
        <v>78381</v>
      </c>
      <c r="Q75" s="490"/>
      <c r="R75" s="491"/>
      <c r="S75" s="537"/>
      <c r="T75" s="537"/>
      <c r="U75" s="537"/>
      <c r="V75" s="537"/>
      <c r="W75" s="537"/>
      <c r="X75" s="537"/>
      <c r="Y75" s="537"/>
      <c r="Z75" s="537"/>
      <c r="AA75" s="537"/>
      <c r="AB75" s="537"/>
      <c r="AC75" s="537"/>
      <c r="AD75" s="537"/>
      <c r="AE75" s="537"/>
    </row>
    <row r="76" spans="1:31" s="456" customFormat="1" ht="18" customHeight="1" x14ac:dyDescent="0.3">
      <c r="A76" s="395">
        <v>69</v>
      </c>
      <c r="B76" s="512"/>
      <c r="C76" s="513"/>
      <c r="D76" s="513"/>
      <c r="E76" s="1003" t="s">
        <v>921</v>
      </c>
      <c r="F76" s="514"/>
      <c r="G76" s="514"/>
      <c r="H76" s="514"/>
      <c r="I76" s="1203"/>
      <c r="J76" s="484">
        <f t="shared" si="5"/>
        <v>728319</v>
      </c>
      <c r="K76" s="1062">
        <v>301359</v>
      </c>
      <c r="L76" s="1062">
        <v>46292</v>
      </c>
      <c r="M76" s="1062">
        <v>301487</v>
      </c>
      <c r="N76" s="1062"/>
      <c r="O76" s="1062"/>
      <c r="P76" s="1062">
        <v>79181</v>
      </c>
      <c r="Q76" s="490"/>
      <c r="R76" s="491"/>
      <c r="S76" s="537"/>
      <c r="T76" s="537"/>
      <c r="U76" s="537"/>
      <c r="V76" s="537"/>
      <c r="W76" s="537"/>
      <c r="X76" s="537"/>
      <c r="Y76" s="537"/>
      <c r="Z76" s="537"/>
      <c r="AA76" s="537"/>
      <c r="AB76" s="537"/>
      <c r="AC76" s="537"/>
      <c r="AD76" s="537"/>
      <c r="AE76" s="537"/>
    </row>
    <row r="77" spans="1:31" s="456" customFormat="1" ht="18" customHeight="1" x14ac:dyDescent="0.3">
      <c r="A77" s="395">
        <v>70</v>
      </c>
      <c r="B77" s="512"/>
      <c r="C77" s="513"/>
      <c r="D77" s="513"/>
      <c r="E77" s="1002" t="s">
        <v>972</v>
      </c>
      <c r="F77" s="514"/>
      <c r="G77" s="514"/>
      <c r="H77" s="514"/>
      <c r="I77" s="1204"/>
      <c r="J77" s="1045">
        <f t="shared" si="5"/>
        <v>304237</v>
      </c>
      <c r="K77" s="523">
        <v>127841</v>
      </c>
      <c r="L77" s="523">
        <v>20559</v>
      </c>
      <c r="M77" s="523">
        <v>115835</v>
      </c>
      <c r="N77" s="523"/>
      <c r="O77" s="523"/>
      <c r="P77" s="523">
        <v>40002</v>
      </c>
      <c r="Q77" s="490"/>
      <c r="R77" s="491"/>
      <c r="S77" s="537"/>
      <c r="T77" s="537"/>
      <c r="U77" s="537"/>
      <c r="V77" s="537"/>
      <c r="W77" s="537"/>
      <c r="X77" s="537"/>
      <c r="Y77" s="537"/>
      <c r="Z77" s="537"/>
      <c r="AA77" s="537"/>
      <c r="AB77" s="537"/>
      <c r="AC77" s="537"/>
      <c r="AD77" s="537"/>
      <c r="AE77" s="537"/>
    </row>
    <row r="78" spans="1:31" s="399" customFormat="1" ht="18" customHeight="1" x14ac:dyDescent="0.3">
      <c r="A78" s="395">
        <v>71</v>
      </c>
      <c r="B78" s="454"/>
      <c r="C78" s="482">
        <v>1</v>
      </c>
      <c r="D78" s="521" t="s">
        <v>334</v>
      </c>
      <c r="E78" s="521"/>
      <c r="F78" s="522"/>
      <c r="G78" s="412">
        <v>23205</v>
      </c>
      <c r="H78" s="412">
        <v>15126</v>
      </c>
      <c r="I78" s="1202">
        <v>15125</v>
      </c>
      <c r="J78" s="511"/>
      <c r="K78" s="498"/>
      <c r="L78" s="498"/>
      <c r="M78" s="498"/>
      <c r="N78" s="523"/>
      <c r="O78" s="523"/>
      <c r="P78" s="523"/>
      <c r="Q78" s="523"/>
      <c r="R78" s="524"/>
      <c r="S78" s="497"/>
      <c r="T78" s="497"/>
      <c r="U78" s="497"/>
      <c r="V78" s="497"/>
      <c r="W78" s="497"/>
      <c r="X78" s="497"/>
      <c r="Y78" s="497"/>
      <c r="Z78" s="497"/>
      <c r="AA78" s="497"/>
      <c r="AB78" s="497"/>
      <c r="AC78" s="497"/>
      <c r="AD78" s="497"/>
      <c r="AE78" s="497"/>
    </row>
    <row r="79" spans="1:31" s="399" customFormat="1" ht="22.5" customHeight="1" x14ac:dyDescent="0.3">
      <c r="A79" s="395">
        <v>72</v>
      </c>
      <c r="B79" s="409">
        <v>13</v>
      </c>
      <c r="C79" s="482"/>
      <c r="D79" s="493" t="s">
        <v>30</v>
      </c>
      <c r="E79" s="493"/>
      <c r="F79" s="494" t="s">
        <v>23</v>
      </c>
      <c r="G79" s="412">
        <v>466464</v>
      </c>
      <c r="H79" s="412">
        <v>469102</v>
      </c>
      <c r="I79" s="1202">
        <v>544167</v>
      </c>
      <c r="J79" s="511"/>
      <c r="K79" s="412"/>
      <c r="L79" s="412"/>
      <c r="M79" s="412"/>
      <c r="N79" s="412"/>
      <c r="O79" s="412"/>
      <c r="P79" s="412"/>
      <c r="Q79" s="412"/>
      <c r="R79" s="485"/>
      <c r="S79" s="497"/>
      <c r="T79" s="497"/>
      <c r="U79" s="497"/>
      <c r="V79" s="497"/>
      <c r="W79" s="497"/>
      <c r="X79" s="497"/>
      <c r="Y79" s="497"/>
      <c r="Z79" s="497"/>
      <c r="AA79" s="497"/>
      <c r="AB79" s="497"/>
      <c r="AC79" s="497"/>
      <c r="AD79" s="497"/>
      <c r="AE79" s="497"/>
    </row>
    <row r="80" spans="1:31" s="456" customFormat="1" ht="18" customHeight="1" x14ac:dyDescent="0.3">
      <c r="A80" s="395">
        <v>73</v>
      </c>
      <c r="B80" s="512"/>
      <c r="C80" s="513"/>
      <c r="D80" s="513"/>
      <c r="E80" s="487" t="s">
        <v>252</v>
      </c>
      <c r="F80" s="514"/>
      <c r="G80" s="514"/>
      <c r="H80" s="514"/>
      <c r="I80" s="1203"/>
      <c r="J80" s="489">
        <f t="shared" ref="J80:J82" si="6">SUM(K80:R80)</f>
        <v>689496</v>
      </c>
      <c r="K80" s="490">
        <f>272578+2293</f>
        <v>274871</v>
      </c>
      <c r="L80" s="490">
        <f>43583+217</f>
        <v>43800</v>
      </c>
      <c r="M80" s="490">
        <f>135194+107798-6754</f>
        <v>236238</v>
      </c>
      <c r="N80" s="490"/>
      <c r="O80" s="490">
        <v>6754</v>
      </c>
      <c r="P80" s="490">
        <f>4800+123033</f>
        <v>127833</v>
      </c>
      <c r="Q80" s="490"/>
      <c r="R80" s="491"/>
      <c r="S80" s="537"/>
      <c r="T80" s="537"/>
      <c r="U80" s="537"/>
      <c r="V80" s="537"/>
      <c r="W80" s="537"/>
      <c r="X80" s="537"/>
      <c r="Y80" s="537"/>
      <c r="Z80" s="537"/>
      <c r="AA80" s="537"/>
      <c r="AB80" s="537"/>
      <c r="AC80" s="537"/>
      <c r="AD80" s="537"/>
      <c r="AE80" s="537"/>
    </row>
    <row r="81" spans="1:31" s="456" customFormat="1" ht="18" customHeight="1" x14ac:dyDescent="0.3">
      <c r="A81" s="395">
        <v>74</v>
      </c>
      <c r="B81" s="512"/>
      <c r="C81" s="513"/>
      <c r="D81" s="513"/>
      <c r="E81" s="1003" t="s">
        <v>921</v>
      </c>
      <c r="F81" s="514"/>
      <c r="G81" s="514"/>
      <c r="H81" s="514"/>
      <c r="I81" s="1203"/>
      <c r="J81" s="484">
        <f t="shared" si="6"/>
        <v>842694</v>
      </c>
      <c r="K81" s="1062">
        <v>298334</v>
      </c>
      <c r="L81" s="1062">
        <v>46847</v>
      </c>
      <c r="M81" s="1062">
        <v>339728</v>
      </c>
      <c r="N81" s="1062"/>
      <c r="O81" s="1062">
        <v>6786</v>
      </c>
      <c r="P81" s="1062">
        <v>149026</v>
      </c>
      <c r="Q81" s="490"/>
      <c r="R81" s="1089">
        <v>1973</v>
      </c>
      <c r="S81" s="537"/>
      <c r="T81" s="537"/>
      <c r="U81" s="537"/>
      <c r="V81" s="537"/>
      <c r="W81" s="537"/>
      <c r="X81" s="537"/>
      <c r="Y81" s="537"/>
      <c r="Z81" s="537"/>
      <c r="AA81" s="537"/>
      <c r="AB81" s="537"/>
      <c r="AC81" s="537"/>
      <c r="AD81" s="537"/>
      <c r="AE81" s="537"/>
    </row>
    <row r="82" spans="1:31" s="456" customFormat="1" ht="18" customHeight="1" x14ac:dyDescent="0.3">
      <c r="A82" s="395">
        <v>75</v>
      </c>
      <c r="B82" s="512"/>
      <c r="C82" s="513"/>
      <c r="D82" s="513"/>
      <c r="E82" s="1002" t="s">
        <v>972</v>
      </c>
      <c r="F82" s="514"/>
      <c r="G82" s="514"/>
      <c r="H82" s="514"/>
      <c r="I82" s="1204"/>
      <c r="J82" s="1045">
        <f t="shared" si="6"/>
        <v>448505</v>
      </c>
      <c r="K82" s="523">
        <v>129906</v>
      </c>
      <c r="L82" s="523">
        <v>19895</v>
      </c>
      <c r="M82" s="523">
        <v>163009</v>
      </c>
      <c r="N82" s="523"/>
      <c r="O82" s="523">
        <v>6785</v>
      </c>
      <c r="P82" s="523">
        <v>128910</v>
      </c>
      <c r="Q82" s="490"/>
      <c r="R82" s="491"/>
      <c r="S82" s="537"/>
      <c r="T82" s="537"/>
      <c r="U82" s="537"/>
      <c r="V82" s="537"/>
      <c r="W82" s="537"/>
      <c r="X82" s="537"/>
      <c r="Y82" s="537"/>
      <c r="Z82" s="537"/>
      <c r="AA82" s="537"/>
      <c r="AB82" s="537"/>
      <c r="AC82" s="537"/>
      <c r="AD82" s="537"/>
      <c r="AE82" s="537"/>
    </row>
    <row r="83" spans="1:31" s="400" customFormat="1" ht="18" customHeight="1" x14ac:dyDescent="0.3">
      <c r="A83" s="395">
        <v>76</v>
      </c>
      <c r="B83" s="541"/>
      <c r="C83" s="482">
        <v>1</v>
      </c>
      <c r="D83" s="493" t="s">
        <v>375</v>
      </c>
      <c r="E83" s="542"/>
      <c r="F83" s="543"/>
      <c r="G83" s="412"/>
      <c r="H83" s="412">
        <v>8944</v>
      </c>
      <c r="I83" s="544">
        <v>9796</v>
      </c>
      <c r="J83" s="511"/>
      <c r="K83" s="523"/>
      <c r="L83" s="523"/>
      <c r="M83" s="523"/>
      <c r="N83" s="523"/>
      <c r="O83" s="523"/>
      <c r="P83" s="523"/>
      <c r="Q83" s="523"/>
      <c r="R83" s="524"/>
      <c r="S83" s="54"/>
      <c r="T83" s="54"/>
      <c r="U83" s="54"/>
      <c r="V83" s="54"/>
      <c r="W83" s="54"/>
      <c r="X83" s="54"/>
      <c r="Y83" s="54"/>
      <c r="Z83" s="54"/>
      <c r="AA83" s="54"/>
      <c r="AB83" s="54"/>
      <c r="AC83" s="54"/>
      <c r="AD83" s="54"/>
      <c r="AE83" s="54"/>
    </row>
    <row r="84" spans="1:31" s="399" customFormat="1" ht="29.65" customHeight="1" x14ac:dyDescent="0.3">
      <c r="A84" s="395">
        <v>77</v>
      </c>
      <c r="B84" s="454"/>
      <c r="C84" s="520">
        <v>2</v>
      </c>
      <c r="D84" s="1829" t="s">
        <v>433</v>
      </c>
      <c r="E84" s="1830"/>
      <c r="F84" s="522"/>
      <c r="G84" s="412">
        <v>22650</v>
      </c>
      <c r="H84" s="412">
        <v>2350</v>
      </c>
      <c r="I84" s="1202">
        <v>2110</v>
      </c>
      <c r="J84" s="511"/>
      <c r="K84" s="498"/>
      <c r="L84" s="498"/>
      <c r="M84" s="498"/>
      <c r="N84" s="523"/>
      <c r="O84" s="523"/>
      <c r="P84" s="523"/>
      <c r="Q84" s="523"/>
      <c r="R84" s="524"/>
      <c r="S84" s="497"/>
      <c r="T84" s="497"/>
      <c r="U84" s="497"/>
      <c r="V84" s="497"/>
      <c r="W84" s="497"/>
      <c r="X84" s="497"/>
      <c r="Y84" s="497"/>
      <c r="Z84" s="497"/>
      <c r="AA84" s="497"/>
      <c r="AB84" s="497"/>
      <c r="AC84" s="497"/>
      <c r="AD84" s="497"/>
      <c r="AE84" s="497"/>
    </row>
    <row r="85" spans="1:31" s="399" customFormat="1" ht="18" customHeight="1" x14ac:dyDescent="0.3">
      <c r="A85" s="395">
        <v>78</v>
      </c>
      <c r="B85" s="454"/>
      <c r="C85" s="482">
        <v>3</v>
      </c>
      <c r="D85" s="1818" t="s">
        <v>487</v>
      </c>
      <c r="E85" s="1819"/>
      <c r="F85" s="522"/>
      <c r="G85" s="412"/>
      <c r="H85" s="412">
        <v>4000</v>
      </c>
      <c r="I85" s="1202">
        <v>7179</v>
      </c>
      <c r="J85" s="511"/>
      <c r="K85" s="498"/>
      <c r="L85" s="498"/>
      <c r="M85" s="498"/>
      <c r="N85" s="523"/>
      <c r="O85" s="523"/>
      <c r="P85" s="523"/>
      <c r="Q85" s="523"/>
      <c r="R85" s="524"/>
      <c r="S85" s="497"/>
      <c r="T85" s="497"/>
      <c r="U85" s="497"/>
      <c r="V85" s="497"/>
      <c r="W85" s="497"/>
      <c r="X85" s="497"/>
      <c r="Y85" s="497"/>
      <c r="Z85" s="497"/>
      <c r="AA85" s="497"/>
      <c r="AB85" s="497"/>
      <c r="AC85" s="497"/>
      <c r="AD85" s="497"/>
      <c r="AE85" s="497"/>
    </row>
    <row r="86" spans="1:31" s="399" customFormat="1" ht="22.5" customHeight="1" x14ac:dyDescent="0.3">
      <c r="A86" s="395">
        <v>79</v>
      </c>
      <c r="B86" s="409">
        <v>14</v>
      </c>
      <c r="C86" s="482"/>
      <c r="D86" s="493" t="s">
        <v>307</v>
      </c>
      <c r="E86" s="493"/>
      <c r="F86" s="494" t="s">
        <v>24</v>
      </c>
      <c r="G86" s="412">
        <v>207062</v>
      </c>
      <c r="H86" s="412">
        <v>231644</v>
      </c>
      <c r="I86" s="1202">
        <v>396829</v>
      </c>
      <c r="J86" s="511"/>
      <c r="K86" s="412"/>
      <c r="L86" s="412"/>
      <c r="M86" s="412"/>
      <c r="N86" s="412"/>
      <c r="O86" s="412"/>
      <c r="P86" s="412"/>
      <c r="Q86" s="412"/>
      <c r="R86" s="485"/>
      <c r="S86" s="497"/>
      <c r="T86" s="497"/>
      <c r="U86" s="497"/>
      <c r="V86" s="497"/>
      <c r="W86" s="497"/>
      <c r="X86" s="497"/>
      <c r="Y86" s="497"/>
      <c r="Z86" s="497"/>
      <c r="AA86" s="497"/>
      <c r="AB86" s="497"/>
      <c r="AC86" s="497"/>
      <c r="AD86" s="497"/>
      <c r="AE86" s="497"/>
    </row>
    <row r="87" spans="1:31" s="421" customFormat="1" ht="18" customHeight="1" x14ac:dyDescent="0.3">
      <c r="A87" s="395">
        <v>80</v>
      </c>
      <c r="B87" s="512"/>
      <c r="C87" s="513"/>
      <c r="D87" s="513"/>
      <c r="E87" s="487" t="s">
        <v>252</v>
      </c>
      <c r="F87" s="514"/>
      <c r="G87" s="514"/>
      <c r="H87" s="514"/>
      <c r="I87" s="1203"/>
      <c r="J87" s="489">
        <f>SUM(K87:R87)</f>
        <v>265743</v>
      </c>
      <c r="K87" s="490">
        <v>144410</v>
      </c>
      <c r="L87" s="490">
        <v>20416</v>
      </c>
      <c r="M87" s="490">
        <f>83207+17100-1000</f>
        <v>99307</v>
      </c>
      <c r="N87" s="490"/>
      <c r="O87" s="490"/>
      <c r="P87" s="490">
        <f>500+110+1000</f>
        <v>1610</v>
      </c>
      <c r="Q87" s="490"/>
      <c r="R87" s="491"/>
      <c r="S87" s="492"/>
      <c r="T87" s="492"/>
      <c r="U87" s="492"/>
      <c r="V87" s="492"/>
      <c r="W87" s="492"/>
      <c r="X87" s="492"/>
      <c r="Y87" s="492"/>
      <c r="Z87" s="492"/>
      <c r="AA87" s="492"/>
      <c r="AB87" s="492"/>
      <c r="AC87" s="492"/>
      <c r="AD87" s="492"/>
      <c r="AE87" s="492"/>
    </row>
    <row r="88" spans="1:31" s="421" customFormat="1" ht="18" customHeight="1" x14ac:dyDescent="0.3">
      <c r="A88" s="395">
        <v>81</v>
      </c>
      <c r="B88" s="512"/>
      <c r="C88" s="513"/>
      <c r="D88" s="513"/>
      <c r="E88" s="1003" t="s">
        <v>921</v>
      </c>
      <c r="F88" s="514"/>
      <c r="G88" s="514"/>
      <c r="H88" s="514"/>
      <c r="I88" s="1203"/>
      <c r="J88" s="484">
        <f>SUM(K88:R88)</f>
        <v>287012</v>
      </c>
      <c r="K88" s="1062">
        <v>144410</v>
      </c>
      <c r="L88" s="1062">
        <v>20416</v>
      </c>
      <c r="M88" s="1062">
        <v>101076</v>
      </c>
      <c r="N88" s="1062"/>
      <c r="O88" s="1062">
        <v>1053</v>
      </c>
      <c r="P88" s="1062">
        <v>20057</v>
      </c>
      <c r="Q88" s="490"/>
      <c r="R88" s="491"/>
      <c r="S88" s="492"/>
      <c r="T88" s="492"/>
      <c r="U88" s="492"/>
      <c r="V88" s="492"/>
      <c r="W88" s="492"/>
      <c r="X88" s="492"/>
      <c r="Y88" s="492"/>
      <c r="Z88" s="492"/>
      <c r="AA88" s="492"/>
      <c r="AB88" s="492"/>
      <c r="AC88" s="492"/>
      <c r="AD88" s="492"/>
      <c r="AE88" s="492"/>
    </row>
    <row r="89" spans="1:31" s="421" customFormat="1" ht="18" customHeight="1" x14ac:dyDescent="0.3">
      <c r="A89" s="395">
        <v>82</v>
      </c>
      <c r="B89" s="512"/>
      <c r="C89" s="513"/>
      <c r="D89" s="513"/>
      <c r="E89" s="1002" t="s">
        <v>972</v>
      </c>
      <c r="F89" s="514"/>
      <c r="G89" s="514"/>
      <c r="H89" s="514"/>
      <c r="I89" s="1204"/>
      <c r="J89" s="1045">
        <f>SUM(K89:R89)</f>
        <v>146702</v>
      </c>
      <c r="K89" s="523">
        <v>61734</v>
      </c>
      <c r="L89" s="523">
        <v>7623</v>
      </c>
      <c r="M89" s="523">
        <v>63155</v>
      </c>
      <c r="N89" s="523"/>
      <c r="O89" s="523">
        <v>1052</v>
      </c>
      <c r="P89" s="523">
        <v>13138</v>
      </c>
      <c r="Q89" s="490"/>
      <c r="R89" s="491"/>
      <c r="S89" s="492"/>
      <c r="T89" s="492"/>
      <c r="U89" s="492"/>
      <c r="V89" s="492"/>
      <c r="W89" s="492"/>
      <c r="X89" s="492"/>
      <c r="Y89" s="492"/>
      <c r="Z89" s="492"/>
      <c r="AA89" s="492"/>
      <c r="AB89" s="492"/>
      <c r="AC89" s="492"/>
      <c r="AD89" s="492"/>
      <c r="AE89" s="492"/>
    </row>
    <row r="90" spans="1:31" s="434" customFormat="1" ht="18" customHeight="1" x14ac:dyDescent="0.3">
      <c r="A90" s="395">
        <v>83</v>
      </c>
      <c r="B90" s="454"/>
      <c r="C90" s="482">
        <v>1</v>
      </c>
      <c r="D90" s="521" t="s">
        <v>118</v>
      </c>
      <c r="E90" s="521"/>
      <c r="F90" s="522"/>
      <c r="G90" s="412">
        <v>1244</v>
      </c>
      <c r="H90" s="412"/>
      <c r="I90" s="1202"/>
      <c r="J90" s="511"/>
      <c r="K90" s="498"/>
      <c r="L90" s="498"/>
      <c r="M90" s="498"/>
      <c r="N90" s="523"/>
      <c r="O90" s="523"/>
      <c r="P90" s="523"/>
      <c r="Q90" s="523"/>
      <c r="R90" s="524"/>
      <c r="S90" s="550"/>
      <c r="T90" s="550"/>
      <c r="U90" s="550"/>
      <c r="V90" s="550"/>
      <c r="W90" s="550"/>
      <c r="X90" s="550"/>
      <c r="Y90" s="550"/>
      <c r="Z90" s="550"/>
      <c r="AA90" s="550"/>
      <c r="AB90" s="550"/>
      <c r="AC90" s="550"/>
      <c r="AD90" s="550"/>
      <c r="AE90" s="550"/>
    </row>
    <row r="91" spans="1:31" s="399" customFormat="1" ht="18" customHeight="1" x14ac:dyDescent="0.3">
      <c r="A91" s="395">
        <v>84</v>
      </c>
      <c r="B91" s="454"/>
      <c r="C91" s="482">
        <v>2</v>
      </c>
      <c r="D91" s="540" t="s">
        <v>375</v>
      </c>
      <c r="E91" s="521"/>
      <c r="F91" s="522"/>
      <c r="G91" s="412">
        <v>3178</v>
      </c>
      <c r="H91" s="412"/>
      <c r="I91" s="1202"/>
      <c r="J91" s="511"/>
      <c r="K91" s="498"/>
      <c r="L91" s="498"/>
      <c r="M91" s="498"/>
      <c r="N91" s="523"/>
      <c r="O91" s="523"/>
      <c r="P91" s="523"/>
      <c r="Q91" s="523"/>
      <c r="R91" s="524"/>
      <c r="S91" s="497"/>
      <c r="T91" s="497"/>
      <c r="U91" s="497"/>
      <c r="V91" s="497"/>
      <c r="W91" s="497"/>
      <c r="X91" s="497"/>
      <c r="Y91" s="497"/>
      <c r="Z91" s="497"/>
      <c r="AA91" s="497"/>
      <c r="AB91" s="497"/>
      <c r="AC91" s="497"/>
      <c r="AD91" s="497"/>
      <c r="AE91" s="497"/>
    </row>
    <row r="92" spans="1:31" s="456" customFormat="1" ht="33.75" customHeight="1" x14ac:dyDescent="0.3">
      <c r="A92" s="395">
        <v>85</v>
      </c>
      <c r="B92" s="512"/>
      <c r="C92" s="538">
        <v>3</v>
      </c>
      <c r="D92" s="1829" t="s">
        <v>806</v>
      </c>
      <c r="E92" s="1830"/>
      <c r="F92" s="536"/>
      <c r="G92" s="412">
        <v>7279</v>
      </c>
      <c r="H92" s="412"/>
      <c r="I92" s="1202"/>
      <c r="J92" s="489"/>
      <c r="K92" s="490"/>
      <c r="L92" s="490"/>
      <c r="M92" s="490"/>
      <c r="N92" s="490"/>
      <c r="O92" s="490"/>
      <c r="P92" s="490"/>
      <c r="Q92" s="490"/>
      <c r="R92" s="491"/>
      <c r="S92" s="537"/>
      <c r="T92" s="537"/>
      <c r="U92" s="537"/>
      <c r="V92" s="537"/>
      <c r="W92" s="537"/>
      <c r="X92" s="537"/>
      <c r="Y92" s="537"/>
      <c r="Z92" s="537"/>
      <c r="AA92" s="537"/>
      <c r="AB92" s="537"/>
      <c r="AC92" s="537"/>
      <c r="AD92" s="537"/>
      <c r="AE92" s="537"/>
    </row>
    <row r="93" spans="1:31" ht="22.5" customHeight="1" x14ac:dyDescent="0.3">
      <c r="A93" s="395">
        <v>86</v>
      </c>
      <c r="B93" s="409">
        <v>15</v>
      </c>
      <c r="C93" s="482"/>
      <c r="D93" s="493" t="s">
        <v>123</v>
      </c>
      <c r="E93" s="493"/>
      <c r="F93" s="494" t="s">
        <v>24</v>
      </c>
      <c r="G93" s="412">
        <v>1212366</v>
      </c>
      <c r="H93" s="412">
        <v>961735</v>
      </c>
      <c r="I93" s="1202">
        <v>1218027</v>
      </c>
      <c r="J93" s="511"/>
      <c r="K93" s="412"/>
      <c r="L93" s="412"/>
      <c r="M93" s="412"/>
      <c r="N93" s="412"/>
      <c r="O93" s="412"/>
      <c r="P93" s="412"/>
      <c r="Q93" s="412"/>
      <c r="R93" s="485"/>
    </row>
    <row r="94" spans="1:31" s="421" customFormat="1" ht="18" customHeight="1" x14ac:dyDescent="0.3">
      <c r="A94" s="395">
        <v>87</v>
      </c>
      <c r="B94" s="512"/>
      <c r="C94" s="515"/>
      <c r="D94" s="515"/>
      <c r="E94" s="469" t="s">
        <v>252</v>
      </c>
      <c r="F94" s="516"/>
      <c r="G94" s="516"/>
      <c r="H94" s="516"/>
      <c r="I94" s="1208"/>
      <c r="J94" s="517">
        <f>SUM(K94:R94)</f>
        <v>950477</v>
      </c>
      <c r="K94" s="518">
        <v>556489</v>
      </c>
      <c r="L94" s="518">
        <v>57127</v>
      </c>
      <c r="M94" s="518">
        <v>332861</v>
      </c>
      <c r="N94" s="518"/>
      <c r="O94" s="518"/>
      <c r="P94" s="518">
        <v>4000</v>
      </c>
      <c r="Q94" s="518"/>
      <c r="R94" s="519"/>
      <c r="S94" s="492"/>
      <c r="T94" s="492"/>
      <c r="U94" s="492"/>
      <c r="V94" s="492"/>
      <c r="W94" s="492"/>
      <c r="X94" s="492"/>
      <c r="Y94" s="492"/>
      <c r="Z94" s="492"/>
      <c r="AA94" s="492"/>
      <c r="AB94" s="492"/>
      <c r="AC94" s="492"/>
      <c r="AD94" s="492"/>
      <c r="AE94" s="492"/>
    </row>
    <row r="95" spans="1:31" s="421" customFormat="1" ht="18" customHeight="1" x14ac:dyDescent="0.3">
      <c r="A95" s="395">
        <v>88</v>
      </c>
      <c r="B95" s="512"/>
      <c r="C95" s="515"/>
      <c r="D95" s="1397"/>
      <c r="E95" s="1003" t="s">
        <v>921</v>
      </c>
      <c r="F95" s="516"/>
      <c r="G95" s="516"/>
      <c r="H95" s="516"/>
      <c r="I95" s="1208"/>
      <c r="J95" s="1396">
        <f>SUM(K95:R95)</f>
        <v>1147297</v>
      </c>
      <c r="K95" s="1068">
        <v>619516</v>
      </c>
      <c r="L95" s="1068">
        <v>63380</v>
      </c>
      <c r="M95" s="1068">
        <v>434101</v>
      </c>
      <c r="N95" s="1068"/>
      <c r="O95" s="1068"/>
      <c r="P95" s="1068">
        <v>30300</v>
      </c>
      <c r="Q95" s="518"/>
      <c r="R95" s="519"/>
      <c r="S95" s="492"/>
      <c r="T95" s="492"/>
      <c r="U95" s="492"/>
      <c r="V95" s="492"/>
      <c r="W95" s="492"/>
      <c r="X95" s="492"/>
      <c r="Y95" s="492"/>
      <c r="Z95" s="492"/>
      <c r="AA95" s="492"/>
      <c r="AB95" s="492"/>
      <c r="AC95" s="492"/>
      <c r="AD95" s="492"/>
      <c r="AE95" s="492"/>
    </row>
    <row r="96" spans="1:31" s="421" customFormat="1" ht="18" customHeight="1" thickBot="1" x14ac:dyDescent="0.35">
      <c r="A96" s="395">
        <v>89</v>
      </c>
      <c r="B96" s="512"/>
      <c r="C96" s="1067"/>
      <c r="D96" s="1071"/>
      <c r="E96" s="1002" t="s">
        <v>972</v>
      </c>
      <c r="F96" s="514"/>
      <c r="G96" s="514"/>
      <c r="H96" s="514"/>
      <c r="I96" s="1204"/>
      <c r="J96" s="1045">
        <f>SUM(K96:R96)</f>
        <v>621566</v>
      </c>
      <c r="K96" s="523">
        <v>281317</v>
      </c>
      <c r="L96" s="523">
        <v>28751</v>
      </c>
      <c r="M96" s="523">
        <v>305768</v>
      </c>
      <c r="N96" s="523"/>
      <c r="O96" s="523"/>
      <c r="P96" s="523">
        <v>5730</v>
      </c>
      <c r="Q96" s="490"/>
      <c r="R96" s="491"/>
      <c r="S96" s="492"/>
      <c r="T96" s="492"/>
      <c r="U96" s="492"/>
      <c r="V96" s="492"/>
      <c r="W96" s="492"/>
      <c r="X96" s="492"/>
      <c r="Y96" s="492"/>
      <c r="Z96" s="492"/>
      <c r="AA96" s="492"/>
      <c r="AB96" s="492"/>
      <c r="AC96" s="492"/>
      <c r="AD96" s="492"/>
      <c r="AE96" s="492"/>
    </row>
    <row r="97" spans="1:31" s="531" customFormat="1" ht="22.5" customHeight="1" thickTop="1" x14ac:dyDescent="0.2">
      <c r="A97" s="395">
        <v>90</v>
      </c>
      <c r="B97" s="500"/>
      <c r="C97" s="1836" t="s">
        <v>338</v>
      </c>
      <c r="D97" s="1837"/>
      <c r="E97" s="1838"/>
      <c r="F97" s="551"/>
      <c r="G97" s="501">
        <f>SUM(G63:G94)</f>
        <v>3149063</v>
      </c>
      <c r="H97" s="501">
        <f>SUM(H63:H94)</f>
        <v>3471828</v>
      </c>
      <c r="I97" s="1210">
        <f>SUM(I63:I94)</f>
        <v>4018802</v>
      </c>
      <c r="J97" s="552"/>
      <c r="K97" s="528"/>
      <c r="L97" s="528"/>
      <c r="M97" s="528"/>
      <c r="N97" s="528"/>
      <c r="O97" s="528"/>
      <c r="P97" s="528"/>
      <c r="Q97" s="528"/>
      <c r="R97" s="529"/>
      <c r="S97" s="530"/>
      <c r="T97" s="530"/>
      <c r="U97" s="530"/>
      <c r="V97" s="530"/>
      <c r="W97" s="530"/>
      <c r="X97" s="530"/>
      <c r="Y97" s="530"/>
      <c r="Z97" s="530"/>
      <c r="AA97" s="530"/>
      <c r="AB97" s="530"/>
      <c r="AC97" s="530"/>
      <c r="AD97" s="530"/>
      <c r="AE97" s="530"/>
    </row>
    <row r="98" spans="1:31" s="421" customFormat="1" ht="18" customHeight="1" x14ac:dyDescent="0.3">
      <c r="A98" s="395">
        <v>91</v>
      </c>
      <c r="B98" s="1072"/>
      <c r="C98" s="1066"/>
      <c r="D98" s="515"/>
      <c r="E98" s="469" t="s">
        <v>252</v>
      </c>
      <c r="F98" s="516"/>
      <c r="G98" s="516"/>
      <c r="H98" s="516"/>
      <c r="I98" s="1208"/>
      <c r="J98" s="517">
        <f t="shared" ref="J98:R98" si="7">SUM(J64,J70,J75,J80,J87,J94)</f>
        <v>3274331</v>
      </c>
      <c r="K98" s="518">
        <f t="shared" si="7"/>
        <v>1525619</v>
      </c>
      <c r="L98" s="518">
        <f t="shared" si="7"/>
        <v>200205</v>
      </c>
      <c r="M98" s="518">
        <f t="shared" si="7"/>
        <v>1289908</v>
      </c>
      <c r="N98" s="518">
        <f t="shared" si="7"/>
        <v>0</v>
      </c>
      <c r="O98" s="518">
        <f t="shared" si="7"/>
        <v>6754</v>
      </c>
      <c r="P98" s="518">
        <f t="shared" si="7"/>
        <v>251845</v>
      </c>
      <c r="Q98" s="518">
        <f t="shared" si="7"/>
        <v>0</v>
      </c>
      <c r="R98" s="519">
        <f t="shared" si="7"/>
        <v>0</v>
      </c>
      <c r="S98" s="492"/>
      <c r="T98" s="492"/>
      <c r="U98" s="492"/>
      <c r="V98" s="492"/>
      <c r="W98" s="492"/>
      <c r="X98" s="492"/>
      <c r="Y98" s="492"/>
      <c r="Z98" s="492"/>
      <c r="AA98" s="492"/>
      <c r="AB98" s="492"/>
      <c r="AC98" s="492"/>
      <c r="AD98" s="492"/>
      <c r="AE98" s="492"/>
    </row>
    <row r="99" spans="1:31" s="421" customFormat="1" ht="18" customHeight="1" x14ac:dyDescent="0.3">
      <c r="A99" s="395">
        <v>92</v>
      </c>
      <c r="B99" s="1072"/>
      <c r="C99" s="515"/>
      <c r="D99" s="515"/>
      <c r="E99" s="1003" t="s">
        <v>921</v>
      </c>
      <c r="F99" s="516"/>
      <c r="G99" s="516"/>
      <c r="H99" s="516"/>
      <c r="I99" s="1208"/>
      <c r="J99" s="1396">
        <f t="shared" ref="J99:R99" si="8">SUM(J65,J71,J76,J81,J88,J95)</f>
        <v>3831065</v>
      </c>
      <c r="K99" s="1068">
        <f t="shared" si="8"/>
        <v>1646636</v>
      </c>
      <c r="L99" s="1068">
        <f t="shared" si="8"/>
        <v>215689</v>
      </c>
      <c r="M99" s="1068">
        <f t="shared" si="8"/>
        <v>1622111</v>
      </c>
      <c r="N99" s="1068">
        <f t="shared" si="8"/>
        <v>0</v>
      </c>
      <c r="O99" s="1068">
        <f t="shared" si="8"/>
        <v>10211</v>
      </c>
      <c r="P99" s="1068">
        <f t="shared" si="8"/>
        <v>334445</v>
      </c>
      <c r="Q99" s="1068">
        <f t="shared" si="8"/>
        <v>0</v>
      </c>
      <c r="R99" s="1410">
        <f t="shared" si="8"/>
        <v>1973</v>
      </c>
      <c r="S99" s="492"/>
      <c r="T99" s="492"/>
      <c r="U99" s="492"/>
      <c r="V99" s="492"/>
      <c r="W99" s="492"/>
      <c r="X99" s="492"/>
      <c r="Y99" s="492"/>
      <c r="Z99" s="492"/>
      <c r="AA99" s="492"/>
      <c r="AB99" s="492"/>
      <c r="AC99" s="492"/>
      <c r="AD99" s="492"/>
      <c r="AE99" s="492"/>
    </row>
    <row r="100" spans="1:31" s="421" customFormat="1" ht="18" customHeight="1" thickBot="1" x14ac:dyDescent="0.35">
      <c r="A100" s="395">
        <v>93</v>
      </c>
      <c r="B100" s="512"/>
      <c r="C100" s="532"/>
      <c r="D100" s="533"/>
      <c r="E100" s="1639" t="s">
        <v>973</v>
      </c>
      <c r="F100" s="534"/>
      <c r="G100" s="534"/>
      <c r="H100" s="534"/>
      <c r="I100" s="1211"/>
      <c r="J100" s="1650">
        <f>SUM(K100:R100)</f>
        <v>1838405</v>
      </c>
      <c r="K100" s="1648">
        <f>K96+K89+K82+K77+K72+K66</f>
        <v>719756</v>
      </c>
      <c r="L100" s="1648">
        <f t="shared" ref="L100:R100" si="9">L96+L89+L82+L77+L72+L66</f>
        <v>93409</v>
      </c>
      <c r="M100" s="1648">
        <f t="shared" si="9"/>
        <v>817262</v>
      </c>
      <c r="N100" s="1648">
        <f t="shared" si="9"/>
        <v>0</v>
      </c>
      <c r="O100" s="1648">
        <f t="shared" si="9"/>
        <v>7837</v>
      </c>
      <c r="P100" s="1648">
        <f t="shared" si="9"/>
        <v>200141</v>
      </c>
      <c r="Q100" s="1648">
        <f t="shared" si="9"/>
        <v>0</v>
      </c>
      <c r="R100" s="1649">
        <f t="shared" si="9"/>
        <v>0</v>
      </c>
      <c r="S100" s="492"/>
      <c r="T100" s="492"/>
      <c r="U100" s="492"/>
      <c r="V100" s="492"/>
      <c r="W100" s="492"/>
      <c r="X100" s="492"/>
      <c r="Y100" s="492"/>
      <c r="Z100" s="492"/>
      <c r="AA100" s="492"/>
      <c r="AB100" s="492"/>
      <c r="AC100" s="492"/>
      <c r="AD100" s="492"/>
      <c r="AE100" s="492"/>
    </row>
    <row r="101" spans="1:31" s="451" customFormat="1" ht="22.5" customHeight="1" thickTop="1" x14ac:dyDescent="0.3">
      <c r="A101" s="395">
        <v>94</v>
      </c>
      <c r="B101" s="402">
        <v>16</v>
      </c>
      <c r="C101" s="477"/>
      <c r="D101" s="553" t="s">
        <v>227</v>
      </c>
      <c r="E101" s="553"/>
      <c r="F101" s="479" t="s">
        <v>23</v>
      </c>
      <c r="G101" s="406">
        <v>1174009</v>
      </c>
      <c r="H101" s="406">
        <v>1425063</v>
      </c>
      <c r="I101" s="1201">
        <v>1410376</v>
      </c>
      <c r="J101" s="510"/>
      <c r="K101" s="406"/>
      <c r="L101" s="406"/>
      <c r="M101" s="406"/>
      <c r="N101" s="406"/>
      <c r="O101" s="406"/>
      <c r="P101" s="406"/>
      <c r="Q101" s="406"/>
      <c r="R101" s="481"/>
      <c r="S101" s="495"/>
      <c r="T101" s="495"/>
      <c r="U101" s="495"/>
      <c r="V101" s="495"/>
      <c r="W101" s="495"/>
      <c r="X101" s="495"/>
      <c r="Y101" s="495"/>
      <c r="Z101" s="495"/>
      <c r="AA101" s="495"/>
      <c r="AB101" s="495"/>
      <c r="AC101" s="495"/>
      <c r="AD101" s="495"/>
      <c r="AE101" s="495"/>
    </row>
    <row r="102" spans="1:31" s="433" customFormat="1" ht="18" customHeight="1" x14ac:dyDescent="0.3">
      <c r="A102" s="395">
        <v>95</v>
      </c>
      <c r="B102" s="1072"/>
      <c r="C102" s="515"/>
      <c r="D102" s="515"/>
      <c r="E102" s="469" t="s">
        <v>252</v>
      </c>
      <c r="F102" s="516"/>
      <c r="G102" s="516"/>
      <c r="H102" s="516"/>
      <c r="I102" s="1208"/>
      <c r="J102" s="517">
        <f>SUM(K102:R102)</f>
        <v>1824602</v>
      </c>
      <c r="K102" s="518">
        <v>315127</v>
      </c>
      <c r="L102" s="518">
        <v>47865</v>
      </c>
      <c r="M102" s="518">
        <v>1454610</v>
      </c>
      <c r="N102" s="518"/>
      <c r="O102" s="518"/>
      <c r="P102" s="518">
        <v>7000</v>
      </c>
      <c r="Q102" s="518"/>
      <c r="R102" s="519"/>
      <c r="S102" s="496"/>
      <c r="T102" s="496"/>
      <c r="U102" s="496"/>
      <c r="V102" s="496"/>
      <c r="W102" s="496"/>
      <c r="X102" s="496"/>
      <c r="Y102" s="496"/>
      <c r="Z102" s="496"/>
      <c r="AA102" s="496"/>
      <c r="AB102" s="496"/>
      <c r="AC102" s="496"/>
      <c r="AD102" s="496"/>
      <c r="AE102" s="496"/>
    </row>
    <row r="103" spans="1:31" s="433" customFormat="1" ht="18" customHeight="1" x14ac:dyDescent="0.3">
      <c r="A103" s="395">
        <v>96</v>
      </c>
      <c r="B103" s="1072"/>
      <c r="C103" s="515"/>
      <c r="D103" s="515"/>
      <c r="E103" s="1003" t="s">
        <v>921</v>
      </c>
      <c r="F103" s="516"/>
      <c r="G103" s="516"/>
      <c r="H103" s="516"/>
      <c r="I103" s="1208"/>
      <c r="J103" s="1396">
        <f>SUM(K103:R103)</f>
        <v>2068755</v>
      </c>
      <c r="K103" s="1068">
        <v>332319</v>
      </c>
      <c r="L103" s="1068">
        <v>50150</v>
      </c>
      <c r="M103" s="1068">
        <v>1678486</v>
      </c>
      <c r="N103" s="1068"/>
      <c r="O103" s="1068"/>
      <c r="P103" s="1068">
        <v>7800</v>
      </c>
      <c r="Q103" s="518"/>
      <c r="R103" s="519"/>
      <c r="S103" s="496"/>
      <c r="T103" s="496"/>
      <c r="U103" s="496"/>
      <c r="V103" s="496"/>
      <c r="W103" s="496"/>
      <c r="X103" s="496"/>
      <c r="Y103" s="496"/>
      <c r="Z103" s="496"/>
      <c r="AA103" s="496"/>
      <c r="AB103" s="496"/>
      <c r="AC103" s="496"/>
      <c r="AD103" s="496"/>
      <c r="AE103" s="496"/>
    </row>
    <row r="104" spans="1:31" s="433" customFormat="1" ht="18" customHeight="1" thickBot="1" x14ac:dyDescent="0.35">
      <c r="A104" s="395">
        <v>97</v>
      </c>
      <c r="B104" s="554"/>
      <c r="C104" s="1074"/>
      <c r="D104" s="1074"/>
      <c r="E104" s="1643" t="s">
        <v>972</v>
      </c>
      <c r="F104" s="555"/>
      <c r="G104" s="555"/>
      <c r="H104" s="555"/>
      <c r="I104" s="1212"/>
      <c r="J104" s="1654">
        <f>SUM(K104:R104)</f>
        <v>926195</v>
      </c>
      <c r="K104" s="1655">
        <v>120883</v>
      </c>
      <c r="L104" s="1655">
        <v>18446</v>
      </c>
      <c r="M104" s="1655">
        <v>783587</v>
      </c>
      <c r="N104" s="1655"/>
      <c r="O104" s="1655"/>
      <c r="P104" s="1655">
        <v>3279</v>
      </c>
      <c r="Q104" s="1656"/>
      <c r="R104" s="1657"/>
      <c r="S104" s="496"/>
      <c r="T104" s="496"/>
      <c r="U104" s="496"/>
      <c r="V104" s="496"/>
      <c r="W104" s="496"/>
      <c r="X104" s="496"/>
      <c r="Y104" s="496"/>
      <c r="Z104" s="496"/>
      <c r="AA104" s="496"/>
      <c r="AB104" s="496"/>
      <c r="AC104" s="496"/>
      <c r="AD104" s="496"/>
      <c r="AE104" s="496"/>
    </row>
    <row r="105" spans="1:31" s="426" customFormat="1" ht="36" customHeight="1" x14ac:dyDescent="0.3">
      <c r="A105" s="395">
        <v>98</v>
      </c>
      <c r="B105" s="1839" t="s">
        <v>124</v>
      </c>
      <c r="C105" s="1840"/>
      <c r="D105" s="1840"/>
      <c r="E105" s="1841"/>
      <c r="F105" s="1651"/>
      <c r="G105" s="1076">
        <f>SUM(G101,G97,G59,G38)</f>
        <v>8402587</v>
      </c>
      <c r="H105" s="1076">
        <f>SUM(H101,H97,H59,H38)</f>
        <v>9477637</v>
      </c>
      <c r="I105" s="1652">
        <f>SUM(I101,I97,I59,I38)</f>
        <v>10216226</v>
      </c>
      <c r="J105" s="1075"/>
      <c r="K105" s="1077"/>
      <c r="L105" s="1077"/>
      <c r="M105" s="1077"/>
      <c r="N105" s="1077"/>
      <c r="O105" s="1077"/>
      <c r="P105" s="1077"/>
      <c r="Q105" s="1077"/>
      <c r="R105" s="1653"/>
      <c r="S105" s="558"/>
      <c r="T105" s="558"/>
      <c r="U105" s="558"/>
      <c r="V105" s="558"/>
      <c r="W105" s="558"/>
      <c r="X105" s="558"/>
      <c r="Y105" s="558"/>
      <c r="Z105" s="558"/>
      <c r="AA105" s="558"/>
      <c r="AB105" s="558"/>
      <c r="AC105" s="558"/>
      <c r="AD105" s="558"/>
      <c r="AE105" s="558"/>
    </row>
    <row r="106" spans="1:31" s="421" customFormat="1" ht="18" customHeight="1" x14ac:dyDescent="0.3">
      <c r="A106" s="395">
        <v>99</v>
      </c>
      <c r="B106" s="1072"/>
      <c r="C106" s="515"/>
      <c r="D106" s="515"/>
      <c r="E106" s="469" t="s">
        <v>252</v>
      </c>
      <c r="F106" s="516"/>
      <c r="G106" s="516"/>
      <c r="H106" s="516"/>
      <c r="I106" s="1208"/>
      <c r="J106" s="517">
        <f>SUM(K106:R106)</f>
        <v>10526892</v>
      </c>
      <c r="K106" s="518">
        <f t="shared" ref="K106:R107" si="10">SUM(K102,K98,K60,K39)</f>
        <v>5606708</v>
      </c>
      <c r="L106" s="518">
        <f t="shared" si="10"/>
        <v>819207</v>
      </c>
      <c r="M106" s="518">
        <f t="shared" si="10"/>
        <v>3817749</v>
      </c>
      <c r="N106" s="518">
        <f t="shared" si="10"/>
        <v>0</v>
      </c>
      <c r="O106" s="518">
        <f t="shared" si="10"/>
        <v>6754</v>
      </c>
      <c r="P106" s="518">
        <f t="shared" si="10"/>
        <v>276474</v>
      </c>
      <c r="Q106" s="518">
        <f t="shared" si="10"/>
        <v>0</v>
      </c>
      <c r="R106" s="519">
        <f t="shared" si="10"/>
        <v>0</v>
      </c>
      <c r="S106" s="492"/>
      <c r="T106" s="492"/>
      <c r="U106" s="492"/>
      <c r="V106" s="492"/>
      <c r="W106" s="492"/>
      <c r="X106" s="492"/>
      <c r="Y106" s="492"/>
      <c r="Z106" s="492"/>
      <c r="AA106" s="492"/>
      <c r="AB106" s="492"/>
      <c r="AC106" s="492"/>
      <c r="AD106" s="492"/>
      <c r="AE106" s="492"/>
    </row>
    <row r="107" spans="1:31" s="421" customFormat="1" ht="18" customHeight="1" x14ac:dyDescent="0.3">
      <c r="A107" s="395">
        <v>100</v>
      </c>
      <c r="B107" s="1072"/>
      <c r="C107" s="515"/>
      <c r="D107" s="1397"/>
      <c r="E107" s="1003" t="s">
        <v>921</v>
      </c>
      <c r="F107" s="516"/>
      <c r="G107" s="516"/>
      <c r="H107" s="516"/>
      <c r="I107" s="1208"/>
      <c r="J107" s="1396">
        <f>SUM(K107:R107)</f>
        <v>11794700</v>
      </c>
      <c r="K107" s="1068">
        <f t="shared" si="10"/>
        <v>5994210</v>
      </c>
      <c r="L107" s="1068">
        <f t="shared" si="10"/>
        <v>876484</v>
      </c>
      <c r="M107" s="1068">
        <f t="shared" si="10"/>
        <v>4507855</v>
      </c>
      <c r="N107" s="1068">
        <f t="shared" si="10"/>
        <v>0</v>
      </c>
      <c r="O107" s="1068">
        <f t="shared" si="10"/>
        <v>10211</v>
      </c>
      <c r="P107" s="1068">
        <f t="shared" si="10"/>
        <v>403967</v>
      </c>
      <c r="Q107" s="1068">
        <f t="shared" si="10"/>
        <v>0</v>
      </c>
      <c r="R107" s="1410">
        <f t="shared" si="10"/>
        <v>1973</v>
      </c>
      <c r="S107" s="492"/>
      <c r="T107" s="492"/>
      <c r="U107" s="492"/>
      <c r="V107" s="492"/>
      <c r="W107" s="492"/>
      <c r="X107" s="492"/>
      <c r="Y107" s="492"/>
      <c r="Z107" s="492"/>
      <c r="AA107" s="492"/>
      <c r="AB107" s="492"/>
      <c r="AC107" s="492"/>
      <c r="AD107" s="492"/>
      <c r="AE107" s="492"/>
    </row>
    <row r="108" spans="1:31" s="421" customFormat="1" ht="18" customHeight="1" thickBot="1" x14ac:dyDescent="0.35">
      <c r="A108" s="395">
        <v>101</v>
      </c>
      <c r="B108" s="512"/>
      <c r="C108" s="513"/>
      <c r="D108" s="1071"/>
      <c r="E108" s="1002" t="s">
        <v>973</v>
      </c>
      <c r="F108" s="514"/>
      <c r="G108" s="514"/>
      <c r="H108" s="514"/>
      <c r="I108" s="1203"/>
      <c r="J108" s="1073">
        <f>SUM(K108:R108)</f>
        <v>5402280</v>
      </c>
      <c r="K108" s="523">
        <f t="shared" ref="K108:R108" si="11">K104+K100+K62+K41</f>
        <v>2700777</v>
      </c>
      <c r="L108" s="523">
        <f t="shared" si="11"/>
        <v>387805</v>
      </c>
      <c r="M108" s="523">
        <f t="shared" si="11"/>
        <v>2094384</v>
      </c>
      <c r="N108" s="523">
        <f t="shared" si="11"/>
        <v>0</v>
      </c>
      <c r="O108" s="523">
        <f t="shared" si="11"/>
        <v>7837</v>
      </c>
      <c r="P108" s="523">
        <f t="shared" si="11"/>
        <v>211477</v>
      </c>
      <c r="Q108" s="523">
        <f t="shared" si="11"/>
        <v>0</v>
      </c>
      <c r="R108" s="524">
        <f t="shared" si="11"/>
        <v>0</v>
      </c>
      <c r="S108" s="492"/>
      <c r="T108" s="492"/>
      <c r="U108" s="492"/>
      <c r="V108" s="492"/>
      <c r="W108" s="492"/>
      <c r="X108" s="492"/>
      <c r="Y108" s="492"/>
      <c r="Z108" s="492"/>
      <c r="AA108" s="492"/>
      <c r="AB108" s="492"/>
      <c r="AC108" s="492"/>
      <c r="AD108" s="492"/>
      <c r="AE108" s="492"/>
    </row>
    <row r="109" spans="1:31" s="451" customFormat="1" ht="22.5" customHeight="1" x14ac:dyDescent="0.3">
      <c r="A109" s="395">
        <v>102</v>
      </c>
      <c r="B109" s="559">
        <v>17</v>
      </c>
      <c r="C109" s="560"/>
      <c r="D109" s="561" t="s">
        <v>165</v>
      </c>
      <c r="E109" s="562"/>
      <c r="F109" s="463" t="s">
        <v>23</v>
      </c>
      <c r="G109" s="563"/>
      <c r="H109" s="563"/>
      <c r="I109" s="1213"/>
      <c r="J109" s="564"/>
      <c r="K109" s="563"/>
      <c r="L109" s="563"/>
      <c r="M109" s="563"/>
      <c r="N109" s="563"/>
      <c r="O109" s="563"/>
      <c r="P109" s="563"/>
      <c r="Q109" s="563"/>
      <c r="R109" s="565"/>
      <c r="S109" s="495"/>
      <c r="T109" s="495"/>
      <c r="U109" s="495"/>
      <c r="V109" s="495"/>
      <c r="W109" s="495"/>
      <c r="X109" s="495"/>
      <c r="Y109" s="495"/>
      <c r="Z109" s="495"/>
      <c r="AA109" s="495"/>
      <c r="AB109" s="495"/>
      <c r="AC109" s="495"/>
      <c r="AD109" s="495"/>
      <c r="AE109" s="495"/>
    </row>
    <row r="110" spans="1:31" s="567" customFormat="1" ht="19.5" customHeight="1" x14ac:dyDescent="0.3">
      <c r="A110" s="395">
        <v>103</v>
      </c>
      <c r="B110" s="409"/>
      <c r="C110" s="410">
        <v>1</v>
      </c>
      <c r="D110" s="566" t="s">
        <v>131</v>
      </c>
      <c r="E110" s="566"/>
      <c r="F110" s="494"/>
      <c r="G110" s="412">
        <v>1426001</v>
      </c>
      <c r="H110" s="412">
        <v>1769569</v>
      </c>
      <c r="I110" s="1202">
        <v>1695683</v>
      </c>
      <c r="J110" s="511"/>
      <c r="K110" s="412"/>
      <c r="L110" s="412"/>
      <c r="M110" s="412"/>
      <c r="N110" s="412"/>
      <c r="O110" s="412"/>
      <c r="P110" s="412"/>
      <c r="Q110" s="412"/>
      <c r="R110" s="485"/>
      <c r="S110" s="475"/>
      <c r="T110" s="475"/>
      <c r="U110" s="475"/>
      <c r="V110" s="475"/>
      <c r="W110" s="475"/>
      <c r="X110" s="475"/>
      <c r="Y110" s="475"/>
      <c r="Z110" s="475"/>
      <c r="AA110" s="475"/>
      <c r="AB110" s="475"/>
      <c r="AC110" s="475"/>
      <c r="AD110" s="475"/>
    </row>
    <row r="111" spans="1:31" s="433" customFormat="1" ht="18" customHeight="1" x14ac:dyDescent="0.3">
      <c r="A111" s="395">
        <v>104</v>
      </c>
      <c r="B111" s="512"/>
      <c r="C111" s="568"/>
      <c r="D111" s="513"/>
      <c r="E111" s="569" t="s">
        <v>252</v>
      </c>
      <c r="F111" s="570"/>
      <c r="G111" s="514"/>
      <c r="H111" s="514"/>
      <c r="I111" s="1214"/>
      <c r="J111" s="489">
        <f>SUM(K111:R111)</f>
        <v>2049705</v>
      </c>
      <c r="K111" s="490">
        <v>1752781</v>
      </c>
      <c r="L111" s="490">
        <v>261495</v>
      </c>
      <c r="M111" s="490">
        <v>35429</v>
      </c>
      <c r="N111" s="490"/>
      <c r="O111" s="490"/>
      <c r="P111" s="490"/>
      <c r="Q111" s="490"/>
      <c r="R111" s="491"/>
      <c r="S111" s="496"/>
      <c r="T111" s="496"/>
      <c r="U111" s="496"/>
      <c r="V111" s="496"/>
      <c r="W111" s="496"/>
      <c r="X111" s="496"/>
      <c r="Y111" s="496"/>
      <c r="Z111" s="496"/>
      <c r="AA111" s="496"/>
      <c r="AB111" s="496"/>
      <c r="AC111" s="496"/>
      <c r="AD111" s="496"/>
    </row>
    <row r="112" spans="1:31" s="433" customFormat="1" ht="18" customHeight="1" x14ac:dyDescent="0.3">
      <c r="A112" s="395">
        <v>105</v>
      </c>
      <c r="B112" s="512"/>
      <c r="C112" s="568"/>
      <c r="D112" s="1071"/>
      <c r="E112" s="1003" t="s">
        <v>921</v>
      </c>
      <c r="F112" s="570"/>
      <c r="G112" s="514"/>
      <c r="H112" s="514"/>
      <c r="I112" s="1214"/>
      <c r="J112" s="484">
        <f>SUM(K112:R112)</f>
        <v>2441860</v>
      </c>
      <c r="K112" s="1062">
        <v>2036932</v>
      </c>
      <c r="L112" s="1062">
        <v>303225</v>
      </c>
      <c r="M112" s="1062">
        <v>101703</v>
      </c>
      <c r="N112" s="490"/>
      <c r="O112" s="490"/>
      <c r="P112" s="490"/>
      <c r="Q112" s="490"/>
      <c r="R112" s="491"/>
      <c r="S112" s="496"/>
      <c r="T112" s="496"/>
      <c r="U112" s="496"/>
      <c r="V112" s="496"/>
      <c r="W112" s="496"/>
      <c r="X112" s="496"/>
      <c r="Y112" s="496"/>
      <c r="Z112" s="496"/>
      <c r="AA112" s="496"/>
      <c r="AB112" s="496"/>
      <c r="AC112" s="496"/>
      <c r="AD112" s="496"/>
    </row>
    <row r="113" spans="1:30" s="433" customFormat="1" ht="18" customHeight="1" x14ac:dyDescent="0.3">
      <c r="A113" s="395">
        <v>106</v>
      </c>
      <c r="B113" s="512"/>
      <c r="C113" s="568"/>
      <c r="D113" s="1071"/>
      <c r="E113" s="1002" t="s">
        <v>972</v>
      </c>
      <c r="F113" s="570"/>
      <c r="G113" s="514"/>
      <c r="H113" s="514"/>
      <c r="I113" s="1215"/>
      <c r="J113" s="1045">
        <f>SUM(K113:R113)</f>
        <v>946651</v>
      </c>
      <c r="K113" s="523">
        <v>809541</v>
      </c>
      <c r="L113" s="523">
        <v>124847</v>
      </c>
      <c r="M113" s="523">
        <v>12263</v>
      </c>
      <c r="N113" s="490"/>
      <c r="O113" s="490"/>
      <c r="P113" s="490"/>
      <c r="Q113" s="490"/>
      <c r="R113" s="491"/>
      <c r="S113" s="496"/>
      <c r="T113" s="496"/>
      <c r="U113" s="496"/>
      <c r="V113" s="496"/>
      <c r="W113" s="496"/>
      <c r="X113" s="496"/>
      <c r="Y113" s="496"/>
      <c r="Z113" s="496"/>
      <c r="AA113" s="496"/>
      <c r="AB113" s="496"/>
      <c r="AC113" s="496"/>
      <c r="AD113" s="496"/>
    </row>
    <row r="114" spans="1:30" s="576" customFormat="1" ht="19.5" customHeight="1" x14ac:dyDescent="0.3">
      <c r="A114" s="395">
        <v>107</v>
      </c>
      <c r="B114" s="571"/>
      <c r="C114" s="572"/>
      <c r="D114" s="1870" t="s">
        <v>434</v>
      </c>
      <c r="E114" s="1871"/>
      <c r="F114" s="573"/>
      <c r="G114" s="415">
        <v>34253</v>
      </c>
      <c r="H114" s="415">
        <v>3893</v>
      </c>
      <c r="I114" s="544">
        <v>5127</v>
      </c>
      <c r="J114" s="511"/>
      <c r="K114" s="415"/>
      <c r="L114" s="415"/>
      <c r="M114" s="415"/>
      <c r="N114" s="415"/>
      <c r="O114" s="415"/>
      <c r="P114" s="415"/>
      <c r="Q114" s="415"/>
      <c r="R114" s="574"/>
      <c r="S114" s="575"/>
      <c r="T114" s="575"/>
      <c r="U114" s="575"/>
      <c r="V114" s="575"/>
      <c r="W114" s="575"/>
      <c r="X114" s="575"/>
      <c r="Y114" s="575"/>
      <c r="Z114" s="575"/>
      <c r="AA114" s="575"/>
      <c r="AB114" s="575"/>
      <c r="AC114" s="575"/>
      <c r="AD114" s="575"/>
    </row>
    <row r="115" spans="1:30" s="581" customFormat="1" ht="18" customHeight="1" x14ac:dyDescent="0.3">
      <c r="A115" s="395">
        <v>108</v>
      </c>
      <c r="B115" s="500"/>
      <c r="C115" s="577"/>
      <c r="D115" s="545"/>
      <c r="E115" s="578" t="s">
        <v>252</v>
      </c>
      <c r="F115" s="579"/>
      <c r="G115" s="546"/>
      <c r="H115" s="546"/>
      <c r="I115" s="1216"/>
      <c r="J115" s="547">
        <f>SUM(K115:R115)</f>
        <v>0</v>
      </c>
      <c r="K115" s="548"/>
      <c r="L115" s="548"/>
      <c r="M115" s="548"/>
      <c r="N115" s="548"/>
      <c r="O115" s="548"/>
      <c r="P115" s="548"/>
      <c r="Q115" s="548"/>
      <c r="R115" s="549"/>
      <c r="S115" s="580"/>
      <c r="T115" s="580"/>
      <c r="U115" s="580"/>
      <c r="V115" s="580"/>
      <c r="W115" s="580"/>
      <c r="X115" s="580"/>
      <c r="Y115" s="580"/>
      <c r="Z115" s="580"/>
      <c r="AA115" s="580"/>
      <c r="AB115" s="580"/>
      <c r="AC115" s="580"/>
      <c r="AD115" s="580"/>
    </row>
    <row r="116" spans="1:30" s="451" customFormat="1" ht="20.100000000000001" customHeight="1" x14ac:dyDescent="0.3">
      <c r="A116" s="395">
        <v>109</v>
      </c>
      <c r="B116" s="409"/>
      <c r="C116" s="410">
        <v>2</v>
      </c>
      <c r="D116" s="566" t="s">
        <v>132</v>
      </c>
      <c r="E116" s="566"/>
      <c r="F116" s="494"/>
      <c r="G116" s="412">
        <v>190050</v>
      </c>
      <c r="H116" s="412">
        <v>327625</v>
      </c>
      <c r="I116" s="1202">
        <v>229634</v>
      </c>
      <c r="J116" s="511"/>
      <c r="K116" s="412"/>
      <c r="L116" s="412"/>
      <c r="M116" s="412"/>
      <c r="N116" s="412"/>
      <c r="O116" s="412"/>
      <c r="P116" s="412"/>
      <c r="Q116" s="412"/>
      <c r="R116" s="485"/>
      <c r="S116" s="495"/>
      <c r="T116" s="495"/>
      <c r="U116" s="495"/>
      <c r="V116" s="495"/>
      <c r="W116" s="495"/>
      <c r="X116" s="495"/>
      <c r="Y116" s="495"/>
      <c r="Z116" s="495"/>
      <c r="AA116" s="495"/>
      <c r="AB116" s="495"/>
      <c r="AC116" s="495"/>
      <c r="AD116" s="495"/>
    </row>
    <row r="117" spans="1:30" s="433" customFormat="1" ht="18" customHeight="1" x14ac:dyDescent="0.3">
      <c r="A117" s="395">
        <v>110</v>
      </c>
      <c r="B117" s="512"/>
      <c r="C117" s="568"/>
      <c r="D117" s="513"/>
      <c r="E117" s="569" t="s">
        <v>252</v>
      </c>
      <c r="F117" s="570"/>
      <c r="G117" s="514"/>
      <c r="H117" s="514"/>
      <c r="I117" s="1214"/>
      <c r="J117" s="489">
        <f>SUM(K117:R117)</f>
        <v>372333</v>
      </c>
      <c r="K117" s="490">
        <v>5000</v>
      </c>
      <c r="L117" s="490">
        <v>1949</v>
      </c>
      <c r="M117" s="490">
        <v>297584</v>
      </c>
      <c r="N117" s="490"/>
      <c r="O117" s="490"/>
      <c r="P117" s="490">
        <v>67800</v>
      </c>
      <c r="Q117" s="490"/>
      <c r="R117" s="491"/>
      <c r="S117" s="496"/>
      <c r="T117" s="496"/>
      <c r="U117" s="496"/>
      <c r="V117" s="496"/>
      <c r="W117" s="496"/>
      <c r="X117" s="496"/>
      <c r="Y117" s="496"/>
      <c r="Z117" s="496"/>
      <c r="AA117" s="496"/>
      <c r="AB117" s="496"/>
      <c r="AC117" s="496"/>
      <c r="AD117" s="496"/>
    </row>
    <row r="118" spans="1:30" s="433" customFormat="1" ht="18" customHeight="1" x14ac:dyDescent="0.3">
      <c r="A118" s="395">
        <v>111</v>
      </c>
      <c r="B118" s="512"/>
      <c r="C118" s="568"/>
      <c r="D118" s="1071"/>
      <c r="E118" s="1003" t="s">
        <v>921</v>
      </c>
      <c r="F118" s="570"/>
      <c r="G118" s="514"/>
      <c r="H118" s="514"/>
      <c r="I118" s="1214"/>
      <c r="J118" s="484">
        <f>SUM(K118:R118)</f>
        <v>668974</v>
      </c>
      <c r="K118" s="1062">
        <v>7331</v>
      </c>
      <c r="L118" s="1062">
        <v>3479</v>
      </c>
      <c r="M118" s="1062">
        <v>504614</v>
      </c>
      <c r="N118" s="1062"/>
      <c r="O118" s="1062"/>
      <c r="P118" s="1062">
        <v>153550</v>
      </c>
      <c r="Q118" s="490"/>
      <c r="R118" s="491"/>
      <c r="S118" s="496"/>
      <c r="T118" s="496"/>
      <c r="U118" s="496"/>
      <c r="V118" s="496"/>
      <c r="W118" s="496"/>
      <c r="X118" s="496"/>
      <c r="Y118" s="496"/>
      <c r="Z118" s="496"/>
      <c r="AA118" s="496"/>
      <c r="AB118" s="496"/>
      <c r="AC118" s="496"/>
      <c r="AD118" s="496"/>
    </row>
    <row r="119" spans="1:30" s="433" customFormat="1" ht="18" customHeight="1" x14ac:dyDescent="0.3">
      <c r="A119" s="395">
        <v>112</v>
      </c>
      <c r="B119" s="512"/>
      <c r="C119" s="568"/>
      <c r="D119" s="1071"/>
      <c r="E119" s="1002" t="s">
        <v>972</v>
      </c>
      <c r="F119" s="570"/>
      <c r="G119" s="514"/>
      <c r="H119" s="514"/>
      <c r="I119" s="1215"/>
      <c r="J119" s="1045">
        <f>SUM(K119:R119)</f>
        <v>118974</v>
      </c>
      <c r="K119" s="523">
        <v>2168</v>
      </c>
      <c r="L119" s="523">
        <v>1652</v>
      </c>
      <c r="M119" s="523">
        <v>111809</v>
      </c>
      <c r="N119" s="523"/>
      <c r="O119" s="523"/>
      <c r="P119" s="523">
        <v>3345</v>
      </c>
      <c r="Q119" s="490"/>
      <c r="R119" s="491"/>
      <c r="S119" s="496"/>
      <c r="T119" s="496"/>
      <c r="U119" s="496"/>
      <c r="V119" s="496"/>
      <c r="W119" s="496"/>
      <c r="X119" s="496"/>
      <c r="Y119" s="496"/>
      <c r="Z119" s="496"/>
      <c r="AA119" s="496"/>
      <c r="AB119" s="496"/>
      <c r="AC119" s="496"/>
      <c r="AD119" s="496"/>
    </row>
    <row r="120" spans="1:30" s="451" customFormat="1" ht="20.100000000000001" customHeight="1" x14ac:dyDescent="0.3">
      <c r="A120" s="395">
        <v>113</v>
      </c>
      <c r="B120" s="409"/>
      <c r="C120" s="410">
        <v>3</v>
      </c>
      <c r="D120" s="566" t="s">
        <v>31</v>
      </c>
      <c r="E120" s="566"/>
      <c r="F120" s="494"/>
      <c r="G120" s="412">
        <v>93908</v>
      </c>
      <c r="H120" s="412">
        <v>108699</v>
      </c>
      <c r="I120" s="1202">
        <v>91156</v>
      </c>
      <c r="J120" s="511"/>
      <c r="K120" s="412"/>
      <c r="L120" s="412"/>
      <c r="M120" s="412"/>
      <c r="N120" s="412"/>
      <c r="O120" s="412"/>
      <c r="P120" s="412"/>
      <c r="Q120" s="412"/>
      <c r="R120" s="485"/>
      <c r="S120" s="495"/>
      <c r="T120" s="495"/>
      <c r="U120" s="495"/>
      <c r="V120" s="495"/>
      <c r="W120" s="495"/>
      <c r="X120" s="495"/>
      <c r="Y120" s="495"/>
      <c r="Z120" s="495"/>
      <c r="AA120" s="495"/>
      <c r="AB120" s="495"/>
      <c r="AC120" s="495"/>
      <c r="AD120" s="495"/>
    </row>
    <row r="121" spans="1:30" s="433" customFormat="1" ht="18" customHeight="1" x14ac:dyDescent="0.3">
      <c r="A121" s="395">
        <v>114</v>
      </c>
      <c r="B121" s="512"/>
      <c r="C121" s="568"/>
      <c r="D121" s="513"/>
      <c r="E121" s="569" t="s">
        <v>252</v>
      </c>
      <c r="F121" s="570"/>
      <c r="G121" s="514"/>
      <c r="H121" s="514"/>
      <c r="I121" s="1214"/>
      <c r="J121" s="489">
        <f>SUM(K121:R121)</f>
        <v>147522</v>
      </c>
      <c r="K121" s="490"/>
      <c r="L121" s="490"/>
      <c r="M121" s="490">
        <v>121722</v>
      </c>
      <c r="N121" s="490"/>
      <c r="O121" s="490"/>
      <c r="P121" s="490">
        <v>25800</v>
      </c>
      <c r="Q121" s="490"/>
      <c r="R121" s="491"/>
      <c r="S121" s="496"/>
      <c r="T121" s="496"/>
      <c r="U121" s="496"/>
      <c r="V121" s="496"/>
      <c r="W121" s="496"/>
      <c r="X121" s="496"/>
      <c r="Y121" s="496"/>
      <c r="Z121" s="496"/>
      <c r="AA121" s="496"/>
      <c r="AB121" s="496"/>
      <c r="AC121" s="496"/>
      <c r="AD121" s="496"/>
    </row>
    <row r="122" spans="1:30" s="433" customFormat="1" ht="18" customHeight="1" x14ac:dyDescent="0.3">
      <c r="A122" s="395">
        <v>115</v>
      </c>
      <c r="B122" s="1072"/>
      <c r="C122" s="568"/>
      <c r="D122" s="1071"/>
      <c r="E122" s="1003" t="s">
        <v>921</v>
      </c>
      <c r="F122" s="1047"/>
      <c r="G122" s="1076"/>
      <c r="H122" s="1076"/>
      <c r="I122" s="1214"/>
      <c r="J122" s="484">
        <f>SUM(K122:R122)</f>
        <v>187807</v>
      </c>
      <c r="K122" s="1063"/>
      <c r="L122" s="1063"/>
      <c r="M122" s="1063">
        <v>149007</v>
      </c>
      <c r="N122" s="1063"/>
      <c r="O122" s="1063"/>
      <c r="P122" s="1063">
        <v>38800</v>
      </c>
      <c r="Q122" s="1054"/>
      <c r="R122" s="1055"/>
      <c r="S122" s="496"/>
      <c r="T122" s="496"/>
      <c r="U122" s="496"/>
      <c r="V122" s="496"/>
      <c r="W122" s="496"/>
      <c r="X122" s="496"/>
      <c r="Y122" s="496"/>
      <c r="Z122" s="496"/>
      <c r="AA122" s="496"/>
      <c r="AB122" s="496"/>
      <c r="AC122" s="496"/>
      <c r="AD122" s="496"/>
    </row>
    <row r="123" spans="1:30" s="433" customFormat="1" ht="18" customHeight="1" x14ac:dyDescent="0.3">
      <c r="A123" s="395">
        <v>116</v>
      </c>
      <c r="B123" s="1072"/>
      <c r="C123" s="568"/>
      <c r="D123" s="1071"/>
      <c r="E123" s="1002" t="s">
        <v>972</v>
      </c>
      <c r="F123" s="1047"/>
      <c r="G123" s="1076"/>
      <c r="H123" s="1076"/>
      <c r="I123" s="1215"/>
      <c r="J123" s="1045">
        <f>SUM(K123:R123)</f>
        <v>55007</v>
      </c>
      <c r="K123" s="1054"/>
      <c r="L123" s="1054"/>
      <c r="M123" s="1180">
        <v>43869</v>
      </c>
      <c r="N123" s="1180"/>
      <c r="O123" s="1180"/>
      <c r="P123" s="1180">
        <v>11138</v>
      </c>
      <c r="Q123" s="1054"/>
      <c r="R123" s="1055"/>
      <c r="S123" s="496"/>
      <c r="T123" s="496"/>
      <c r="U123" s="496"/>
      <c r="V123" s="496"/>
      <c r="W123" s="496"/>
      <c r="X123" s="496"/>
      <c r="Y123" s="496"/>
      <c r="Z123" s="496"/>
      <c r="AA123" s="496"/>
      <c r="AB123" s="496"/>
      <c r="AC123" s="496"/>
      <c r="AD123" s="496"/>
    </row>
    <row r="124" spans="1:30" s="591" customFormat="1" ht="19.5" customHeight="1" x14ac:dyDescent="0.3">
      <c r="A124" s="395">
        <v>117</v>
      </c>
      <c r="B124" s="468"/>
      <c r="C124" s="410">
        <v>53</v>
      </c>
      <c r="D124" s="1872" t="s">
        <v>465</v>
      </c>
      <c r="E124" s="1873"/>
      <c r="F124" s="689"/>
      <c r="G124" s="690">
        <v>182</v>
      </c>
      <c r="H124" s="690">
        <v>1118</v>
      </c>
      <c r="I124" s="1217">
        <v>1645</v>
      </c>
      <c r="J124" s="691"/>
      <c r="K124" s="692"/>
      <c r="L124" s="692"/>
      <c r="M124" s="692"/>
      <c r="N124" s="692"/>
      <c r="O124" s="692"/>
      <c r="P124" s="692"/>
      <c r="Q124" s="692"/>
      <c r="R124" s="693"/>
      <c r="S124" s="590"/>
      <c r="T124" s="590"/>
      <c r="U124" s="590"/>
      <c r="V124" s="590"/>
      <c r="W124" s="590"/>
      <c r="X124" s="590"/>
      <c r="Y124" s="590"/>
      <c r="Z124" s="590"/>
      <c r="AA124" s="590"/>
      <c r="AB124" s="590"/>
      <c r="AC124" s="590"/>
      <c r="AD124" s="590"/>
    </row>
    <row r="125" spans="1:30" s="591" customFormat="1" ht="19.5" customHeight="1" x14ac:dyDescent="0.3">
      <c r="A125" s="395">
        <v>118</v>
      </c>
      <c r="B125" s="468"/>
      <c r="C125" s="410"/>
      <c r="D125" s="589"/>
      <c r="E125" s="569" t="s">
        <v>252</v>
      </c>
      <c r="F125" s="689"/>
      <c r="G125" s="690"/>
      <c r="H125" s="690"/>
      <c r="I125" s="1217"/>
      <c r="J125" s="489">
        <f>SUM(K125:R125)</f>
        <v>40</v>
      </c>
      <c r="K125" s="692">
        <v>35</v>
      </c>
      <c r="L125" s="692">
        <v>5</v>
      </c>
      <c r="M125" s="692"/>
      <c r="N125" s="692"/>
      <c r="O125" s="692"/>
      <c r="P125" s="692"/>
      <c r="Q125" s="692"/>
      <c r="R125" s="693"/>
      <c r="S125" s="590"/>
      <c r="T125" s="590"/>
      <c r="U125" s="590"/>
      <c r="V125" s="590"/>
      <c r="W125" s="590"/>
      <c r="X125" s="590"/>
      <c r="Y125" s="590"/>
      <c r="Z125" s="590"/>
      <c r="AA125" s="590"/>
      <c r="AB125" s="590"/>
      <c r="AC125" s="590"/>
      <c r="AD125" s="590"/>
    </row>
    <row r="126" spans="1:30" s="591" customFormat="1" ht="19.5" customHeight="1" x14ac:dyDescent="0.3">
      <c r="A126" s="395">
        <v>119</v>
      </c>
      <c r="B126" s="468"/>
      <c r="C126" s="410"/>
      <c r="D126" s="589"/>
      <c r="E126" s="1003" t="s">
        <v>921</v>
      </c>
      <c r="F126" s="689"/>
      <c r="G126" s="690"/>
      <c r="H126" s="690"/>
      <c r="I126" s="1217"/>
      <c r="J126" s="484">
        <f>SUM(K126:R126)</f>
        <v>40</v>
      </c>
      <c r="K126" s="1077">
        <v>35</v>
      </c>
      <c r="L126" s="1077">
        <v>5</v>
      </c>
      <c r="M126" s="692"/>
      <c r="N126" s="692"/>
      <c r="O126" s="692"/>
      <c r="P126" s="692"/>
      <c r="Q126" s="692"/>
      <c r="R126" s="693"/>
      <c r="S126" s="590"/>
      <c r="T126" s="590"/>
      <c r="U126" s="590"/>
      <c r="V126" s="590"/>
      <c r="W126" s="590"/>
      <c r="X126" s="590"/>
      <c r="Y126" s="590"/>
      <c r="Z126" s="590"/>
      <c r="AA126" s="590"/>
      <c r="AB126" s="590"/>
      <c r="AC126" s="590"/>
      <c r="AD126" s="590"/>
    </row>
    <row r="127" spans="1:30" s="591" customFormat="1" ht="19.5" customHeight="1" x14ac:dyDescent="0.3">
      <c r="A127" s="395">
        <v>120</v>
      </c>
      <c r="B127" s="468"/>
      <c r="C127" s="410"/>
      <c r="D127" s="589"/>
      <c r="E127" s="1002" t="s">
        <v>973</v>
      </c>
      <c r="F127" s="689"/>
      <c r="G127" s="690"/>
      <c r="H127" s="690"/>
      <c r="I127" s="1218"/>
      <c r="J127" s="1045">
        <f>SUM(K127:R127)</f>
        <v>0</v>
      </c>
      <c r="K127" s="692"/>
      <c r="L127" s="692"/>
      <c r="M127" s="692"/>
      <c r="N127" s="692"/>
      <c r="O127" s="692"/>
      <c r="P127" s="692"/>
      <c r="Q127" s="692"/>
      <c r="R127" s="693"/>
      <c r="S127" s="590"/>
      <c r="T127" s="590"/>
      <c r="U127" s="590"/>
      <c r="V127" s="590"/>
      <c r="W127" s="590"/>
      <c r="X127" s="590"/>
      <c r="Y127" s="590"/>
      <c r="Z127" s="590"/>
      <c r="AA127" s="590"/>
      <c r="AB127" s="590"/>
      <c r="AC127" s="590"/>
      <c r="AD127" s="590"/>
    </row>
    <row r="128" spans="1:30" s="591" customFormat="1" ht="19.5" customHeight="1" x14ac:dyDescent="0.3">
      <c r="A128" s="395">
        <v>121</v>
      </c>
      <c r="B128" s="468"/>
      <c r="C128" s="410">
        <v>59</v>
      </c>
      <c r="D128" s="1874" t="s">
        <v>808</v>
      </c>
      <c r="E128" s="1874"/>
      <c r="F128" s="689"/>
      <c r="G128" s="690"/>
      <c r="H128" s="690">
        <v>46331</v>
      </c>
      <c r="I128" s="1217">
        <v>50636</v>
      </c>
      <c r="J128" s="691"/>
      <c r="K128" s="692"/>
      <c r="L128" s="692"/>
      <c r="M128" s="692"/>
      <c r="N128" s="692"/>
      <c r="O128" s="692"/>
      <c r="P128" s="692"/>
      <c r="Q128" s="692"/>
      <c r="R128" s="693"/>
      <c r="S128" s="590"/>
      <c r="T128" s="590"/>
      <c r="U128" s="590"/>
      <c r="V128" s="590"/>
      <c r="W128" s="590"/>
      <c r="X128" s="590"/>
      <c r="Y128" s="590"/>
      <c r="Z128" s="590"/>
      <c r="AA128" s="590"/>
      <c r="AB128" s="590"/>
      <c r="AC128" s="590"/>
      <c r="AD128" s="590"/>
    </row>
    <row r="129" spans="1:30" s="591" customFormat="1" ht="19.5" customHeight="1" x14ac:dyDescent="0.3">
      <c r="A129" s="395">
        <v>122</v>
      </c>
      <c r="B129" s="468"/>
      <c r="C129" s="688"/>
      <c r="D129" s="589"/>
      <c r="E129" s="569" t="s">
        <v>252</v>
      </c>
      <c r="F129" s="689"/>
      <c r="G129" s="690"/>
      <c r="H129" s="690"/>
      <c r="I129" s="1217"/>
      <c r="J129" s="489">
        <f>SUM(K129:R129)</f>
        <v>4973</v>
      </c>
      <c r="K129" s="692">
        <v>4400</v>
      </c>
      <c r="L129" s="692">
        <v>573</v>
      </c>
      <c r="M129" s="692"/>
      <c r="N129" s="692"/>
      <c r="O129" s="692"/>
      <c r="P129" s="692"/>
      <c r="Q129" s="692"/>
      <c r="R129" s="693"/>
      <c r="S129" s="590"/>
      <c r="T129" s="590"/>
      <c r="U129" s="590"/>
      <c r="V129" s="590"/>
      <c r="W129" s="590"/>
      <c r="X129" s="590"/>
      <c r="Y129" s="590"/>
      <c r="Z129" s="590"/>
      <c r="AA129" s="590"/>
      <c r="AB129" s="590"/>
      <c r="AC129" s="590"/>
      <c r="AD129" s="590"/>
    </row>
    <row r="130" spans="1:30" s="591" customFormat="1" ht="19.5" customHeight="1" x14ac:dyDescent="0.3">
      <c r="A130" s="395">
        <v>123</v>
      </c>
      <c r="B130" s="468"/>
      <c r="C130" s="688"/>
      <c r="D130" s="589"/>
      <c r="E130" s="1003" t="s">
        <v>921</v>
      </c>
      <c r="F130" s="689"/>
      <c r="G130" s="690"/>
      <c r="H130" s="690"/>
      <c r="I130" s="1217"/>
      <c r="J130" s="484">
        <f>SUM(K130:R130)</f>
        <v>4158</v>
      </c>
      <c r="K130" s="1077">
        <v>3680</v>
      </c>
      <c r="L130" s="1077">
        <v>478</v>
      </c>
      <c r="M130" s="692"/>
      <c r="N130" s="692"/>
      <c r="O130" s="692"/>
      <c r="P130" s="692"/>
      <c r="Q130" s="692"/>
      <c r="R130" s="693"/>
      <c r="S130" s="590"/>
      <c r="T130" s="590"/>
      <c r="U130" s="590"/>
      <c r="V130" s="590"/>
      <c r="W130" s="590"/>
      <c r="X130" s="590"/>
      <c r="Y130" s="590"/>
      <c r="Z130" s="590"/>
      <c r="AA130" s="590"/>
      <c r="AB130" s="590"/>
      <c r="AC130" s="590"/>
      <c r="AD130" s="590"/>
    </row>
    <row r="131" spans="1:30" s="591" customFormat="1" ht="19.5" customHeight="1" x14ac:dyDescent="0.3">
      <c r="A131" s="395">
        <v>124</v>
      </c>
      <c r="B131" s="468"/>
      <c r="C131" s="688"/>
      <c r="D131" s="589"/>
      <c r="E131" s="1002" t="s">
        <v>972</v>
      </c>
      <c r="F131" s="689"/>
      <c r="G131" s="690"/>
      <c r="H131" s="690"/>
      <c r="I131" s="1218"/>
      <c r="J131" s="1045">
        <f>SUM(K131:R131)</f>
        <v>4158</v>
      </c>
      <c r="K131" s="1180">
        <v>3680</v>
      </c>
      <c r="L131" s="1180">
        <v>478</v>
      </c>
      <c r="M131" s="692"/>
      <c r="N131" s="692"/>
      <c r="O131" s="692"/>
      <c r="P131" s="692"/>
      <c r="Q131" s="692"/>
      <c r="R131" s="693"/>
      <c r="S131" s="590"/>
      <c r="T131" s="590"/>
      <c r="U131" s="590"/>
      <c r="V131" s="590"/>
      <c r="W131" s="590"/>
      <c r="X131" s="590"/>
      <c r="Y131" s="590"/>
      <c r="Z131" s="590"/>
      <c r="AA131" s="590"/>
      <c r="AB131" s="590"/>
      <c r="AC131" s="590"/>
      <c r="AD131" s="590"/>
    </row>
    <row r="132" spans="1:30" s="591" customFormat="1" ht="30.75" customHeight="1" x14ac:dyDescent="0.3">
      <c r="A132" s="395">
        <v>125</v>
      </c>
      <c r="B132" s="468"/>
      <c r="C132" s="450">
        <v>60</v>
      </c>
      <c r="D132" s="1818" t="s">
        <v>515</v>
      </c>
      <c r="E132" s="1819"/>
      <c r="F132" s="689"/>
      <c r="G132" s="690"/>
      <c r="H132" s="690"/>
      <c r="I132" s="1217">
        <v>7754</v>
      </c>
      <c r="J132" s="691"/>
      <c r="K132" s="692"/>
      <c r="L132" s="692"/>
      <c r="M132" s="692"/>
      <c r="N132" s="692"/>
      <c r="O132" s="692"/>
      <c r="P132" s="692"/>
      <c r="Q132" s="692"/>
      <c r="R132" s="693"/>
      <c r="S132" s="590"/>
      <c r="T132" s="590"/>
      <c r="U132" s="590"/>
      <c r="V132" s="590"/>
      <c r="W132" s="590"/>
      <c r="X132" s="590"/>
      <c r="Y132" s="590"/>
      <c r="Z132" s="590"/>
      <c r="AA132" s="590"/>
      <c r="AB132" s="590"/>
      <c r="AC132" s="590"/>
      <c r="AD132" s="590"/>
    </row>
    <row r="133" spans="1:30" s="591" customFormat="1" ht="19.5" customHeight="1" x14ac:dyDescent="0.3">
      <c r="A133" s="395">
        <v>126</v>
      </c>
      <c r="B133" s="468"/>
      <c r="C133" s="410"/>
      <c r="D133" s="589"/>
      <c r="E133" s="569" t="s">
        <v>252</v>
      </c>
      <c r="F133" s="689"/>
      <c r="G133" s="690"/>
      <c r="H133" s="690"/>
      <c r="I133" s="1217"/>
      <c r="J133" s="489">
        <f>SUM(K133:R133)</f>
        <v>2207</v>
      </c>
      <c r="K133" s="692">
        <v>1953</v>
      </c>
      <c r="L133" s="692">
        <v>254</v>
      </c>
      <c r="M133" s="692"/>
      <c r="N133" s="692"/>
      <c r="O133" s="692"/>
      <c r="P133" s="692"/>
      <c r="Q133" s="692"/>
      <c r="R133" s="693"/>
      <c r="S133" s="590"/>
      <c r="T133" s="590"/>
      <c r="U133" s="590"/>
      <c r="V133" s="590"/>
      <c r="W133" s="590"/>
      <c r="X133" s="590"/>
      <c r="Y133" s="590"/>
      <c r="Z133" s="590"/>
      <c r="AA133" s="590"/>
      <c r="AB133" s="590"/>
      <c r="AC133" s="590"/>
      <c r="AD133" s="590"/>
    </row>
    <row r="134" spans="1:30" s="591" customFormat="1" ht="19.5" customHeight="1" x14ac:dyDescent="0.3">
      <c r="A134" s="395">
        <v>127</v>
      </c>
      <c r="B134" s="468"/>
      <c r="C134" s="410"/>
      <c r="D134" s="589"/>
      <c r="E134" s="1003" t="s">
        <v>921</v>
      </c>
      <c r="F134" s="689"/>
      <c r="G134" s="690"/>
      <c r="H134" s="690"/>
      <c r="I134" s="1217"/>
      <c r="J134" s="484">
        <f>SUM(K134:R134)</f>
        <v>2207</v>
      </c>
      <c r="K134" s="1077">
        <v>1953</v>
      </c>
      <c r="L134" s="1077">
        <v>254</v>
      </c>
      <c r="M134" s="692"/>
      <c r="N134" s="692"/>
      <c r="O134" s="692"/>
      <c r="P134" s="692"/>
      <c r="Q134" s="692"/>
      <c r="R134" s="693"/>
      <c r="S134" s="590"/>
      <c r="T134" s="590"/>
      <c r="U134" s="590"/>
      <c r="V134" s="590"/>
      <c r="W134" s="590"/>
      <c r="X134" s="590"/>
      <c r="Y134" s="590"/>
      <c r="Z134" s="590"/>
      <c r="AA134" s="590"/>
      <c r="AB134" s="590"/>
      <c r="AC134" s="590"/>
      <c r="AD134" s="590"/>
    </row>
    <row r="135" spans="1:30" s="591" customFormat="1" ht="19.5" customHeight="1" x14ac:dyDescent="0.3">
      <c r="A135" s="395">
        <v>128</v>
      </c>
      <c r="B135" s="468"/>
      <c r="C135" s="410"/>
      <c r="D135" s="589"/>
      <c r="E135" s="1002" t="s">
        <v>973</v>
      </c>
      <c r="F135" s="689"/>
      <c r="G135" s="690"/>
      <c r="H135" s="690"/>
      <c r="I135" s="1218"/>
      <c r="J135" s="1045">
        <f>SUM(K135:R135)</f>
        <v>1397</v>
      </c>
      <c r="K135" s="1180">
        <v>1236</v>
      </c>
      <c r="L135" s="1180">
        <v>161</v>
      </c>
      <c r="M135" s="692"/>
      <c r="N135" s="692"/>
      <c r="O135" s="692"/>
      <c r="P135" s="692"/>
      <c r="Q135" s="692"/>
      <c r="R135" s="693"/>
      <c r="S135" s="590"/>
      <c r="T135" s="590"/>
      <c r="U135" s="590"/>
      <c r="V135" s="590"/>
      <c r="W135" s="590"/>
      <c r="X135" s="590"/>
      <c r="Y135" s="590"/>
      <c r="Z135" s="590"/>
      <c r="AA135" s="590"/>
      <c r="AB135" s="590"/>
      <c r="AC135" s="590"/>
      <c r="AD135" s="590"/>
    </row>
    <row r="136" spans="1:30" s="591" customFormat="1" ht="19.5" customHeight="1" x14ac:dyDescent="0.3">
      <c r="A136" s="395">
        <v>129</v>
      </c>
      <c r="B136" s="468"/>
      <c r="C136" s="410">
        <v>61</v>
      </c>
      <c r="D136" s="1872" t="s">
        <v>636</v>
      </c>
      <c r="E136" s="1873"/>
      <c r="F136" s="689"/>
      <c r="G136" s="690"/>
      <c r="H136" s="690"/>
      <c r="I136" s="1217">
        <v>3043</v>
      </c>
      <c r="J136" s="691"/>
      <c r="K136" s="692"/>
      <c r="L136" s="692"/>
      <c r="M136" s="692"/>
      <c r="N136" s="692"/>
      <c r="O136" s="692"/>
      <c r="P136" s="692"/>
      <c r="Q136" s="692"/>
      <c r="R136" s="693"/>
      <c r="S136" s="590"/>
      <c r="T136" s="590"/>
      <c r="U136" s="590"/>
      <c r="V136" s="590"/>
      <c r="W136" s="590"/>
      <c r="X136" s="590"/>
      <c r="Y136" s="590"/>
      <c r="Z136" s="590"/>
      <c r="AA136" s="590"/>
      <c r="AB136" s="590"/>
      <c r="AC136" s="590"/>
      <c r="AD136" s="590"/>
    </row>
    <row r="137" spans="1:30" s="591" customFormat="1" ht="19.5" customHeight="1" x14ac:dyDescent="0.3">
      <c r="A137" s="395">
        <v>130</v>
      </c>
      <c r="B137" s="468"/>
      <c r="C137" s="688"/>
      <c r="D137" s="589"/>
      <c r="E137" s="569" t="s">
        <v>252</v>
      </c>
      <c r="F137" s="689"/>
      <c r="G137" s="690"/>
      <c r="H137" s="690"/>
      <c r="I137" s="1217"/>
      <c r="J137" s="489">
        <f>SUM(K137:R137)</f>
        <v>126</v>
      </c>
      <c r="K137" s="692">
        <v>111</v>
      </c>
      <c r="L137" s="692">
        <v>15</v>
      </c>
      <c r="M137" s="692"/>
      <c r="N137" s="692"/>
      <c r="O137" s="692"/>
      <c r="P137" s="692"/>
      <c r="Q137" s="692"/>
      <c r="R137" s="693"/>
      <c r="S137" s="590"/>
      <c r="T137" s="590"/>
      <c r="U137" s="590"/>
      <c r="V137" s="590"/>
      <c r="W137" s="590"/>
      <c r="X137" s="590"/>
      <c r="Y137" s="590"/>
      <c r="Z137" s="590"/>
      <c r="AA137" s="590"/>
      <c r="AB137" s="590"/>
      <c r="AC137" s="590"/>
      <c r="AD137" s="590"/>
    </row>
    <row r="138" spans="1:30" s="591" customFormat="1" ht="19.5" customHeight="1" x14ac:dyDescent="0.3">
      <c r="A138" s="395">
        <v>131</v>
      </c>
      <c r="B138" s="468"/>
      <c r="C138" s="688"/>
      <c r="D138" s="589"/>
      <c r="E138" s="1003" t="s">
        <v>921</v>
      </c>
      <c r="F138" s="689"/>
      <c r="G138" s="690"/>
      <c r="H138" s="690"/>
      <c r="I138" s="1217"/>
      <c r="J138" s="484">
        <f>SUM(K138:R138)</f>
        <v>126</v>
      </c>
      <c r="K138" s="1077">
        <v>111</v>
      </c>
      <c r="L138" s="1077">
        <v>15</v>
      </c>
      <c r="M138" s="692"/>
      <c r="N138" s="692"/>
      <c r="O138" s="692"/>
      <c r="P138" s="692"/>
      <c r="Q138" s="692"/>
      <c r="R138" s="693"/>
      <c r="S138" s="590"/>
      <c r="T138" s="590"/>
      <c r="U138" s="590"/>
      <c r="V138" s="590"/>
      <c r="W138" s="590"/>
      <c r="X138" s="590"/>
      <c r="Y138" s="590"/>
      <c r="Z138" s="590"/>
      <c r="AA138" s="590"/>
      <c r="AB138" s="590"/>
      <c r="AC138" s="590"/>
      <c r="AD138" s="590"/>
    </row>
    <row r="139" spans="1:30" s="591" customFormat="1" ht="19.5" customHeight="1" x14ac:dyDescent="0.3">
      <c r="A139" s="395">
        <v>132</v>
      </c>
      <c r="B139" s="468"/>
      <c r="C139" s="688"/>
      <c r="D139" s="589"/>
      <c r="E139" s="1002" t="s">
        <v>973</v>
      </c>
      <c r="F139" s="689"/>
      <c r="G139" s="690"/>
      <c r="H139" s="690"/>
      <c r="I139" s="1218"/>
      <c r="J139" s="1045">
        <f>SUM(K139:R139)</f>
        <v>127</v>
      </c>
      <c r="K139" s="1180">
        <v>112</v>
      </c>
      <c r="L139" s="1180">
        <v>15</v>
      </c>
      <c r="M139" s="692"/>
      <c r="N139" s="692"/>
      <c r="O139" s="692"/>
      <c r="P139" s="692"/>
      <c r="Q139" s="692"/>
      <c r="R139" s="693"/>
      <c r="S139" s="590"/>
      <c r="T139" s="590"/>
      <c r="U139" s="590"/>
      <c r="V139" s="590"/>
      <c r="W139" s="590"/>
      <c r="X139" s="590"/>
      <c r="Y139" s="590"/>
      <c r="Z139" s="590"/>
      <c r="AA139" s="590"/>
      <c r="AB139" s="590"/>
      <c r="AC139" s="590"/>
      <c r="AD139" s="590"/>
    </row>
    <row r="140" spans="1:30" s="591" customFormat="1" ht="19.5" customHeight="1" x14ac:dyDescent="0.3">
      <c r="A140" s="395">
        <v>133</v>
      </c>
      <c r="B140" s="468"/>
      <c r="C140" s="410">
        <v>62</v>
      </c>
      <c r="D140" s="1872" t="s">
        <v>638</v>
      </c>
      <c r="E140" s="1873"/>
      <c r="F140" s="689"/>
      <c r="G140" s="690"/>
      <c r="H140" s="690"/>
      <c r="I140" s="1217">
        <v>6300</v>
      </c>
      <c r="J140" s="691"/>
      <c r="K140" s="692"/>
      <c r="L140" s="692"/>
      <c r="M140" s="692"/>
      <c r="N140" s="692"/>
      <c r="O140" s="692"/>
      <c r="P140" s="692"/>
      <c r="Q140" s="692"/>
      <c r="R140" s="693"/>
      <c r="S140" s="590"/>
      <c r="T140" s="590"/>
      <c r="U140" s="590"/>
      <c r="V140" s="590"/>
      <c r="W140" s="590"/>
      <c r="X140" s="590"/>
      <c r="Y140" s="590"/>
      <c r="Z140" s="590"/>
      <c r="AA140" s="590"/>
      <c r="AB140" s="590"/>
      <c r="AC140" s="590"/>
      <c r="AD140" s="590"/>
    </row>
    <row r="141" spans="1:30" s="591" customFormat="1" ht="19.5" customHeight="1" x14ac:dyDescent="0.3">
      <c r="A141" s="395">
        <v>134</v>
      </c>
      <c r="B141" s="468"/>
      <c r="C141" s="410"/>
      <c r="D141" s="589"/>
      <c r="E141" s="569" t="s">
        <v>252</v>
      </c>
      <c r="F141" s="689"/>
      <c r="G141" s="690"/>
      <c r="H141" s="690"/>
      <c r="I141" s="1217"/>
      <c r="J141" s="489">
        <f>SUM(K141:R141)</f>
        <v>705</v>
      </c>
      <c r="K141" s="692">
        <v>625</v>
      </c>
      <c r="L141" s="692">
        <v>80</v>
      </c>
      <c r="M141" s="692"/>
      <c r="N141" s="692"/>
      <c r="O141" s="692"/>
      <c r="P141" s="692"/>
      <c r="Q141" s="692"/>
      <c r="R141" s="693"/>
      <c r="S141" s="590"/>
      <c r="T141" s="590"/>
      <c r="U141" s="590"/>
      <c r="V141" s="590"/>
      <c r="W141" s="590"/>
      <c r="X141" s="590"/>
      <c r="Y141" s="590"/>
      <c r="Z141" s="590"/>
      <c r="AA141" s="590"/>
      <c r="AB141" s="590"/>
      <c r="AC141" s="590"/>
      <c r="AD141" s="590"/>
    </row>
    <row r="142" spans="1:30" s="591" customFormat="1" ht="19.5" customHeight="1" x14ac:dyDescent="0.3">
      <c r="A142" s="395">
        <v>135</v>
      </c>
      <c r="B142" s="468"/>
      <c r="C142" s="410"/>
      <c r="D142" s="589"/>
      <c r="E142" s="1003" t="s">
        <v>921</v>
      </c>
      <c r="F142" s="689"/>
      <c r="G142" s="690"/>
      <c r="H142" s="690"/>
      <c r="I142" s="1217"/>
      <c r="J142" s="484">
        <f>SUM(K142:R142)</f>
        <v>1411</v>
      </c>
      <c r="K142" s="1077">
        <v>1249</v>
      </c>
      <c r="L142" s="1077">
        <v>162</v>
      </c>
      <c r="M142" s="692"/>
      <c r="N142" s="692"/>
      <c r="O142" s="692"/>
      <c r="P142" s="692"/>
      <c r="Q142" s="692"/>
      <c r="R142" s="693"/>
      <c r="S142" s="590"/>
      <c r="T142" s="590"/>
      <c r="U142" s="590"/>
      <c r="V142" s="590"/>
      <c r="W142" s="590"/>
      <c r="X142" s="590"/>
      <c r="Y142" s="590"/>
      <c r="Z142" s="590"/>
      <c r="AA142" s="590"/>
      <c r="AB142" s="590"/>
      <c r="AC142" s="590"/>
      <c r="AD142" s="590"/>
    </row>
    <row r="143" spans="1:30" s="591" customFormat="1" ht="19.5" customHeight="1" x14ac:dyDescent="0.3">
      <c r="A143" s="395">
        <v>136</v>
      </c>
      <c r="B143" s="468"/>
      <c r="C143" s="410"/>
      <c r="D143" s="589"/>
      <c r="E143" s="1002" t="s">
        <v>972</v>
      </c>
      <c r="F143" s="689"/>
      <c r="G143" s="690"/>
      <c r="H143" s="690"/>
      <c r="I143" s="1218"/>
      <c r="J143" s="1045">
        <f>SUM(K143:R143)</f>
        <v>1411</v>
      </c>
      <c r="K143" s="1179">
        <v>1249</v>
      </c>
      <c r="L143" s="1179">
        <v>162</v>
      </c>
      <c r="M143" s="692"/>
      <c r="N143" s="692"/>
      <c r="O143" s="692"/>
      <c r="P143" s="692"/>
      <c r="Q143" s="692"/>
      <c r="R143" s="693"/>
      <c r="S143" s="590"/>
      <c r="T143" s="590"/>
      <c r="U143" s="590"/>
      <c r="V143" s="590"/>
      <c r="W143" s="590"/>
      <c r="X143" s="590"/>
      <c r="Y143" s="590"/>
      <c r="Z143" s="590"/>
      <c r="AA143" s="590"/>
      <c r="AB143" s="590"/>
      <c r="AC143" s="590"/>
      <c r="AD143" s="590"/>
    </row>
    <row r="144" spans="1:30" s="591" customFormat="1" ht="19.5" customHeight="1" x14ac:dyDescent="0.3">
      <c r="A144" s="395">
        <v>137</v>
      </c>
      <c r="B144" s="468"/>
      <c r="C144" s="410">
        <v>64</v>
      </c>
      <c r="D144" s="1872" t="s">
        <v>665</v>
      </c>
      <c r="E144" s="1873"/>
      <c r="F144" s="689"/>
      <c r="G144" s="690"/>
      <c r="H144" s="690"/>
      <c r="I144" s="1217">
        <v>2434</v>
      </c>
      <c r="J144" s="691"/>
      <c r="K144" s="692"/>
      <c r="L144" s="692"/>
      <c r="M144" s="692"/>
      <c r="N144" s="692"/>
      <c r="O144" s="692"/>
      <c r="P144" s="692"/>
      <c r="Q144" s="692"/>
      <c r="R144" s="693"/>
      <c r="S144" s="590"/>
      <c r="T144" s="590"/>
      <c r="U144" s="590"/>
      <c r="V144" s="590"/>
      <c r="W144" s="590"/>
      <c r="X144" s="590"/>
      <c r="Y144" s="590"/>
      <c r="Z144" s="590"/>
      <c r="AA144" s="590"/>
      <c r="AB144" s="590"/>
      <c r="AC144" s="590"/>
      <c r="AD144" s="590"/>
    </row>
    <row r="145" spans="1:30" s="591" customFormat="1" ht="19.5" customHeight="1" x14ac:dyDescent="0.3">
      <c r="A145" s="395">
        <v>138</v>
      </c>
      <c r="B145" s="468"/>
      <c r="C145" s="410"/>
      <c r="D145" s="589"/>
      <c r="E145" s="569" t="s">
        <v>252</v>
      </c>
      <c r="F145" s="689"/>
      <c r="G145" s="690"/>
      <c r="H145" s="690"/>
      <c r="I145" s="1217"/>
      <c r="J145" s="489">
        <f>SUM(K145:R145)</f>
        <v>206</v>
      </c>
      <c r="K145" s="692">
        <v>141</v>
      </c>
      <c r="L145" s="692">
        <v>65</v>
      </c>
      <c r="M145" s="692"/>
      <c r="N145" s="692"/>
      <c r="O145" s="692"/>
      <c r="P145" s="692"/>
      <c r="Q145" s="692"/>
      <c r="R145" s="693"/>
      <c r="S145" s="590"/>
      <c r="T145" s="590"/>
      <c r="U145" s="590"/>
      <c r="V145" s="590"/>
      <c r="W145" s="590"/>
      <c r="X145" s="590"/>
      <c r="Y145" s="590"/>
      <c r="Z145" s="590"/>
      <c r="AA145" s="590"/>
      <c r="AB145" s="590"/>
      <c r="AC145" s="590"/>
      <c r="AD145" s="590"/>
    </row>
    <row r="146" spans="1:30" s="591" customFormat="1" ht="19.5" customHeight="1" x14ac:dyDescent="0.3">
      <c r="A146" s="395">
        <v>139</v>
      </c>
      <c r="B146" s="468"/>
      <c r="C146" s="410"/>
      <c r="D146" s="589"/>
      <c r="E146" s="1003" t="s">
        <v>921</v>
      </c>
      <c r="F146" s="479"/>
      <c r="G146" s="1398"/>
      <c r="H146" s="1398"/>
      <c r="I146" s="1217"/>
      <c r="J146" s="484">
        <f>SUM(K146:R146)</f>
        <v>566</v>
      </c>
      <c r="K146" s="1077">
        <v>501</v>
      </c>
      <c r="L146" s="1077">
        <v>65</v>
      </c>
      <c r="M146" s="692"/>
      <c r="N146" s="692"/>
      <c r="O146" s="692"/>
      <c r="P146" s="692"/>
      <c r="Q146" s="692"/>
      <c r="R146" s="693"/>
      <c r="S146" s="590"/>
      <c r="T146" s="590"/>
      <c r="U146" s="590"/>
      <c r="V146" s="590"/>
      <c r="W146" s="590"/>
      <c r="X146" s="590"/>
      <c r="Y146" s="590"/>
      <c r="Z146" s="590"/>
      <c r="AA146" s="590"/>
      <c r="AB146" s="590"/>
      <c r="AC146" s="590"/>
      <c r="AD146" s="590"/>
    </row>
    <row r="147" spans="1:30" s="591" customFormat="1" ht="19.5" customHeight="1" x14ac:dyDescent="0.3">
      <c r="A147" s="395">
        <v>140</v>
      </c>
      <c r="B147" s="468"/>
      <c r="C147" s="410"/>
      <c r="D147" s="589"/>
      <c r="E147" s="1002" t="s">
        <v>972</v>
      </c>
      <c r="F147" s="689"/>
      <c r="G147" s="690"/>
      <c r="H147" s="690"/>
      <c r="I147" s="1218"/>
      <c r="J147" s="1045">
        <f>SUM(K147:R147)</f>
        <v>566</v>
      </c>
      <c r="K147" s="1179">
        <v>501</v>
      </c>
      <c r="L147" s="1179">
        <v>65</v>
      </c>
      <c r="M147" s="692"/>
      <c r="N147" s="692"/>
      <c r="O147" s="692"/>
      <c r="P147" s="692"/>
      <c r="Q147" s="692"/>
      <c r="R147" s="693"/>
      <c r="S147" s="590"/>
      <c r="T147" s="590"/>
      <c r="U147" s="590"/>
      <c r="V147" s="590"/>
      <c r="W147" s="590"/>
      <c r="X147" s="590"/>
      <c r="Y147" s="590"/>
      <c r="Z147" s="590"/>
      <c r="AA147" s="590"/>
      <c r="AB147" s="590"/>
      <c r="AC147" s="590"/>
      <c r="AD147" s="590"/>
    </row>
    <row r="148" spans="1:30" s="591" customFormat="1" ht="19.5" customHeight="1" x14ac:dyDescent="0.3">
      <c r="A148" s="395">
        <v>141</v>
      </c>
      <c r="B148" s="468"/>
      <c r="C148" s="410">
        <v>66</v>
      </c>
      <c r="D148" s="1872" t="s">
        <v>643</v>
      </c>
      <c r="E148" s="1873"/>
      <c r="F148" s="689"/>
      <c r="G148" s="690"/>
      <c r="H148" s="690"/>
      <c r="I148" s="1219">
        <v>5227</v>
      </c>
      <c r="J148" s="1041"/>
      <c r="K148" s="692"/>
      <c r="L148" s="692"/>
      <c r="M148" s="692"/>
      <c r="N148" s="692"/>
      <c r="O148" s="692"/>
      <c r="P148" s="692"/>
      <c r="Q148" s="692"/>
      <c r="R148" s="693"/>
      <c r="S148" s="590"/>
      <c r="T148" s="590"/>
      <c r="U148" s="590"/>
      <c r="V148" s="590"/>
      <c r="W148" s="590"/>
      <c r="X148" s="590"/>
      <c r="Y148" s="590"/>
      <c r="Z148" s="590"/>
      <c r="AA148" s="590"/>
      <c r="AB148" s="590"/>
      <c r="AC148" s="590"/>
      <c r="AD148" s="590"/>
    </row>
    <row r="149" spans="1:30" s="591" customFormat="1" ht="19.5" customHeight="1" x14ac:dyDescent="0.3">
      <c r="A149" s="395">
        <v>142</v>
      </c>
      <c r="B149" s="468"/>
      <c r="C149" s="410"/>
      <c r="D149" s="589"/>
      <c r="E149" s="569" t="s">
        <v>252</v>
      </c>
      <c r="F149" s="689"/>
      <c r="G149" s="690"/>
      <c r="H149" s="690"/>
      <c r="I149" s="1219"/>
      <c r="J149" s="333">
        <f>SUM(K149:R149)</f>
        <v>50</v>
      </c>
      <c r="K149" s="692">
        <v>44</v>
      </c>
      <c r="L149" s="692">
        <v>6</v>
      </c>
      <c r="M149" s="692"/>
      <c r="N149" s="692"/>
      <c r="O149" s="692"/>
      <c r="P149" s="692"/>
      <c r="Q149" s="692"/>
      <c r="R149" s="693"/>
      <c r="S149" s="590"/>
      <c r="T149" s="590"/>
      <c r="U149" s="590"/>
      <c r="V149" s="590"/>
      <c r="W149" s="590"/>
      <c r="X149" s="590"/>
      <c r="Y149" s="590"/>
      <c r="Z149" s="590"/>
      <c r="AA149" s="590"/>
      <c r="AB149" s="590"/>
      <c r="AC149" s="590"/>
      <c r="AD149" s="590"/>
    </row>
    <row r="150" spans="1:30" s="591" customFormat="1" ht="19.5" customHeight="1" x14ac:dyDescent="0.3">
      <c r="A150" s="395">
        <v>143</v>
      </c>
      <c r="B150" s="468"/>
      <c r="C150" s="410"/>
      <c r="D150" s="589"/>
      <c r="E150" s="1003" t="s">
        <v>921</v>
      </c>
      <c r="F150" s="689"/>
      <c r="G150" s="690"/>
      <c r="H150" s="690"/>
      <c r="I150" s="1219"/>
      <c r="J150" s="333">
        <f>SUM(K150:R150)</f>
        <v>0</v>
      </c>
      <c r="K150" s="692">
        <v>0</v>
      </c>
      <c r="L150" s="692">
        <v>0</v>
      </c>
      <c r="M150" s="692"/>
      <c r="N150" s="692"/>
      <c r="O150" s="692"/>
      <c r="P150" s="692"/>
      <c r="Q150" s="692"/>
      <c r="R150" s="693"/>
      <c r="S150" s="590"/>
      <c r="T150" s="590"/>
      <c r="U150" s="590"/>
      <c r="V150" s="590"/>
      <c r="W150" s="590"/>
      <c r="X150" s="590"/>
      <c r="Y150" s="590"/>
      <c r="Z150" s="590"/>
      <c r="AA150" s="590"/>
      <c r="AB150" s="590"/>
      <c r="AC150" s="590"/>
      <c r="AD150" s="590"/>
    </row>
    <row r="151" spans="1:30" s="591" customFormat="1" ht="19.5" customHeight="1" x14ac:dyDescent="0.3">
      <c r="A151" s="395">
        <v>144</v>
      </c>
      <c r="B151" s="468"/>
      <c r="C151" s="410"/>
      <c r="D151" s="589"/>
      <c r="E151" s="1002" t="s">
        <v>972</v>
      </c>
      <c r="F151" s="689"/>
      <c r="G151" s="690"/>
      <c r="H151" s="690"/>
      <c r="I151" s="1219"/>
      <c r="J151" s="1045">
        <f>SUM(K151:R151)</f>
        <v>0</v>
      </c>
      <c r="K151" s="1179"/>
      <c r="L151" s="1179"/>
      <c r="M151" s="692"/>
      <c r="N151" s="692"/>
      <c r="O151" s="692"/>
      <c r="P151" s="692"/>
      <c r="Q151" s="692"/>
      <c r="R151" s="693"/>
      <c r="S151" s="590"/>
      <c r="T151" s="590"/>
      <c r="U151" s="590"/>
      <c r="V151" s="590"/>
      <c r="W151" s="590"/>
      <c r="X151" s="590"/>
      <c r="Y151" s="590"/>
      <c r="Z151" s="590"/>
      <c r="AA151" s="590"/>
      <c r="AB151" s="590"/>
      <c r="AC151" s="590"/>
      <c r="AD151" s="590"/>
    </row>
    <row r="152" spans="1:30" s="591" customFormat="1" ht="19.5" customHeight="1" x14ac:dyDescent="0.3">
      <c r="A152" s="395">
        <v>145</v>
      </c>
      <c r="B152" s="468"/>
      <c r="C152" s="410">
        <v>68</v>
      </c>
      <c r="D152" s="1872" t="s">
        <v>535</v>
      </c>
      <c r="E152" s="1873"/>
      <c r="F152" s="689"/>
      <c r="G152" s="690"/>
      <c r="H152" s="690"/>
      <c r="I152" s="1219">
        <v>2172</v>
      </c>
      <c r="J152" s="1041"/>
      <c r="K152" s="692"/>
      <c r="L152" s="692"/>
      <c r="M152" s="692"/>
      <c r="N152" s="692"/>
      <c r="O152" s="692"/>
      <c r="P152" s="692"/>
      <c r="Q152" s="692"/>
      <c r="R152" s="693"/>
      <c r="S152" s="590"/>
      <c r="T152" s="590"/>
      <c r="U152" s="590"/>
      <c r="V152" s="590"/>
      <c r="W152" s="590"/>
      <c r="X152" s="590"/>
      <c r="Y152" s="590"/>
      <c r="Z152" s="590"/>
      <c r="AA152" s="590"/>
      <c r="AB152" s="590"/>
      <c r="AC152" s="590"/>
      <c r="AD152" s="590"/>
    </row>
    <row r="153" spans="1:30" s="591" customFormat="1" ht="19.5" customHeight="1" x14ac:dyDescent="0.3">
      <c r="A153" s="395">
        <v>146</v>
      </c>
      <c r="B153" s="468"/>
      <c r="C153" s="410"/>
      <c r="D153" s="589"/>
      <c r="E153" s="569" t="s">
        <v>252</v>
      </c>
      <c r="F153" s="689"/>
      <c r="G153" s="690"/>
      <c r="H153" s="690"/>
      <c r="I153" s="1219"/>
      <c r="J153" s="333">
        <f>SUM(K153:R153)</f>
        <v>21</v>
      </c>
      <c r="K153" s="692">
        <v>19</v>
      </c>
      <c r="L153" s="692">
        <v>2</v>
      </c>
      <c r="M153" s="692"/>
      <c r="N153" s="692"/>
      <c r="O153" s="692"/>
      <c r="P153" s="692"/>
      <c r="Q153" s="692"/>
      <c r="R153" s="693"/>
      <c r="S153" s="590"/>
      <c r="T153" s="590"/>
      <c r="U153" s="590"/>
      <c r="V153" s="590"/>
      <c r="W153" s="590"/>
      <c r="X153" s="590"/>
      <c r="Y153" s="590"/>
      <c r="Z153" s="590"/>
      <c r="AA153" s="590"/>
      <c r="AB153" s="590"/>
      <c r="AC153" s="590"/>
      <c r="AD153" s="590"/>
    </row>
    <row r="154" spans="1:30" s="591" customFormat="1" ht="19.5" customHeight="1" x14ac:dyDescent="0.3">
      <c r="A154" s="395">
        <v>147</v>
      </c>
      <c r="B154" s="468"/>
      <c r="C154" s="410"/>
      <c r="D154" s="589"/>
      <c r="E154" s="1003" t="s">
        <v>921</v>
      </c>
      <c r="F154" s="689"/>
      <c r="G154" s="690"/>
      <c r="H154" s="690"/>
      <c r="I154" s="1219"/>
      <c r="J154" s="1046">
        <f>SUM(K154:R154)</f>
        <v>0</v>
      </c>
      <c r="K154" s="1077">
        <v>0</v>
      </c>
      <c r="L154" s="1077">
        <v>0</v>
      </c>
      <c r="M154" s="692"/>
      <c r="N154" s="692"/>
      <c r="O154" s="692"/>
      <c r="P154" s="692"/>
      <c r="Q154" s="692"/>
      <c r="R154" s="693"/>
      <c r="S154" s="590"/>
      <c r="T154" s="590"/>
      <c r="U154" s="590"/>
      <c r="V154" s="590"/>
      <c r="W154" s="590"/>
      <c r="X154" s="590"/>
      <c r="Y154" s="590"/>
      <c r="Z154" s="590"/>
      <c r="AA154" s="590"/>
      <c r="AB154" s="590"/>
      <c r="AC154" s="590"/>
      <c r="AD154" s="590"/>
    </row>
    <row r="155" spans="1:30" s="591" customFormat="1" ht="19.5" customHeight="1" x14ac:dyDescent="0.3">
      <c r="A155" s="395">
        <v>148</v>
      </c>
      <c r="B155" s="468"/>
      <c r="C155" s="410"/>
      <c r="D155" s="589"/>
      <c r="E155" s="1002" t="s">
        <v>972</v>
      </c>
      <c r="F155" s="689"/>
      <c r="G155" s="690"/>
      <c r="H155" s="690"/>
      <c r="I155" s="1219"/>
      <c r="J155" s="1045">
        <f>SUM(K155:R155)</f>
        <v>0</v>
      </c>
      <c r="K155" s="1193"/>
      <c r="L155" s="1193"/>
      <c r="M155" s="692"/>
      <c r="N155" s="692"/>
      <c r="O155" s="692"/>
      <c r="P155" s="692"/>
      <c r="Q155" s="692"/>
      <c r="R155" s="693"/>
      <c r="S155" s="590"/>
      <c r="T155" s="590"/>
      <c r="U155" s="590"/>
      <c r="V155" s="590"/>
      <c r="W155" s="590"/>
      <c r="X155" s="590"/>
      <c r="Y155" s="590"/>
      <c r="Z155" s="590"/>
      <c r="AA155" s="590"/>
      <c r="AB155" s="590"/>
      <c r="AC155" s="590"/>
      <c r="AD155" s="590"/>
    </row>
    <row r="156" spans="1:30" s="591" customFormat="1" ht="19.5" customHeight="1" x14ac:dyDescent="0.3">
      <c r="A156" s="395">
        <v>149</v>
      </c>
      <c r="B156" s="468"/>
      <c r="C156" s="410">
        <v>71</v>
      </c>
      <c r="D156" s="1872" t="s">
        <v>537</v>
      </c>
      <c r="E156" s="1873"/>
      <c r="F156" s="689"/>
      <c r="G156" s="690"/>
      <c r="H156" s="690"/>
      <c r="I156" s="1219">
        <v>7233</v>
      </c>
      <c r="J156" s="1041"/>
      <c r="K156" s="692"/>
      <c r="L156" s="692"/>
      <c r="M156" s="692"/>
      <c r="N156" s="692"/>
      <c r="O156" s="692"/>
      <c r="P156" s="692"/>
      <c r="Q156" s="692"/>
      <c r="R156" s="693"/>
      <c r="S156" s="590"/>
      <c r="T156" s="590"/>
      <c r="U156" s="590"/>
      <c r="V156" s="590"/>
      <c r="W156" s="590"/>
      <c r="X156" s="590"/>
      <c r="Y156" s="590"/>
      <c r="Z156" s="590"/>
      <c r="AA156" s="590"/>
      <c r="AB156" s="590"/>
      <c r="AC156" s="590"/>
      <c r="AD156" s="590"/>
    </row>
    <row r="157" spans="1:30" s="591" customFormat="1" ht="19.5" customHeight="1" x14ac:dyDescent="0.3">
      <c r="A157" s="395">
        <v>150</v>
      </c>
      <c r="B157" s="468"/>
      <c r="C157" s="688"/>
      <c r="D157" s="589"/>
      <c r="E157" s="569" t="s">
        <v>252</v>
      </c>
      <c r="F157" s="689"/>
      <c r="G157" s="690"/>
      <c r="H157" s="690"/>
      <c r="I157" s="1219"/>
      <c r="J157" s="333">
        <f>SUM(K157:R157)</f>
        <v>30</v>
      </c>
      <c r="K157" s="692">
        <v>26</v>
      </c>
      <c r="L157" s="692">
        <v>4</v>
      </c>
      <c r="M157" s="692"/>
      <c r="N157" s="692"/>
      <c r="O157" s="692"/>
      <c r="P157" s="692"/>
      <c r="Q157" s="692"/>
      <c r="R157" s="693"/>
      <c r="S157" s="590"/>
      <c r="T157" s="590"/>
      <c r="U157" s="590"/>
      <c r="V157" s="590"/>
      <c r="W157" s="590"/>
      <c r="X157" s="590"/>
      <c r="Y157" s="590"/>
      <c r="Z157" s="590"/>
      <c r="AA157" s="590"/>
      <c r="AB157" s="590"/>
      <c r="AC157" s="590"/>
      <c r="AD157" s="590"/>
    </row>
    <row r="158" spans="1:30" s="591" customFormat="1" ht="19.5" customHeight="1" x14ac:dyDescent="0.3">
      <c r="A158" s="395">
        <v>151</v>
      </c>
      <c r="B158" s="468"/>
      <c r="C158" s="688"/>
      <c r="D158" s="589"/>
      <c r="E158" s="1003" t="s">
        <v>921</v>
      </c>
      <c r="F158" s="689"/>
      <c r="G158" s="690"/>
      <c r="H158" s="690"/>
      <c r="I158" s="1219"/>
      <c r="J158" s="333">
        <f>SUM(K158:R158)</f>
        <v>0</v>
      </c>
      <c r="K158" s="692">
        <v>0</v>
      </c>
      <c r="L158" s="692">
        <v>0</v>
      </c>
      <c r="M158" s="692"/>
      <c r="N158" s="692"/>
      <c r="O158" s="692"/>
      <c r="P158" s="692"/>
      <c r="Q158" s="692"/>
      <c r="R158" s="693"/>
      <c r="S158" s="590"/>
      <c r="T158" s="590"/>
      <c r="U158" s="590"/>
      <c r="V158" s="590"/>
      <c r="W158" s="590"/>
      <c r="X158" s="590"/>
      <c r="Y158" s="590"/>
      <c r="Z158" s="590"/>
      <c r="AA158" s="590"/>
      <c r="AB158" s="590"/>
      <c r="AC158" s="590"/>
      <c r="AD158" s="590"/>
    </row>
    <row r="159" spans="1:30" s="591" customFormat="1" ht="19.5" customHeight="1" x14ac:dyDescent="0.3">
      <c r="A159" s="395">
        <v>152</v>
      </c>
      <c r="B159" s="468"/>
      <c r="C159" s="688"/>
      <c r="D159" s="589"/>
      <c r="E159" s="1002" t="s">
        <v>972</v>
      </c>
      <c r="F159" s="689"/>
      <c r="G159" s="690"/>
      <c r="H159" s="690"/>
      <c r="I159" s="1219"/>
      <c r="J159" s="1045">
        <f>SUM(K159:R159)</f>
        <v>0</v>
      </c>
      <c r="K159" s="1179"/>
      <c r="L159" s="1179"/>
      <c r="M159" s="692"/>
      <c r="N159" s="692"/>
      <c r="O159" s="692"/>
      <c r="P159" s="692"/>
      <c r="Q159" s="692"/>
      <c r="R159" s="693"/>
      <c r="S159" s="590"/>
      <c r="T159" s="590"/>
      <c r="U159" s="590"/>
      <c r="V159" s="590"/>
      <c r="W159" s="590"/>
      <c r="X159" s="590"/>
      <c r="Y159" s="590"/>
      <c r="Z159" s="590"/>
      <c r="AA159" s="590"/>
      <c r="AB159" s="590"/>
      <c r="AC159" s="590"/>
      <c r="AD159" s="590"/>
    </row>
    <row r="160" spans="1:30" s="591" customFormat="1" ht="19.5" customHeight="1" x14ac:dyDescent="0.3">
      <c r="A160" s="395">
        <v>153</v>
      </c>
      <c r="B160" s="468"/>
      <c r="C160" s="410">
        <v>73</v>
      </c>
      <c r="D160" s="1872" t="s">
        <v>539</v>
      </c>
      <c r="E160" s="1873"/>
      <c r="F160" s="689"/>
      <c r="G160" s="690"/>
      <c r="H160" s="690"/>
      <c r="I160" s="1219">
        <v>2010</v>
      </c>
      <c r="J160" s="1041"/>
      <c r="K160" s="692"/>
      <c r="L160" s="692"/>
      <c r="M160" s="692"/>
      <c r="N160" s="692"/>
      <c r="O160" s="692"/>
      <c r="P160" s="692"/>
      <c r="Q160" s="692"/>
      <c r="R160" s="693"/>
      <c r="S160" s="590"/>
      <c r="T160" s="590"/>
      <c r="U160" s="590"/>
      <c r="V160" s="590"/>
      <c r="W160" s="590"/>
      <c r="X160" s="590"/>
      <c r="Y160" s="590"/>
      <c r="Z160" s="590"/>
      <c r="AA160" s="590"/>
      <c r="AB160" s="590"/>
      <c r="AC160" s="590"/>
      <c r="AD160" s="590"/>
    </row>
    <row r="161" spans="1:30" s="591" customFormat="1" ht="19.5" customHeight="1" x14ac:dyDescent="0.3">
      <c r="A161" s="395">
        <v>154</v>
      </c>
      <c r="B161" s="468"/>
      <c r="C161" s="688"/>
      <c r="D161" s="589"/>
      <c r="E161" s="569" t="s">
        <v>252</v>
      </c>
      <c r="F161" s="689"/>
      <c r="G161" s="690"/>
      <c r="H161" s="690"/>
      <c r="I161" s="1219"/>
      <c r="J161" s="333">
        <f>SUM(K161:R161)</f>
        <v>27</v>
      </c>
      <c r="K161" s="692">
        <v>24</v>
      </c>
      <c r="L161" s="692">
        <v>3</v>
      </c>
      <c r="M161" s="692"/>
      <c r="N161" s="692"/>
      <c r="O161" s="692"/>
      <c r="P161" s="692"/>
      <c r="Q161" s="692"/>
      <c r="R161" s="693"/>
      <c r="S161" s="590"/>
      <c r="T161" s="590"/>
      <c r="U161" s="590"/>
      <c r="V161" s="590"/>
      <c r="W161" s="590"/>
      <c r="X161" s="590"/>
      <c r="Y161" s="590"/>
      <c r="Z161" s="590"/>
      <c r="AA161" s="590"/>
      <c r="AB161" s="590"/>
      <c r="AC161" s="590"/>
      <c r="AD161" s="590"/>
    </row>
    <row r="162" spans="1:30" s="591" customFormat="1" ht="19.5" customHeight="1" x14ac:dyDescent="0.3">
      <c r="A162" s="395">
        <v>155</v>
      </c>
      <c r="B162" s="468"/>
      <c r="C162" s="688"/>
      <c r="D162" s="589"/>
      <c r="E162" s="1003" t="s">
        <v>921</v>
      </c>
      <c r="F162" s="689"/>
      <c r="G162" s="690"/>
      <c r="H162" s="690"/>
      <c r="I162" s="1219"/>
      <c r="J162" s="1046">
        <f>SUM(K162:R162)</f>
        <v>0</v>
      </c>
      <c r="K162" s="1077">
        <v>0</v>
      </c>
      <c r="L162" s="1077">
        <v>0</v>
      </c>
      <c r="M162" s="692"/>
      <c r="N162" s="692"/>
      <c r="O162" s="692"/>
      <c r="P162" s="692"/>
      <c r="Q162" s="692"/>
      <c r="R162" s="693"/>
      <c r="S162" s="590"/>
      <c r="T162" s="590"/>
      <c r="U162" s="590"/>
      <c r="V162" s="590"/>
      <c r="W162" s="590"/>
      <c r="X162" s="590"/>
      <c r="Y162" s="590"/>
      <c r="Z162" s="590"/>
      <c r="AA162" s="590"/>
      <c r="AB162" s="590"/>
      <c r="AC162" s="590"/>
      <c r="AD162" s="590"/>
    </row>
    <row r="163" spans="1:30" s="591" customFormat="1" ht="19.5" customHeight="1" x14ac:dyDescent="0.3">
      <c r="A163" s="395">
        <v>156</v>
      </c>
      <c r="B163" s="468"/>
      <c r="C163" s="688"/>
      <c r="D163" s="589"/>
      <c r="E163" s="1002" t="s">
        <v>972</v>
      </c>
      <c r="F163" s="689"/>
      <c r="G163" s="690"/>
      <c r="H163" s="690"/>
      <c r="I163" s="1219"/>
      <c r="J163" s="1045">
        <f>SUM(K163:R163)</f>
        <v>0</v>
      </c>
      <c r="K163" s="1179"/>
      <c r="L163" s="1179"/>
      <c r="M163" s="692"/>
      <c r="N163" s="692"/>
      <c r="O163" s="692"/>
      <c r="P163" s="692"/>
      <c r="Q163" s="692"/>
      <c r="R163" s="693"/>
      <c r="S163" s="590"/>
      <c r="T163" s="590"/>
      <c r="U163" s="590"/>
      <c r="V163" s="590"/>
      <c r="W163" s="590"/>
      <c r="X163" s="590"/>
      <c r="Y163" s="590"/>
      <c r="Z163" s="590"/>
      <c r="AA163" s="590"/>
      <c r="AB163" s="590"/>
      <c r="AC163" s="590"/>
      <c r="AD163" s="590"/>
    </row>
    <row r="164" spans="1:30" s="591" customFormat="1" ht="19.5" customHeight="1" x14ac:dyDescent="0.3">
      <c r="A164" s="395">
        <v>157</v>
      </c>
      <c r="B164" s="468"/>
      <c r="C164" s="410">
        <v>75</v>
      </c>
      <c r="D164" s="1872" t="s">
        <v>657</v>
      </c>
      <c r="E164" s="1873"/>
      <c r="F164" s="689"/>
      <c r="G164" s="690"/>
      <c r="H164" s="690"/>
      <c r="I164" s="1219">
        <v>1819</v>
      </c>
      <c r="J164" s="1041"/>
      <c r="K164" s="692"/>
      <c r="L164" s="692"/>
      <c r="M164" s="692"/>
      <c r="N164" s="692"/>
      <c r="O164" s="692"/>
      <c r="P164" s="692"/>
      <c r="Q164" s="692"/>
      <c r="R164" s="693"/>
      <c r="S164" s="590"/>
      <c r="T164" s="590"/>
      <c r="U164" s="590"/>
      <c r="V164" s="590"/>
      <c r="W164" s="590"/>
      <c r="X164" s="590"/>
      <c r="Y164" s="590"/>
      <c r="Z164" s="590"/>
      <c r="AA164" s="590"/>
      <c r="AB164" s="590"/>
      <c r="AC164" s="590"/>
      <c r="AD164" s="590"/>
    </row>
    <row r="165" spans="1:30" s="591" customFormat="1" ht="19.5" customHeight="1" x14ac:dyDescent="0.3">
      <c r="A165" s="395">
        <v>158</v>
      </c>
      <c r="B165" s="468"/>
      <c r="C165" s="688"/>
      <c r="D165" s="589"/>
      <c r="E165" s="569" t="s">
        <v>252</v>
      </c>
      <c r="F165" s="689"/>
      <c r="G165" s="690"/>
      <c r="H165" s="690"/>
      <c r="I165" s="1219"/>
      <c r="J165" s="333">
        <f>SUM(K165:R165)</f>
        <v>658</v>
      </c>
      <c r="K165" s="692">
        <v>548</v>
      </c>
      <c r="L165" s="692">
        <v>110</v>
      </c>
      <c r="M165" s="692"/>
      <c r="N165" s="692"/>
      <c r="O165" s="692"/>
      <c r="P165" s="692"/>
      <c r="Q165" s="692"/>
      <c r="R165" s="693"/>
      <c r="S165" s="590"/>
      <c r="T165" s="590"/>
      <c r="U165" s="590"/>
      <c r="V165" s="590"/>
      <c r="W165" s="590"/>
      <c r="X165" s="590"/>
      <c r="Y165" s="590"/>
      <c r="Z165" s="590"/>
      <c r="AA165" s="590"/>
      <c r="AB165" s="590"/>
      <c r="AC165" s="590"/>
      <c r="AD165" s="590"/>
    </row>
    <row r="166" spans="1:30" s="591" customFormat="1" ht="19.5" customHeight="1" x14ac:dyDescent="0.3">
      <c r="A166" s="395">
        <v>159</v>
      </c>
      <c r="B166" s="468"/>
      <c r="C166" s="688"/>
      <c r="D166" s="589"/>
      <c r="E166" s="1003" t="s">
        <v>921</v>
      </c>
      <c r="F166" s="689"/>
      <c r="G166" s="690"/>
      <c r="H166" s="690"/>
      <c r="I166" s="1219"/>
      <c r="J166" s="1046">
        <f>SUM(K166:R166)</f>
        <v>958</v>
      </c>
      <c r="K166" s="1077">
        <v>848</v>
      </c>
      <c r="L166" s="1077">
        <v>110</v>
      </c>
      <c r="M166" s="692"/>
      <c r="N166" s="692"/>
      <c r="O166" s="692"/>
      <c r="P166" s="692"/>
      <c r="Q166" s="692"/>
      <c r="R166" s="693"/>
      <c r="S166" s="590"/>
      <c r="T166" s="590"/>
      <c r="U166" s="590"/>
      <c r="V166" s="590"/>
      <c r="W166" s="590"/>
      <c r="X166" s="590"/>
      <c r="Y166" s="590"/>
      <c r="Z166" s="590"/>
      <c r="AA166" s="590"/>
      <c r="AB166" s="590"/>
      <c r="AC166" s="590"/>
      <c r="AD166" s="590"/>
    </row>
    <row r="167" spans="1:30" s="591" customFormat="1" ht="19.5" customHeight="1" x14ac:dyDescent="0.3">
      <c r="A167" s="395">
        <v>160</v>
      </c>
      <c r="B167" s="468"/>
      <c r="C167" s="688"/>
      <c r="D167" s="589"/>
      <c r="E167" s="1002" t="s">
        <v>972</v>
      </c>
      <c r="F167" s="689"/>
      <c r="G167" s="690"/>
      <c r="H167" s="690"/>
      <c r="I167" s="1219"/>
      <c r="J167" s="1045">
        <f>SUM(K167:R167)</f>
        <v>958</v>
      </c>
      <c r="K167" s="1180">
        <v>848</v>
      </c>
      <c r="L167" s="1180">
        <v>110</v>
      </c>
      <c r="M167" s="692"/>
      <c r="N167" s="692"/>
      <c r="O167" s="692"/>
      <c r="P167" s="692"/>
      <c r="Q167" s="692"/>
      <c r="R167" s="693"/>
      <c r="S167" s="590"/>
      <c r="T167" s="590"/>
      <c r="U167" s="590"/>
      <c r="V167" s="590"/>
      <c r="W167" s="590"/>
      <c r="X167" s="590"/>
      <c r="Y167" s="590"/>
      <c r="Z167" s="590"/>
      <c r="AA167" s="590"/>
      <c r="AB167" s="590"/>
      <c r="AC167" s="590"/>
      <c r="AD167" s="590"/>
    </row>
    <row r="168" spans="1:30" s="591" customFormat="1" ht="44.25" customHeight="1" x14ac:dyDescent="0.3">
      <c r="A168" s="395">
        <v>161</v>
      </c>
      <c r="B168" s="468"/>
      <c r="C168" s="450">
        <v>76</v>
      </c>
      <c r="D168" s="1875" t="s">
        <v>540</v>
      </c>
      <c r="E168" s="1875"/>
      <c r="F168" s="689"/>
      <c r="G168" s="690"/>
      <c r="H168" s="690"/>
      <c r="I168" s="1217">
        <v>1366</v>
      </c>
      <c r="J168" s="691"/>
      <c r="K168" s="692"/>
      <c r="L168" s="692"/>
      <c r="M168" s="692"/>
      <c r="N168" s="692"/>
      <c r="O168" s="692"/>
      <c r="P168" s="692"/>
      <c r="Q168" s="692"/>
      <c r="R168" s="693"/>
      <c r="S168" s="590"/>
      <c r="T168" s="590"/>
      <c r="U168" s="590"/>
      <c r="V168" s="590"/>
      <c r="W168" s="590"/>
      <c r="X168" s="590"/>
      <c r="Y168" s="590"/>
      <c r="Z168" s="590"/>
      <c r="AA168" s="590"/>
      <c r="AB168" s="590"/>
      <c r="AC168" s="590"/>
      <c r="AD168" s="590"/>
    </row>
    <row r="169" spans="1:30" s="591" customFormat="1" ht="19.5" customHeight="1" x14ac:dyDescent="0.3">
      <c r="A169" s="395">
        <v>162</v>
      </c>
      <c r="B169" s="468"/>
      <c r="C169" s="410"/>
      <c r="D169" s="589"/>
      <c r="E169" s="569" t="s">
        <v>252</v>
      </c>
      <c r="F169" s="689"/>
      <c r="G169" s="690"/>
      <c r="H169" s="690"/>
      <c r="I169" s="1217"/>
      <c r="J169" s="489">
        <f>SUM(K169:R169)</f>
        <v>329</v>
      </c>
      <c r="K169" s="692">
        <v>291</v>
      </c>
      <c r="L169" s="692">
        <v>38</v>
      </c>
      <c r="M169" s="692"/>
      <c r="N169" s="692"/>
      <c r="O169" s="692"/>
      <c r="P169" s="692"/>
      <c r="Q169" s="692"/>
      <c r="R169" s="693"/>
      <c r="S169" s="590"/>
      <c r="T169" s="590"/>
      <c r="U169" s="590"/>
      <c r="V169" s="590"/>
      <c r="W169" s="590"/>
      <c r="X169" s="590"/>
      <c r="Y169" s="590"/>
      <c r="Z169" s="590"/>
      <c r="AA169" s="590"/>
      <c r="AB169" s="590"/>
      <c r="AC169" s="590"/>
      <c r="AD169" s="590"/>
    </row>
    <row r="170" spans="1:30" s="591" customFormat="1" ht="19.5" customHeight="1" x14ac:dyDescent="0.3">
      <c r="A170" s="395">
        <v>163</v>
      </c>
      <c r="B170" s="468"/>
      <c r="C170" s="410"/>
      <c r="D170" s="589"/>
      <c r="E170" s="1003" t="s">
        <v>921</v>
      </c>
      <c r="F170" s="689"/>
      <c r="G170" s="690"/>
      <c r="H170" s="690"/>
      <c r="I170" s="1217"/>
      <c r="J170" s="484">
        <f>SUM(K170:R170)</f>
        <v>3329</v>
      </c>
      <c r="K170" s="1077">
        <v>2946</v>
      </c>
      <c r="L170" s="1077">
        <v>383</v>
      </c>
      <c r="M170" s="692"/>
      <c r="N170" s="692"/>
      <c r="O170" s="692"/>
      <c r="P170" s="692"/>
      <c r="Q170" s="692"/>
      <c r="R170" s="693"/>
      <c r="S170" s="590"/>
      <c r="T170" s="590"/>
      <c r="U170" s="590"/>
      <c r="V170" s="590"/>
      <c r="W170" s="590"/>
      <c r="X170" s="590"/>
      <c r="Y170" s="590"/>
      <c r="Z170" s="590"/>
      <c r="AA170" s="590"/>
      <c r="AB170" s="590"/>
      <c r="AC170" s="590"/>
      <c r="AD170" s="590"/>
    </row>
    <row r="171" spans="1:30" s="591" customFormat="1" ht="19.5" customHeight="1" x14ac:dyDescent="0.3">
      <c r="A171" s="395">
        <v>164</v>
      </c>
      <c r="B171" s="468"/>
      <c r="C171" s="410"/>
      <c r="D171" s="589"/>
      <c r="E171" s="1002" t="s">
        <v>972</v>
      </c>
      <c r="F171" s="689"/>
      <c r="G171" s="690"/>
      <c r="H171" s="690"/>
      <c r="I171" s="1218"/>
      <c r="J171" s="1045">
        <f>SUM(K171:R171)</f>
        <v>1471</v>
      </c>
      <c r="K171" s="1180">
        <v>1302</v>
      </c>
      <c r="L171" s="1180">
        <v>169</v>
      </c>
      <c r="M171" s="692"/>
      <c r="N171" s="692"/>
      <c r="O171" s="692"/>
      <c r="P171" s="692"/>
      <c r="Q171" s="692"/>
      <c r="R171" s="693"/>
      <c r="S171" s="590"/>
      <c r="T171" s="590"/>
      <c r="U171" s="590"/>
      <c r="V171" s="590"/>
      <c r="W171" s="590"/>
      <c r="X171" s="590"/>
      <c r="Y171" s="590"/>
      <c r="Z171" s="590"/>
      <c r="AA171" s="590"/>
      <c r="AB171" s="590"/>
      <c r="AC171" s="590"/>
      <c r="AD171" s="590"/>
    </row>
    <row r="172" spans="1:30" s="591" customFormat="1" ht="60" customHeight="1" x14ac:dyDescent="0.3">
      <c r="A172" s="395">
        <v>165</v>
      </c>
      <c r="B172" s="468"/>
      <c r="C172" s="450">
        <v>77</v>
      </c>
      <c r="D172" s="1875" t="s">
        <v>541</v>
      </c>
      <c r="E172" s="1875"/>
      <c r="F172" s="689"/>
      <c r="G172" s="690"/>
      <c r="H172" s="690"/>
      <c r="I172" s="1217">
        <v>1302</v>
      </c>
      <c r="J172" s="691"/>
      <c r="K172" s="692"/>
      <c r="L172" s="692"/>
      <c r="M172" s="692"/>
      <c r="N172" s="692"/>
      <c r="O172" s="692"/>
      <c r="P172" s="692"/>
      <c r="Q172" s="692"/>
      <c r="R172" s="693"/>
      <c r="S172" s="590"/>
      <c r="T172" s="590"/>
      <c r="U172" s="590"/>
      <c r="V172" s="590"/>
      <c r="W172" s="590"/>
      <c r="X172" s="590"/>
      <c r="Y172" s="590"/>
      <c r="Z172" s="590"/>
      <c r="AA172" s="590"/>
      <c r="AB172" s="590"/>
      <c r="AC172" s="590"/>
      <c r="AD172" s="590"/>
    </row>
    <row r="173" spans="1:30" s="591" customFormat="1" ht="19.5" customHeight="1" x14ac:dyDescent="0.3">
      <c r="A173" s="395">
        <v>166</v>
      </c>
      <c r="B173" s="468"/>
      <c r="C173" s="688"/>
      <c r="D173" s="589"/>
      <c r="E173" s="569" t="s">
        <v>252</v>
      </c>
      <c r="F173" s="689"/>
      <c r="G173" s="690"/>
      <c r="H173" s="690"/>
      <c r="I173" s="1217"/>
      <c r="J173" s="489">
        <f>SUM(K173:R173)</f>
        <v>258</v>
      </c>
      <c r="K173" s="692">
        <v>228</v>
      </c>
      <c r="L173" s="692">
        <v>30</v>
      </c>
      <c r="M173" s="692"/>
      <c r="N173" s="692"/>
      <c r="O173" s="692"/>
      <c r="P173" s="692"/>
      <c r="Q173" s="692"/>
      <c r="R173" s="693"/>
      <c r="S173" s="590"/>
      <c r="T173" s="590"/>
      <c r="U173" s="590"/>
      <c r="V173" s="590"/>
      <c r="W173" s="590"/>
      <c r="X173" s="590"/>
      <c r="Y173" s="590"/>
      <c r="Z173" s="590"/>
      <c r="AA173" s="590"/>
      <c r="AB173" s="590"/>
      <c r="AC173" s="590"/>
      <c r="AD173" s="590"/>
    </row>
    <row r="174" spans="1:30" s="591" customFormat="1" ht="19.5" customHeight="1" x14ac:dyDescent="0.3">
      <c r="A174" s="395">
        <v>167</v>
      </c>
      <c r="B174" s="468"/>
      <c r="C174" s="688"/>
      <c r="D174" s="589"/>
      <c r="E174" s="1003" t="s">
        <v>921</v>
      </c>
      <c r="F174" s="689"/>
      <c r="G174" s="690"/>
      <c r="H174" s="690"/>
      <c r="I174" s="1217"/>
      <c r="J174" s="484">
        <f>SUM(K174:R174)</f>
        <v>4258</v>
      </c>
      <c r="K174" s="1077">
        <v>3768</v>
      </c>
      <c r="L174" s="1077">
        <v>490</v>
      </c>
      <c r="M174" s="692"/>
      <c r="N174" s="692"/>
      <c r="O174" s="692"/>
      <c r="P174" s="692"/>
      <c r="Q174" s="692"/>
      <c r="R174" s="693"/>
      <c r="S174" s="590"/>
      <c r="T174" s="590"/>
      <c r="U174" s="590"/>
      <c r="V174" s="590"/>
      <c r="W174" s="590"/>
      <c r="X174" s="590"/>
      <c r="Y174" s="590"/>
      <c r="Z174" s="590"/>
      <c r="AA174" s="590"/>
      <c r="AB174" s="590"/>
      <c r="AC174" s="590"/>
      <c r="AD174" s="590"/>
    </row>
    <row r="175" spans="1:30" s="591" customFormat="1" ht="19.5" customHeight="1" x14ac:dyDescent="0.3">
      <c r="A175" s="395">
        <v>168</v>
      </c>
      <c r="B175" s="468"/>
      <c r="C175" s="688"/>
      <c r="D175" s="589"/>
      <c r="E175" s="1002" t="s">
        <v>972</v>
      </c>
      <c r="F175" s="689"/>
      <c r="G175" s="690"/>
      <c r="H175" s="690"/>
      <c r="I175" s="1218"/>
      <c r="J175" s="1045">
        <f>SUM(K175:R175)</f>
        <v>1826</v>
      </c>
      <c r="K175" s="1180">
        <v>1616</v>
      </c>
      <c r="L175" s="1180">
        <v>210</v>
      </c>
      <c r="M175" s="692"/>
      <c r="N175" s="692"/>
      <c r="O175" s="692"/>
      <c r="P175" s="692"/>
      <c r="Q175" s="692"/>
      <c r="R175" s="693"/>
      <c r="S175" s="590"/>
      <c r="T175" s="590"/>
      <c r="U175" s="590"/>
      <c r="V175" s="590"/>
      <c r="W175" s="590"/>
      <c r="X175" s="590"/>
      <c r="Y175" s="590"/>
      <c r="Z175" s="590"/>
      <c r="AA175" s="590"/>
      <c r="AB175" s="590"/>
      <c r="AC175" s="590"/>
      <c r="AD175" s="590"/>
    </row>
    <row r="176" spans="1:30" s="591" customFormat="1" ht="19.5" customHeight="1" x14ac:dyDescent="0.3">
      <c r="A176" s="395">
        <v>169</v>
      </c>
      <c r="B176" s="468"/>
      <c r="C176" s="410">
        <v>79</v>
      </c>
      <c r="D176" s="1875" t="s">
        <v>663</v>
      </c>
      <c r="E176" s="1875"/>
      <c r="F176" s="689"/>
      <c r="G176" s="690"/>
      <c r="H176" s="690"/>
      <c r="I176" s="1219">
        <v>771</v>
      </c>
      <c r="J176" s="1041"/>
      <c r="K176" s="692"/>
      <c r="L176" s="692"/>
      <c r="M176" s="692"/>
      <c r="N176" s="692"/>
      <c r="O176" s="692"/>
      <c r="P176" s="692"/>
      <c r="Q176" s="692"/>
      <c r="R176" s="693"/>
      <c r="S176" s="590"/>
      <c r="T176" s="590"/>
      <c r="U176" s="590"/>
      <c r="V176" s="590"/>
      <c r="W176" s="590"/>
      <c r="X176" s="590"/>
      <c r="Y176" s="590"/>
      <c r="Z176" s="590"/>
      <c r="AA176" s="590"/>
      <c r="AB176" s="590"/>
      <c r="AC176" s="590"/>
      <c r="AD176" s="590"/>
    </row>
    <row r="177" spans="1:30" s="591" customFormat="1" ht="19.5" customHeight="1" x14ac:dyDescent="0.3">
      <c r="A177" s="395">
        <v>170</v>
      </c>
      <c r="B177" s="468"/>
      <c r="C177" s="688"/>
      <c r="D177" s="589"/>
      <c r="E177" s="569" t="s">
        <v>252</v>
      </c>
      <c r="F177" s="689"/>
      <c r="G177" s="690"/>
      <c r="H177" s="690"/>
      <c r="I177" s="1219"/>
      <c r="J177" s="333">
        <f>SUM(K177:R177)</f>
        <v>1082</v>
      </c>
      <c r="K177" s="692">
        <v>958</v>
      </c>
      <c r="L177" s="692">
        <v>124</v>
      </c>
      <c r="M177" s="692"/>
      <c r="N177" s="692"/>
      <c r="O177" s="692"/>
      <c r="P177" s="692"/>
      <c r="Q177" s="692"/>
      <c r="R177" s="693"/>
      <c r="S177" s="590"/>
      <c r="T177" s="590"/>
      <c r="U177" s="590"/>
      <c r="V177" s="590"/>
      <c r="W177" s="590"/>
      <c r="X177" s="590"/>
      <c r="Y177" s="590"/>
      <c r="Z177" s="590"/>
      <c r="AA177" s="590"/>
      <c r="AB177" s="590"/>
      <c r="AC177" s="590"/>
      <c r="AD177" s="590"/>
    </row>
    <row r="178" spans="1:30" s="591" customFormat="1" ht="19.5" customHeight="1" x14ac:dyDescent="0.3">
      <c r="A178" s="395">
        <v>171</v>
      </c>
      <c r="B178" s="468"/>
      <c r="C178" s="688"/>
      <c r="D178" s="589"/>
      <c r="E178" s="1003" t="s">
        <v>921</v>
      </c>
      <c r="F178" s="689"/>
      <c r="G178" s="690"/>
      <c r="H178" s="690"/>
      <c r="I178" s="1219"/>
      <c r="J178" s="1046">
        <f>SUM(K178:R178)</f>
        <v>1082</v>
      </c>
      <c r="K178" s="1077">
        <v>958</v>
      </c>
      <c r="L178" s="1077">
        <v>124</v>
      </c>
      <c r="M178" s="692"/>
      <c r="N178" s="692"/>
      <c r="O178" s="692"/>
      <c r="P178" s="692"/>
      <c r="Q178" s="692"/>
      <c r="R178" s="693"/>
      <c r="S178" s="590"/>
      <c r="T178" s="590"/>
      <c r="U178" s="590"/>
      <c r="V178" s="590"/>
      <c r="W178" s="590"/>
      <c r="X178" s="590"/>
      <c r="Y178" s="590"/>
      <c r="Z178" s="590"/>
      <c r="AA178" s="590"/>
      <c r="AB178" s="590"/>
      <c r="AC178" s="590"/>
      <c r="AD178" s="590"/>
    </row>
    <row r="179" spans="1:30" s="591" customFormat="1" ht="19.5" customHeight="1" x14ac:dyDescent="0.3">
      <c r="A179" s="395">
        <v>172</v>
      </c>
      <c r="B179" s="468"/>
      <c r="C179" s="688"/>
      <c r="D179" s="589"/>
      <c r="E179" s="1002" t="s">
        <v>973</v>
      </c>
      <c r="F179" s="689"/>
      <c r="G179" s="690"/>
      <c r="H179" s="690"/>
      <c r="I179" s="1219"/>
      <c r="J179" s="1045">
        <f>SUM(K179:R179)</f>
        <v>1082</v>
      </c>
      <c r="K179" s="1180">
        <v>958</v>
      </c>
      <c r="L179" s="1180">
        <v>124</v>
      </c>
      <c r="M179" s="692"/>
      <c r="N179" s="692"/>
      <c r="O179" s="692"/>
      <c r="P179" s="692"/>
      <c r="Q179" s="692"/>
      <c r="R179" s="693"/>
      <c r="S179" s="590"/>
      <c r="T179" s="590"/>
      <c r="U179" s="590"/>
      <c r="V179" s="590"/>
      <c r="W179" s="590"/>
      <c r="X179" s="590"/>
      <c r="Y179" s="590"/>
      <c r="Z179" s="590"/>
      <c r="AA179" s="590"/>
      <c r="AB179" s="590"/>
      <c r="AC179" s="590"/>
      <c r="AD179" s="590"/>
    </row>
    <row r="180" spans="1:30" s="591" customFormat="1" ht="30" customHeight="1" x14ac:dyDescent="0.3">
      <c r="A180" s="395">
        <v>173</v>
      </c>
      <c r="B180" s="468"/>
      <c r="C180" s="450">
        <v>80</v>
      </c>
      <c r="D180" s="1875" t="s">
        <v>542</v>
      </c>
      <c r="E180" s="1875"/>
      <c r="F180" s="689"/>
      <c r="G180" s="690"/>
      <c r="H180" s="690"/>
      <c r="I180" s="1219"/>
      <c r="J180" s="1041"/>
      <c r="K180" s="692"/>
      <c r="L180" s="692"/>
      <c r="M180" s="692"/>
      <c r="N180" s="692"/>
      <c r="O180" s="692"/>
      <c r="P180" s="692"/>
      <c r="Q180" s="692"/>
      <c r="R180" s="693"/>
      <c r="S180" s="590"/>
      <c r="T180" s="590"/>
      <c r="U180" s="590"/>
      <c r="V180" s="590"/>
      <c r="W180" s="590"/>
      <c r="X180" s="590"/>
      <c r="Y180" s="590"/>
      <c r="Z180" s="590"/>
      <c r="AA180" s="590"/>
      <c r="AB180" s="590"/>
      <c r="AC180" s="590"/>
      <c r="AD180" s="590"/>
    </row>
    <row r="181" spans="1:30" s="591" customFormat="1" ht="19.5" customHeight="1" x14ac:dyDescent="0.3">
      <c r="A181" s="395">
        <v>174</v>
      </c>
      <c r="B181" s="468"/>
      <c r="C181" s="688"/>
      <c r="D181" s="589"/>
      <c r="E181" s="569" t="s">
        <v>252</v>
      </c>
      <c r="F181" s="689"/>
      <c r="G181" s="690"/>
      <c r="H181" s="690"/>
      <c r="I181" s="1217"/>
      <c r="J181" s="489">
        <f>SUM(K181:R181)</f>
        <v>4550</v>
      </c>
      <c r="K181" s="692"/>
      <c r="L181" s="692"/>
      <c r="M181" s="692"/>
      <c r="N181" s="692"/>
      <c r="O181" s="692"/>
      <c r="P181" s="692">
        <v>4550</v>
      </c>
      <c r="Q181" s="692"/>
      <c r="R181" s="693"/>
      <c r="S181" s="590"/>
      <c r="T181" s="590"/>
      <c r="U181" s="590"/>
      <c r="V181" s="590"/>
      <c r="W181" s="590"/>
      <c r="X181" s="590"/>
      <c r="Y181" s="590"/>
      <c r="Z181" s="590"/>
      <c r="AA181" s="590"/>
      <c r="AB181" s="590"/>
      <c r="AC181" s="590"/>
      <c r="AD181" s="590"/>
    </row>
    <row r="182" spans="1:30" s="591" customFormat="1" ht="19.5" customHeight="1" x14ac:dyDescent="0.3">
      <c r="A182" s="395">
        <v>175</v>
      </c>
      <c r="B182" s="468"/>
      <c r="C182" s="688"/>
      <c r="D182" s="589"/>
      <c r="E182" s="1003" t="s">
        <v>921</v>
      </c>
      <c r="F182" s="689"/>
      <c r="G182" s="690"/>
      <c r="H182" s="690"/>
      <c r="I182" s="1217"/>
      <c r="J182" s="484">
        <f>SUM(K182:R182)</f>
        <v>39173</v>
      </c>
      <c r="K182" s="1077">
        <v>25281</v>
      </c>
      <c r="L182" s="1077">
        <v>3653</v>
      </c>
      <c r="M182" s="1077">
        <v>5946</v>
      </c>
      <c r="N182" s="1077"/>
      <c r="O182" s="1077"/>
      <c r="P182" s="1077">
        <v>4293</v>
      </c>
      <c r="Q182" s="692"/>
      <c r="R182" s="693"/>
      <c r="S182" s="590"/>
      <c r="T182" s="590"/>
      <c r="U182" s="590"/>
      <c r="V182" s="590"/>
      <c r="W182" s="590"/>
      <c r="X182" s="590"/>
      <c r="Y182" s="590"/>
      <c r="Z182" s="590"/>
      <c r="AA182" s="590"/>
      <c r="AB182" s="590"/>
      <c r="AC182" s="590"/>
      <c r="AD182" s="590"/>
    </row>
    <row r="183" spans="1:30" s="591" customFormat="1" ht="19.5" customHeight="1" x14ac:dyDescent="0.3">
      <c r="A183" s="395">
        <v>176</v>
      </c>
      <c r="B183" s="468"/>
      <c r="C183" s="688"/>
      <c r="D183" s="589"/>
      <c r="E183" s="1002" t="s">
        <v>972</v>
      </c>
      <c r="F183" s="689"/>
      <c r="G183" s="690"/>
      <c r="H183" s="690"/>
      <c r="I183" s="1218"/>
      <c r="J183" s="1045">
        <f>SUM(K183:R183)</f>
        <v>22729</v>
      </c>
      <c r="K183" s="1180">
        <v>15224</v>
      </c>
      <c r="L183" s="1180">
        <v>86</v>
      </c>
      <c r="M183" s="1180">
        <v>3126</v>
      </c>
      <c r="N183" s="692"/>
      <c r="O183" s="692"/>
      <c r="P183" s="1179">
        <v>4293</v>
      </c>
      <c r="Q183" s="692"/>
      <c r="R183" s="693"/>
      <c r="S183" s="590"/>
      <c r="T183" s="590"/>
      <c r="U183" s="590"/>
      <c r="V183" s="590"/>
      <c r="W183" s="590"/>
      <c r="X183" s="590"/>
      <c r="Y183" s="590"/>
      <c r="Z183" s="590"/>
      <c r="AA183" s="590"/>
      <c r="AB183" s="590"/>
      <c r="AC183" s="590"/>
      <c r="AD183" s="590"/>
    </row>
    <row r="184" spans="1:30" s="591" customFormat="1" ht="19.5" customHeight="1" x14ac:dyDescent="0.3">
      <c r="A184" s="395">
        <v>177</v>
      </c>
      <c r="B184" s="468"/>
      <c r="C184" s="450">
        <v>81</v>
      </c>
      <c r="D184" s="1875" t="s">
        <v>552</v>
      </c>
      <c r="E184" s="1875"/>
      <c r="F184" s="689"/>
      <c r="G184" s="690"/>
      <c r="H184" s="690"/>
      <c r="I184" s="1218"/>
      <c r="J184" s="1046"/>
      <c r="K184" s="692"/>
      <c r="L184" s="692"/>
      <c r="M184" s="692"/>
      <c r="N184" s="692"/>
      <c r="O184" s="692"/>
      <c r="P184" s="1077"/>
      <c r="Q184" s="692"/>
      <c r="R184" s="693"/>
      <c r="S184" s="590"/>
      <c r="T184" s="590"/>
      <c r="U184" s="590"/>
      <c r="V184" s="590"/>
      <c r="W184" s="590"/>
      <c r="X184" s="590"/>
      <c r="Y184" s="590"/>
      <c r="Z184" s="590"/>
      <c r="AA184" s="590"/>
      <c r="AB184" s="590"/>
      <c r="AC184" s="590"/>
      <c r="AD184" s="590"/>
    </row>
    <row r="185" spans="1:30" s="591" customFormat="1" ht="18" customHeight="1" x14ac:dyDescent="0.3">
      <c r="A185" s="395">
        <v>178</v>
      </c>
      <c r="B185" s="468"/>
      <c r="C185" s="1399"/>
      <c r="D185" s="1400"/>
      <c r="E185" s="1003" t="s">
        <v>921</v>
      </c>
      <c r="F185" s="689"/>
      <c r="G185" s="690"/>
      <c r="H185" s="690"/>
      <c r="I185" s="1219"/>
      <c r="J185" s="1046">
        <f>SUM(K185:R185)</f>
        <v>13217</v>
      </c>
      <c r="K185" s="1077">
        <v>11697</v>
      </c>
      <c r="L185" s="1077">
        <v>1520</v>
      </c>
      <c r="M185" s="692"/>
      <c r="N185" s="692"/>
      <c r="O185" s="692"/>
      <c r="P185" s="1077"/>
      <c r="Q185" s="692"/>
      <c r="R185" s="693"/>
      <c r="S185" s="590"/>
      <c r="T185" s="590"/>
      <c r="U185" s="590"/>
      <c r="V185" s="590"/>
      <c r="W185" s="590"/>
      <c r="X185" s="590"/>
      <c r="Y185" s="590"/>
      <c r="Z185" s="590"/>
      <c r="AA185" s="590"/>
      <c r="AB185" s="590"/>
      <c r="AC185" s="590"/>
      <c r="AD185" s="590"/>
    </row>
    <row r="186" spans="1:30" s="591" customFormat="1" ht="19.5" customHeight="1" x14ac:dyDescent="0.3">
      <c r="A186" s="395">
        <v>179</v>
      </c>
      <c r="B186" s="468"/>
      <c r="C186" s="688"/>
      <c r="D186" s="589"/>
      <c r="E186" s="1002" t="s">
        <v>972</v>
      </c>
      <c r="F186" s="689"/>
      <c r="G186" s="690"/>
      <c r="H186" s="690"/>
      <c r="I186" s="1219"/>
      <c r="J186" s="1045">
        <f>SUM(K186:R186)</f>
        <v>5544</v>
      </c>
      <c r="K186" s="1179">
        <v>4906</v>
      </c>
      <c r="L186" s="1179">
        <v>638</v>
      </c>
      <c r="M186" s="692"/>
      <c r="N186" s="692"/>
      <c r="O186" s="692"/>
      <c r="P186" s="1077"/>
      <c r="Q186" s="692"/>
      <c r="R186" s="693"/>
      <c r="S186" s="590"/>
      <c r="T186" s="590"/>
      <c r="U186" s="590"/>
      <c r="V186" s="590"/>
      <c r="W186" s="590"/>
      <c r="X186" s="590"/>
      <c r="Y186" s="590"/>
      <c r="Z186" s="590"/>
      <c r="AA186" s="590"/>
      <c r="AB186" s="590"/>
      <c r="AC186" s="590"/>
      <c r="AD186" s="590"/>
    </row>
    <row r="187" spans="1:30" s="591" customFormat="1" ht="19.5" customHeight="1" x14ac:dyDescent="0.3">
      <c r="A187" s="395">
        <v>180</v>
      </c>
      <c r="B187" s="468"/>
      <c r="C187" s="450">
        <v>82</v>
      </c>
      <c r="D187" s="1875" t="s">
        <v>553</v>
      </c>
      <c r="E187" s="1875"/>
      <c r="F187" s="689"/>
      <c r="G187" s="690"/>
      <c r="H187" s="690"/>
      <c r="I187" s="1219"/>
      <c r="J187" s="1046"/>
      <c r="K187" s="692"/>
      <c r="L187" s="692"/>
      <c r="M187" s="692"/>
      <c r="N187" s="692"/>
      <c r="O187" s="692"/>
      <c r="P187" s="1077"/>
      <c r="Q187" s="692"/>
      <c r="R187" s="693"/>
      <c r="S187" s="590"/>
      <c r="T187" s="590"/>
      <c r="U187" s="590"/>
      <c r="V187" s="590"/>
      <c r="W187" s="590"/>
      <c r="X187" s="590"/>
      <c r="Y187" s="590"/>
      <c r="Z187" s="590"/>
      <c r="AA187" s="590"/>
      <c r="AB187" s="590"/>
      <c r="AC187" s="590"/>
      <c r="AD187" s="590"/>
    </row>
    <row r="188" spans="1:30" s="591" customFormat="1" ht="18" customHeight="1" x14ac:dyDescent="0.3">
      <c r="A188" s="395">
        <v>181</v>
      </c>
      <c r="B188" s="468"/>
      <c r="C188" s="1399"/>
      <c r="D188" s="1400"/>
      <c r="E188" s="1003" t="s">
        <v>921</v>
      </c>
      <c r="F188" s="689"/>
      <c r="G188" s="690"/>
      <c r="H188" s="690"/>
      <c r="I188" s="1219"/>
      <c r="J188" s="1046">
        <f>SUM(K188:R188)</f>
        <v>9270</v>
      </c>
      <c r="K188" s="1077">
        <v>8204</v>
      </c>
      <c r="L188" s="1077">
        <v>1066</v>
      </c>
      <c r="M188" s="692"/>
      <c r="N188" s="692"/>
      <c r="O188" s="692"/>
      <c r="P188" s="1077"/>
      <c r="Q188" s="692"/>
      <c r="R188" s="693"/>
      <c r="S188" s="590"/>
      <c r="T188" s="590"/>
      <c r="U188" s="590"/>
      <c r="V188" s="590"/>
      <c r="W188" s="590"/>
      <c r="X188" s="590"/>
      <c r="Y188" s="590"/>
      <c r="Z188" s="590"/>
      <c r="AA188" s="590"/>
      <c r="AB188" s="590"/>
      <c r="AC188" s="590"/>
      <c r="AD188" s="590"/>
    </row>
    <row r="189" spans="1:30" s="591" customFormat="1" ht="19.5" customHeight="1" x14ac:dyDescent="0.3">
      <c r="A189" s="395">
        <v>182</v>
      </c>
      <c r="B189" s="468"/>
      <c r="C189" s="688"/>
      <c r="D189" s="589"/>
      <c r="E189" s="1002" t="s">
        <v>972</v>
      </c>
      <c r="F189" s="689"/>
      <c r="G189" s="690"/>
      <c r="H189" s="690"/>
      <c r="I189" s="1219"/>
      <c r="J189" s="1045">
        <f>SUM(K189:R189)</f>
        <v>2045</v>
      </c>
      <c r="K189" s="1179">
        <v>1810</v>
      </c>
      <c r="L189" s="1179">
        <v>235</v>
      </c>
      <c r="M189" s="692"/>
      <c r="N189" s="692"/>
      <c r="O189" s="692"/>
      <c r="P189" s="1077"/>
      <c r="Q189" s="692"/>
      <c r="R189" s="693"/>
      <c r="S189" s="590"/>
      <c r="T189" s="590"/>
      <c r="U189" s="590"/>
      <c r="V189" s="590"/>
      <c r="W189" s="590"/>
      <c r="X189" s="590"/>
      <c r="Y189" s="590"/>
      <c r="Z189" s="590"/>
      <c r="AA189" s="590"/>
      <c r="AB189" s="590"/>
      <c r="AC189" s="590"/>
      <c r="AD189" s="590"/>
    </row>
    <row r="190" spans="1:30" s="399" customFormat="1" ht="18" customHeight="1" x14ac:dyDescent="0.3">
      <c r="A190" s="395">
        <v>183</v>
      </c>
      <c r="B190" s="512"/>
      <c r="C190" s="410">
        <v>13</v>
      </c>
      <c r="D190" s="566" t="s">
        <v>389</v>
      </c>
      <c r="E190" s="588"/>
      <c r="F190" s="494"/>
      <c r="G190" s="539">
        <v>2802</v>
      </c>
      <c r="H190" s="539"/>
      <c r="I190" s="1209"/>
      <c r="J190" s="484"/>
      <c r="K190" s="585"/>
      <c r="L190" s="585"/>
      <c r="M190" s="583"/>
      <c r="N190" s="583"/>
      <c r="O190" s="583"/>
      <c r="P190" s="583"/>
      <c r="Q190" s="583"/>
      <c r="R190" s="584"/>
      <c r="S190" s="497"/>
      <c r="T190" s="497"/>
      <c r="U190" s="497"/>
      <c r="V190" s="497"/>
      <c r="W190" s="497"/>
      <c r="X190" s="497"/>
      <c r="Y190" s="497"/>
      <c r="Z190" s="497"/>
      <c r="AA190" s="497"/>
      <c r="AB190" s="497"/>
      <c r="AC190" s="497"/>
      <c r="AD190" s="497"/>
    </row>
    <row r="191" spans="1:30" s="399" customFormat="1" ht="19.5" customHeight="1" x14ac:dyDescent="0.3">
      <c r="A191" s="395">
        <v>184</v>
      </c>
      <c r="B191" s="512"/>
      <c r="C191" s="410">
        <v>19</v>
      </c>
      <c r="D191" s="566" t="s">
        <v>809</v>
      </c>
      <c r="E191" s="588"/>
      <c r="F191" s="587"/>
      <c r="G191" s="539">
        <v>5982</v>
      </c>
      <c r="H191" s="539">
        <v>500</v>
      </c>
      <c r="I191" s="1209">
        <v>472</v>
      </c>
      <c r="J191" s="484"/>
      <c r="K191" s="583"/>
      <c r="L191" s="583"/>
      <c r="M191" s="583"/>
      <c r="N191" s="583"/>
      <c r="O191" s="583"/>
      <c r="P191" s="583"/>
      <c r="Q191" s="583"/>
      <c r="R191" s="584"/>
      <c r="S191" s="497"/>
      <c r="T191" s="497"/>
      <c r="U191" s="497"/>
      <c r="V191" s="497"/>
      <c r="W191" s="497"/>
      <c r="X191" s="497"/>
      <c r="Y191" s="497"/>
      <c r="Z191" s="497"/>
      <c r="AA191" s="497"/>
      <c r="AB191" s="497"/>
      <c r="AC191" s="497"/>
      <c r="AD191" s="497"/>
    </row>
    <row r="192" spans="1:30" s="399" customFormat="1" ht="19.5" customHeight="1" x14ac:dyDescent="0.3">
      <c r="A192" s="395">
        <v>185</v>
      </c>
      <c r="B192" s="512"/>
      <c r="C192" s="410">
        <v>20</v>
      </c>
      <c r="D192" s="566" t="s">
        <v>394</v>
      </c>
      <c r="E192" s="588"/>
      <c r="F192" s="587"/>
      <c r="G192" s="539">
        <v>30169</v>
      </c>
      <c r="H192" s="539">
        <v>16544</v>
      </c>
      <c r="I192" s="1209">
        <v>16544</v>
      </c>
      <c r="J192" s="484"/>
      <c r="K192" s="583"/>
      <c r="L192" s="583"/>
      <c r="M192" s="583"/>
      <c r="N192" s="583"/>
      <c r="O192" s="583"/>
      <c r="P192" s="583"/>
      <c r="Q192" s="583"/>
      <c r="R192" s="584"/>
      <c r="S192" s="497"/>
      <c r="T192" s="497"/>
      <c r="U192" s="497"/>
      <c r="V192" s="497"/>
      <c r="W192" s="497"/>
      <c r="X192" s="497"/>
      <c r="Y192" s="497"/>
      <c r="Z192" s="497"/>
      <c r="AA192" s="497"/>
      <c r="AB192" s="497"/>
      <c r="AC192" s="497"/>
      <c r="AD192" s="497"/>
    </row>
    <row r="193" spans="1:30" s="451" customFormat="1" ht="30" customHeight="1" x14ac:dyDescent="0.3">
      <c r="A193" s="395">
        <v>186</v>
      </c>
      <c r="B193" s="512"/>
      <c r="C193" s="450">
        <v>21</v>
      </c>
      <c r="D193" s="1818" t="s">
        <v>395</v>
      </c>
      <c r="E193" s="1819"/>
      <c r="F193" s="494"/>
      <c r="G193" s="539">
        <v>6022</v>
      </c>
      <c r="H193" s="539">
        <v>629</v>
      </c>
      <c r="I193" s="1209">
        <v>531</v>
      </c>
      <c r="J193" s="484"/>
      <c r="K193" s="582"/>
      <c r="L193" s="582"/>
      <c r="M193" s="583"/>
      <c r="N193" s="583"/>
      <c r="O193" s="583"/>
      <c r="P193" s="583"/>
      <c r="Q193" s="583"/>
      <c r="R193" s="584"/>
      <c r="S193" s="495"/>
      <c r="T193" s="495"/>
      <c r="U193" s="495"/>
      <c r="V193" s="495"/>
      <c r="W193" s="495"/>
      <c r="X193" s="495"/>
      <c r="Y193" s="495"/>
      <c r="Z193" s="495"/>
      <c r="AA193" s="495"/>
      <c r="AB193" s="495"/>
      <c r="AC193" s="495"/>
      <c r="AD193" s="495"/>
    </row>
    <row r="194" spans="1:30" s="399" customFormat="1" ht="19.5" customHeight="1" x14ac:dyDescent="0.3">
      <c r="A194" s="395">
        <v>187</v>
      </c>
      <c r="B194" s="512"/>
      <c r="C194" s="410">
        <v>22</v>
      </c>
      <c r="D194" s="1818" t="s">
        <v>396</v>
      </c>
      <c r="E194" s="1819"/>
      <c r="F194" s="587"/>
      <c r="G194" s="539">
        <v>7197</v>
      </c>
      <c r="H194" s="539">
        <v>128</v>
      </c>
      <c r="I194" s="1209"/>
      <c r="J194" s="484"/>
      <c r="K194" s="585"/>
      <c r="L194" s="585"/>
      <c r="M194" s="583"/>
      <c r="N194" s="583"/>
      <c r="O194" s="583"/>
      <c r="P194" s="583"/>
      <c r="Q194" s="583"/>
      <c r="R194" s="584"/>
      <c r="S194" s="497"/>
      <c r="T194" s="497"/>
      <c r="U194" s="497"/>
      <c r="V194" s="497"/>
      <c r="W194" s="497"/>
      <c r="X194" s="497"/>
      <c r="Y194" s="497"/>
      <c r="Z194" s="497"/>
      <c r="AA194" s="497"/>
      <c r="AB194" s="497"/>
      <c r="AC194" s="497"/>
      <c r="AD194" s="497"/>
    </row>
    <row r="195" spans="1:30" s="399" customFormat="1" ht="19.5" customHeight="1" x14ac:dyDescent="0.3">
      <c r="A195" s="395">
        <v>188</v>
      </c>
      <c r="B195" s="512"/>
      <c r="C195" s="410">
        <v>25</v>
      </c>
      <c r="D195" s="1872" t="s">
        <v>397</v>
      </c>
      <c r="E195" s="1873"/>
      <c r="F195" s="494"/>
      <c r="G195" s="539">
        <v>5132</v>
      </c>
      <c r="H195" s="539"/>
      <c r="I195" s="1209"/>
      <c r="J195" s="484"/>
      <c r="K195" s="583"/>
      <c r="L195" s="583"/>
      <c r="M195" s="583"/>
      <c r="N195" s="583"/>
      <c r="O195" s="583"/>
      <c r="P195" s="583"/>
      <c r="Q195" s="583"/>
      <c r="R195" s="584"/>
      <c r="S195" s="497"/>
      <c r="T195" s="497"/>
      <c r="U195" s="497"/>
      <c r="V195" s="497"/>
      <c r="W195" s="497"/>
      <c r="X195" s="497"/>
      <c r="Y195" s="497"/>
      <c r="Z195" s="497"/>
      <c r="AA195" s="497"/>
      <c r="AB195" s="497"/>
      <c r="AC195" s="497"/>
      <c r="AD195" s="497"/>
    </row>
    <row r="196" spans="1:30" s="399" customFormat="1" ht="19.5" customHeight="1" x14ac:dyDescent="0.3">
      <c r="A196" s="395">
        <v>189</v>
      </c>
      <c r="B196" s="512"/>
      <c r="C196" s="410">
        <v>27</v>
      </c>
      <c r="D196" s="1872" t="s">
        <v>398</v>
      </c>
      <c r="E196" s="1873"/>
      <c r="F196" s="494"/>
      <c r="G196" s="539">
        <v>9209</v>
      </c>
      <c r="H196" s="539">
        <v>4591</v>
      </c>
      <c r="I196" s="1209">
        <v>5294</v>
      </c>
      <c r="J196" s="484"/>
      <c r="K196" s="583"/>
      <c r="L196" s="583"/>
      <c r="M196" s="583"/>
      <c r="N196" s="583"/>
      <c r="O196" s="583"/>
      <c r="P196" s="583"/>
      <c r="Q196" s="583"/>
      <c r="R196" s="584"/>
      <c r="S196" s="497"/>
      <c r="T196" s="497"/>
      <c r="U196" s="497"/>
      <c r="V196" s="497"/>
      <c r="W196" s="497"/>
      <c r="X196" s="497"/>
      <c r="Y196" s="497"/>
      <c r="Z196" s="497"/>
      <c r="AA196" s="497"/>
      <c r="AB196" s="497"/>
      <c r="AC196" s="497"/>
      <c r="AD196" s="497"/>
    </row>
    <row r="197" spans="1:30" s="399" customFormat="1" ht="19.5" customHeight="1" x14ac:dyDescent="0.3">
      <c r="A197" s="395">
        <v>190</v>
      </c>
      <c r="B197" s="512"/>
      <c r="C197" s="410">
        <v>28</v>
      </c>
      <c r="D197" s="1872" t="s">
        <v>399</v>
      </c>
      <c r="E197" s="1873"/>
      <c r="F197" s="494"/>
      <c r="G197" s="539">
        <v>15363</v>
      </c>
      <c r="H197" s="539">
        <v>6569</v>
      </c>
      <c r="I197" s="1209">
        <v>7425</v>
      </c>
      <c r="J197" s="484"/>
      <c r="K197" s="585"/>
      <c r="L197" s="585"/>
      <c r="M197" s="583"/>
      <c r="N197" s="583"/>
      <c r="O197" s="583"/>
      <c r="P197" s="583"/>
      <c r="Q197" s="583"/>
      <c r="R197" s="584"/>
      <c r="S197" s="497"/>
      <c r="T197" s="497"/>
      <c r="U197" s="497"/>
      <c r="V197" s="497"/>
      <c r="W197" s="497"/>
      <c r="X197" s="497"/>
      <c r="Y197" s="497"/>
      <c r="Z197" s="497"/>
      <c r="AA197" s="497"/>
      <c r="AB197" s="497"/>
      <c r="AC197" s="497"/>
      <c r="AD197" s="497"/>
    </row>
    <row r="198" spans="1:30" s="399" customFormat="1" ht="19.5" customHeight="1" x14ac:dyDescent="0.3">
      <c r="A198" s="395">
        <v>191</v>
      </c>
      <c r="B198" s="512"/>
      <c r="C198" s="410">
        <v>40</v>
      </c>
      <c r="D198" s="1872" t="s">
        <v>435</v>
      </c>
      <c r="E198" s="1873"/>
      <c r="F198" s="494"/>
      <c r="G198" s="539">
        <v>32606</v>
      </c>
      <c r="H198" s="539"/>
      <c r="I198" s="1209"/>
      <c r="J198" s="484"/>
      <c r="K198" s="583"/>
      <c r="L198" s="583"/>
      <c r="M198" s="583"/>
      <c r="N198" s="583"/>
      <c r="O198" s="583"/>
      <c r="P198" s="583"/>
      <c r="Q198" s="583"/>
      <c r="R198" s="584"/>
      <c r="S198" s="497"/>
      <c r="T198" s="497"/>
      <c r="U198" s="497"/>
      <c r="V198" s="497"/>
      <c r="W198" s="497"/>
      <c r="X198" s="497"/>
      <c r="Y198" s="497"/>
      <c r="Z198" s="497"/>
      <c r="AA198" s="497"/>
      <c r="AB198" s="497"/>
      <c r="AC198" s="497"/>
      <c r="AD198" s="497"/>
    </row>
    <row r="199" spans="1:30" s="399" customFormat="1" ht="19.5" customHeight="1" x14ac:dyDescent="0.3">
      <c r="A199" s="395">
        <v>192</v>
      </c>
      <c r="B199" s="512"/>
      <c r="C199" s="410">
        <v>41</v>
      </c>
      <c r="D199" s="1872" t="s">
        <v>415</v>
      </c>
      <c r="E199" s="1873"/>
      <c r="F199" s="494"/>
      <c r="G199" s="539">
        <v>2887</v>
      </c>
      <c r="H199" s="539"/>
      <c r="I199" s="1209"/>
      <c r="J199" s="484"/>
      <c r="K199" s="583"/>
      <c r="L199" s="583"/>
      <c r="M199" s="583"/>
      <c r="N199" s="583"/>
      <c r="O199" s="583"/>
      <c r="P199" s="583"/>
      <c r="Q199" s="583"/>
      <c r="R199" s="584"/>
      <c r="S199" s="497"/>
      <c r="T199" s="497"/>
      <c r="U199" s="497"/>
      <c r="V199" s="497"/>
      <c r="W199" s="497"/>
      <c r="X199" s="497"/>
      <c r="Y199" s="497"/>
      <c r="Z199" s="497"/>
      <c r="AA199" s="497"/>
      <c r="AB199" s="497"/>
      <c r="AC199" s="497"/>
      <c r="AD199" s="497"/>
    </row>
    <row r="200" spans="1:30" s="399" customFormat="1" ht="19.5" customHeight="1" x14ac:dyDescent="0.3">
      <c r="A200" s="395">
        <v>193</v>
      </c>
      <c r="B200" s="512"/>
      <c r="C200" s="410">
        <v>42</v>
      </c>
      <c r="D200" s="1872" t="s">
        <v>417</v>
      </c>
      <c r="E200" s="1873"/>
      <c r="F200" s="494"/>
      <c r="G200" s="539">
        <v>336</v>
      </c>
      <c r="H200" s="539"/>
      <c r="I200" s="1209"/>
      <c r="J200" s="484"/>
      <c r="K200" s="583"/>
      <c r="L200" s="583"/>
      <c r="M200" s="583"/>
      <c r="N200" s="583"/>
      <c r="O200" s="583"/>
      <c r="P200" s="583"/>
      <c r="Q200" s="583"/>
      <c r="R200" s="584"/>
      <c r="S200" s="497"/>
      <c r="T200" s="497"/>
      <c r="U200" s="497"/>
      <c r="V200" s="497"/>
      <c r="W200" s="497"/>
      <c r="X200" s="497"/>
      <c r="Y200" s="497"/>
      <c r="Z200" s="497"/>
      <c r="AA200" s="497"/>
      <c r="AB200" s="497"/>
      <c r="AC200" s="497"/>
      <c r="AD200" s="497"/>
    </row>
    <row r="201" spans="1:30" s="399" customFormat="1" ht="19.5" customHeight="1" x14ac:dyDescent="0.3">
      <c r="A201" s="395">
        <v>194</v>
      </c>
      <c r="B201" s="512"/>
      <c r="C201" s="410">
        <v>43</v>
      </c>
      <c r="D201" s="1872" t="s">
        <v>418</v>
      </c>
      <c r="E201" s="1873"/>
      <c r="F201" s="494"/>
      <c r="G201" s="539">
        <v>20000</v>
      </c>
      <c r="H201" s="539"/>
      <c r="I201" s="1209"/>
      <c r="J201" s="484"/>
      <c r="K201" s="583"/>
      <c r="L201" s="583"/>
      <c r="M201" s="583"/>
      <c r="N201" s="583"/>
      <c r="O201" s="583"/>
      <c r="P201" s="583"/>
      <c r="Q201" s="583"/>
      <c r="R201" s="584"/>
      <c r="S201" s="497"/>
      <c r="T201" s="497"/>
      <c r="U201" s="497"/>
      <c r="V201" s="497"/>
      <c r="W201" s="497"/>
      <c r="X201" s="497"/>
      <c r="Y201" s="497"/>
      <c r="Z201" s="497"/>
      <c r="AA201" s="497"/>
      <c r="AB201" s="497"/>
      <c r="AC201" s="497"/>
      <c r="AD201" s="497"/>
    </row>
    <row r="202" spans="1:30" s="399" customFormat="1" ht="19.5" customHeight="1" x14ac:dyDescent="0.3">
      <c r="A202" s="395">
        <v>195</v>
      </c>
      <c r="B202" s="512"/>
      <c r="C202" s="410">
        <v>44</v>
      </c>
      <c r="D202" s="1872" t="s">
        <v>419</v>
      </c>
      <c r="E202" s="1873"/>
      <c r="F202" s="494"/>
      <c r="G202" s="539">
        <v>255</v>
      </c>
      <c r="H202" s="539"/>
      <c r="I202" s="1209"/>
      <c r="J202" s="484"/>
      <c r="K202" s="583"/>
      <c r="L202" s="583"/>
      <c r="M202" s="583"/>
      <c r="N202" s="583"/>
      <c r="O202" s="583"/>
      <c r="P202" s="583"/>
      <c r="Q202" s="583"/>
      <c r="R202" s="584"/>
      <c r="S202" s="497"/>
      <c r="T202" s="497"/>
      <c r="U202" s="497"/>
      <c r="V202" s="497"/>
      <c r="W202" s="497"/>
      <c r="X202" s="497"/>
      <c r="Y202" s="497"/>
      <c r="Z202" s="497"/>
      <c r="AA202" s="497"/>
      <c r="AB202" s="497"/>
      <c r="AC202" s="497"/>
      <c r="AD202" s="497"/>
    </row>
    <row r="203" spans="1:30" s="399" customFormat="1" ht="19.5" customHeight="1" x14ac:dyDescent="0.3">
      <c r="A203" s="395">
        <v>196</v>
      </c>
      <c r="B203" s="512"/>
      <c r="C203" s="410">
        <v>45</v>
      </c>
      <c r="D203" s="1872" t="s">
        <v>420</v>
      </c>
      <c r="E203" s="1873"/>
      <c r="F203" s="494"/>
      <c r="G203" s="539">
        <v>4967</v>
      </c>
      <c r="H203" s="539">
        <v>99</v>
      </c>
      <c r="I203" s="1209">
        <v>2640</v>
      </c>
      <c r="J203" s="484"/>
      <c r="K203" s="583"/>
      <c r="L203" s="583"/>
      <c r="M203" s="583"/>
      <c r="N203" s="583"/>
      <c r="O203" s="583"/>
      <c r="P203" s="583"/>
      <c r="Q203" s="583"/>
      <c r="R203" s="584"/>
      <c r="S203" s="497"/>
      <c r="T203" s="497"/>
      <c r="U203" s="497"/>
      <c r="V203" s="497"/>
      <c r="W203" s="497"/>
      <c r="X203" s="497"/>
      <c r="Y203" s="497"/>
      <c r="Z203" s="497"/>
      <c r="AA203" s="497"/>
      <c r="AB203" s="497"/>
      <c r="AC203" s="497"/>
      <c r="AD203" s="497"/>
    </row>
    <row r="204" spans="1:30" s="591" customFormat="1" ht="19.5" customHeight="1" x14ac:dyDescent="0.3">
      <c r="A204" s="395">
        <v>197</v>
      </c>
      <c r="B204" s="468"/>
      <c r="C204" s="410">
        <v>46</v>
      </c>
      <c r="D204" s="1872" t="s">
        <v>460</v>
      </c>
      <c r="E204" s="1873"/>
      <c r="F204" s="689"/>
      <c r="G204" s="690">
        <v>1748</v>
      </c>
      <c r="H204" s="690">
        <v>1552</v>
      </c>
      <c r="I204" s="1217">
        <v>1553</v>
      </c>
      <c r="J204" s="691"/>
      <c r="K204" s="692"/>
      <c r="L204" s="692"/>
      <c r="M204" s="692"/>
      <c r="N204" s="692"/>
      <c r="O204" s="692"/>
      <c r="P204" s="692"/>
      <c r="Q204" s="692"/>
      <c r="R204" s="693"/>
      <c r="S204" s="590"/>
      <c r="T204" s="590"/>
      <c r="U204" s="590"/>
      <c r="V204" s="590"/>
      <c r="W204" s="590"/>
      <c r="X204" s="590"/>
      <c r="Y204" s="590"/>
      <c r="Z204" s="590"/>
      <c r="AA204" s="590"/>
      <c r="AB204" s="590"/>
      <c r="AC204" s="590"/>
      <c r="AD204" s="590"/>
    </row>
    <row r="205" spans="1:30" s="591" customFormat="1" ht="19.5" customHeight="1" x14ac:dyDescent="0.3">
      <c r="A205" s="395">
        <v>198</v>
      </c>
      <c r="B205" s="468"/>
      <c r="C205" s="410">
        <v>47</v>
      </c>
      <c r="D205" s="1872" t="s">
        <v>461</v>
      </c>
      <c r="E205" s="1873"/>
      <c r="F205" s="689"/>
      <c r="G205" s="690">
        <v>1345</v>
      </c>
      <c r="H205" s="690">
        <v>2020</v>
      </c>
      <c r="I205" s="1217">
        <v>4249</v>
      </c>
      <c r="J205" s="691"/>
      <c r="K205" s="692"/>
      <c r="L205" s="692"/>
      <c r="M205" s="692"/>
      <c r="N205" s="692"/>
      <c r="O205" s="692"/>
      <c r="P205" s="692"/>
      <c r="Q205" s="692"/>
      <c r="R205" s="693"/>
      <c r="S205" s="590"/>
      <c r="T205" s="590"/>
      <c r="U205" s="590"/>
      <c r="V205" s="590"/>
      <c r="W205" s="590"/>
      <c r="X205" s="590"/>
      <c r="Y205" s="590"/>
      <c r="Z205" s="590"/>
      <c r="AA205" s="590"/>
      <c r="AB205" s="590"/>
      <c r="AC205" s="590"/>
      <c r="AD205" s="590"/>
    </row>
    <row r="206" spans="1:30" s="591" customFormat="1" ht="19.5" customHeight="1" x14ac:dyDescent="0.3">
      <c r="A206" s="395">
        <v>199</v>
      </c>
      <c r="B206" s="468"/>
      <c r="C206" s="410">
        <v>48</v>
      </c>
      <c r="D206" s="1872" t="s">
        <v>462</v>
      </c>
      <c r="E206" s="1873"/>
      <c r="F206" s="689"/>
      <c r="G206" s="690">
        <v>219</v>
      </c>
      <c r="H206" s="690"/>
      <c r="I206" s="1217"/>
      <c r="J206" s="691"/>
      <c r="K206" s="692"/>
      <c r="L206" s="692"/>
      <c r="M206" s="692"/>
      <c r="N206" s="692"/>
      <c r="O206" s="692"/>
      <c r="P206" s="692"/>
      <c r="Q206" s="692"/>
      <c r="R206" s="693"/>
      <c r="S206" s="590"/>
      <c r="T206" s="590"/>
      <c r="U206" s="590"/>
      <c r="V206" s="590"/>
      <c r="W206" s="590"/>
      <c r="X206" s="590"/>
      <c r="Y206" s="590"/>
      <c r="Z206" s="590"/>
      <c r="AA206" s="590"/>
      <c r="AB206" s="590"/>
      <c r="AC206" s="590"/>
      <c r="AD206" s="590"/>
    </row>
    <row r="207" spans="1:30" s="591" customFormat="1" ht="19.5" customHeight="1" x14ac:dyDescent="0.3">
      <c r="A207" s="395">
        <v>200</v>
      </c>
      <c r="B207" s="468"/>
      <c r="C207" s="410">
        <v>49</v>
      </c>
      <c r="D207" s="1872" t="s">
        <v>810</v>
      </c>
      <c r="E207" s="1873"/>
      <c r="F207" s="689"/>
      <c r="G207" s="690">
        <v>1050</v>
      </c>
      <c r="H207" s="690">
        <v>1391</v>
      </c>
      <c r="I207" s="1217">
        <v>1433</v>
      </c>
      <c r="J207" s="691"/>
      <c r="K207" s="692"/>
      <c r="L207" s="692"/>
      <c r="M207" s="692"/>
      <c r="N207" s="692"/>
      <c r="O207" s="692"/>
      <c r="P207" s="692"/>
      <c r="Q207" s="692"/>
      <c r="R207" s="693"/>
      <c r="S207" s="590"/>
      <c r="T207" s="590"/>
      <c r="U207" s="590"/>
      <c r="V207" s="590"/>
      <c r="W207" s="590"/>
      <c r="X207" s="590"/>
      <c r="Y207" s="590"/>
      <c r="Z207" s="590"/>
      <c r="AA207" s="590"/>
      <c r="AB207" s="590"/>
      <c r="AC207" s="590"/>
      <c r="AD207" s="590"/>
    </row>
    <row r="208" spans="1:30" s="591" customFormat="1" ht="19.5" customHeight="1" x14ac:dyDescent="0.3">
      <c r="A208" s="395">
        <v>201</v>
      </c>
      <c r="B208" s="468"/>
      <c r="C208" s="410">
        <v>50</v>
      </c>
      <c r="D208" s="1872" t="s">
        <v>811</v>
      </c>
      <c r="E208" s="1873"/>
      <c r="F208" s="689"/>
      <c r="G208" s="690">
        <v>331</v>
      </c>
      <c r="H208" s="690">
        <v>364</v>
      </c>
      <c r="I208" s="1217">
        <v>365</v>
      </c>
      <c r="J208" s="691"/>
      <c r="K208" s="692"/>
      <c r="L208" s="692"/>
      <c r="M208" s="692"/>
      <c r="N208" s="692"/>
      <c r="O208" s="692"/>
      <c r="P208" s="692"/>
      <c r="Q208" s="692"/>
      <c r="R208" s="693"/>
      <c r="S208" s="590"/>
      <c r="T208" s="590"/>
      <c r="U208" s="590"/>
      <c r="V208" s="590"/>
      <c r="W208" s="590"/>
      <c r="X208" s="590"/>
      <c r="Y208" s="590"/>
      <c r="Z208" s="590"/>
      <c r="AA208" s="590"/>
      <c r="AB208" s="590"/>
      <c r="AC208" s="590"/>
      <c r="AD208" s="590"/>
    </row>
    <row r="209" spans="1:31" s="591" customFormat="1" ht="19.5" customHeight="1" x14ac:dyDescent="0.3">
      <c r="A209" s="395">
        <v>202</v>
      </c>
      <c r="B209" s="468"/>
      <c r="C209" s="410">
        <v>51</v>
      </c>
      <c r="D209" s="1872" t="s">
        <v>812</v>
      </c>
      <c r="E209" s="1873"/>
      <c r="F209" s="689"/>
      <c r="G209" s="690">
        <v>300</v>
      </c>
      <c r="H209" s="690"/>
      <c r="I209" s="1217"/>
      <c r="J209" s="691"/>
      <c r="K209" s="692"/>
      <c r="L209" s="692"/>
      <c r="M209" s="692"/>
      <c r="N209" s="692"/>
      <c r="O209" s="692"/>
      <c r="P209" s="692"/>
      <c r="Q209" s="692"/>
      <c r="R209" s="693"/>
      <c r="S209" s="590"/>
      <c r="T209" s="590"/>
      <c r="U209" s="590"/>
      <c r="V209" s="590"/>
      <c r="W209" s="590"/>
      <c r="X209" s="590"/>
      <c r="Y209" s="590"/>
      <c r="Z209" s="590"/>
      <c r="AA209" s="590"/>
      <c r="AB209" s="590"/>
      <c r="AC209" s="590"/>
      <c r="AD209" s="590"/>
    </row>
    <row r="210" spans="1:31" s="591" customFormat="1" ht="19.5" customHeight="1" x14ac:dyDescent="0.3">
      <c r="A210" s="395">
        <v>203</v>
      </c>
      <c r="B210" s="468"/>
      <c r="C210" s="410">
        <v>52</v>
      </c>
      <c r="D210" s="1872" t="s">
        <v>813</v>
      </c>
      <c r="E210" s="1873"/>
      <c r="F210" s="689"/>
      <c r="G210" s="690">
        <v>692</v>
      </c>
      <c r="H210" s="690">
        <v>908</v>
      </c>
      <c r="I210" s="1217">
        <v>908</v>
      </c>
      <c r="J210" s="691"/>
      <c r="K210" s="692"/>
      <c r="L210" s="692"/>
      <c r="M210" s="692"/>
      <c r="N210" s="692"/>
      <c r="O210" s="692"/>
      <c r="P210" s="692"/>
      <c r="Q210" s="692"/>
      <c r="R210" s="693"/>
      <c r="S210" s="590"/>
      <c r="T210" s="590"/>
      <c r="U210" s="590"/>
      <c r="V210" s="590"/>
      <c r="W210" s="590"/>
      <c r="X210" s="590"/>
      <c r="Y210" s="590"/>
      <c r="Z210" s="590"/>
      <c r="AA210" s="590"/>
      <c r="AB210" s="590"/>
      <c r="AC210" s="590"/>
      <c r="AD210" s="590"/>
    </row>
    <row r="211" spans="1:31" s="591" customFormat="1" ht="19.5" customHeight="1" x14ac:dyDescent="0.3">
      <c r="A211" s="395">
        <v>204</v>
      </c>
      <c r="B211" s="468"/>
      <c r="C211" s="410">
        <v>54</v>
      </c>
      <c r="D211" s="1872" t="s">
        <v>465</v>
      </c>
      <c r="E211" s="1873"/>
      <c r="F211" s="689"/>
      <c r="G211" s="690">
        <v>114</v>
      </c>
      <c r="H211" s="690">
        <v>833</v>
      </c>
      <c r="I211" s="1217">
        <v>803</v>
      </c>
      <c r="J211" s="691"/>
      <c r="K211" s="692"/>
      <c r="L211" s="692"/>
      <c r="M211" s="692"/>
      <c r="N211" s="692"/>
      <c r="O211" s="692"/>
      <c r="P211" s="692"/>
      <c r="Q211" s="692"/>
      <c r="R211" s="693"/>
      <c r="S211" s="590"/>
      <c r="T211" s="590"/>
      <c r="U211" s="590"/>
      <c r="V211" s="590"/>
      <c r="W211" s="590"/>
      <c r="X211" s="590"/>
      <c r="Y211" s="590"/>
      <c r="Z211" s="590"/>
      <c r="AA211" s="590"/>
      <c r="AB211" s="590"/>
      <c r="AC211" s="590"/>
      <c r="AD211" s="590"/>
    </row>
    <row r="212" spans="1:31" s="591" customFormat="1" ht="19.5" customHeight="1" x14ac:dyDescent="0.3">
      <c r="A212" s="395">
        <v>205</v>
      </c>
      <c r="B212" s="468"/>
      <c r="C212" s="410">
        <v>55</v>
      </c>
      <c r="D212" s="1872" t="s">
        <v>814</v>
      </c>
      <c r="E212" s="1873"/>
      <c r="F212" s="689"/>
      <c r="G212" s="690">
        <v>35</v>
      </c>
      <c r="H212" s="690">
        <v>730</v>
      </c>
      <c r="I212" s="1217">
        <v>730</v>
      </c>
      <c r="J212" s="691"/>
      <c r="K212" s="692"/>
      <c r="L212" s="692"/>
      <c r="M212" s="692"/>
      <c r="N212" s="692"/>
      <c r="O212" s="692"/>
      <c r="P212" s="692"/>
      <c r="Q212" s="692"/>
      <c r="R212" s="693"/>
      <c r="S212" s="590"/>
      <c r="T212" s="590"/>
      <c r="U212" s="590"/>
      <c r="V212" s="590"/>
      <c r="W212" s="590"/>
      <c r="X212" s="590"/>
      <c r="Y212" s="590"/>
      <c r="Z212" s="590"/>
      <c r="AA212" s="590"/>
      <c r="AB212" s="590"/>
      <c r="AC212" s="590"/>
      <c r="AD212" s="590"/>
    </row>
    <row r="213" spans="1:31" s="591" customFormat="1" ht="19.5" customHeight="1" x14ac:dyDescent="0.3">
      <c r="A213" s="395">
        <v>206</v>
      </c>
      <c r="B213" s="468"/>
      <c r="C213" s="410">
        <v>56</v>
      </c>
      <c r="D213" s="1872" t="s">
        <v>815</v>
      </c>
      <c r="E213" s="1873"/>
      <c r="F213" s="689"/>
      <c r="G213" s="690"/>
      <c r="H213" s="690">
        <v>1900</v>
      </c>
      <c r="I213" s="1217">
        <v>1900</v>
      </c>
      <c r="J213" s="691"/>
      <c r="K213" s="692"/>
      <c r="L213" s="692"/>
      <c r="M213" s="692"/>
      <c r="N213" s="692"/>
      <c r="O213" s="692"/>
      <c r="P213" s="692"/>
      <c r="Q213" s="692"/>
      <c r="R213" s="693"/>
      <c r="S213" s="590"/>
      <c r="T213" s="590"/>
      <c r="U213" s="590"/>
      <c r="V213" s="590"/>
      <c r="W213" s="590"/>
      <c r="X213" s="590"/>
      <c r="Y213" s="590"/>
      <c r="Z213" s="590"/>
      <c r="AA213" s="590"/>
      <c r="AB213" s="590"/>
      <c r="AC213" s="590"/>
      <c r="AD213" s="590"/>
    </row>
    <row r="214" spans="1:31" s="591" customFormat="1" ht="19.5" customHeight="1" x14ac:dyDescent="0.3">
      <c r="A214" s="395">
        <v>207</v>
      </c>
      <c r="B214" s="468"/>
      <c r="C214" s="410">
        <v>57</v>
      </c>
      <c r="D214" s="1872" t="s">
        <v>486</v>
      </c>
      <c r="E214" s="1873"/>
      <c r="F214" s="689"/>
      <c r="G214" s="690"/>
      <c r="H214" s="690">
        <v>600</v>
      </c>
      <c r="I214" s="1217">
        <v>435</v>
      </c>
      <c r="J214" s="691"/>
      <c r="K214" s="692"/>
      <c r="L214" s="692"/>
      <c r="M214" s="692"/>
      <c r="N214" s="692"/>
      <c r="O214" s="692"/>
      <c r="P214" s="692"/>
      <c r="Q214" s="692"/>
      <c r="R214" s="693"/>
      <c r="S214" s="590"/>
      <c r="T214" s="590"/>
      <c r="U214" s="590"/>
      <c r="V214" s="590"/>
      <c r="W214" s="590"/>
      <c r="X214" s="590"/>
      <c r="Y214" s="590"/>
      <c r="Z214" s="590"/>
      <c r="AA214" s="590"/>
      <c r="AB214" s="590"/>
      <c r="AC214" s="590"/>
      <c r="AD214" s="590"/>
    </row>
    <row r="215" spans="1:31" s="591" customFormat="1" ht="19.5" customHeight="1" x14ac:dyDescent="0.3">
      <c r="A215" s="395">
        <v>208</v>
      </c>
      <c r="B215" s="468"/>
      <c r="C215" s="410">
        <v>58</v>
      </c>
      <c r="D215" s="1872" t="s">
        <v>816</v>
      </c>
      <c r="E215" s="1873"/>
      <c r="F215" s="689"/>
      <c r="G215" s="690"/>
      <c r="H215" s="690">
        <v>690</v>
      </c>
      <c r="I215" s="1217">
        <v>1466</v>
      </c>
      <c r="J215" s="691"/>
      <c r="K215" s="692"/>
      <c r="L215" s="692"/>
      <c r="M215" s="692"/>
      <c r="N215" s="692"/>
      <c r="O215" s="692"/>
      <c r="P215" s="692"/>
      <c r="Q215" s="692"/>
      <c r="R215" s="693"/>
      <c r="S215" s="590"/>
      <c r="T215" s="590"/>
      <c r="U215" s="590"/>
      <c r="V215" s="590"/>
      <c r="W215" s="590"/>
      <c r="X215" s="590"/>
      <c r="Y215" s="590"/>
      <c r="Z215" s="590"/>
      <c r="AA215" s="590"/>
      <c r="AB215" s="590"/>
      <c r="AC215" s="590"/>
      <c r="AD215" s="590"/>
    </row>
    <row r="216" spans="1:31" s="591" customFormat="1" ht="19.5" customHeight="1" x14ac:dyDescent="0.3">
      <c r="A216" s="395">
        <v>209</v>
      </c>
      <c r="B216" s="468"/>
      <c r="C216" s="410">
        <v>63</v>
      </c>
      <c r="D216" s="1872" t="s">
        <v>640</v>
      </c>
      <c r="E216" s="1873"/>
      <c r="F216" s="689"/>
      <c r="G216" s="690"/>
      <c r="H216" s="690"/>
      <c r="I216" s="1217">
        <v>1950</v>
      </c>
      <c r="J216" s="691"/>
      <c r="K216" s="692"/>
      <c r="L216" s="692"/>
      <c r="M216" s="692"/>
      <c r="N216" s="692"/>
      <c r="O216" s="692"/>
      <c r="P216" s="692"/>
      <c r="Q216" s="692"/>
      <c r="R216" s="693"/>
      <c r="S216" s="590"/>
      <c r="T216" s="590"/>
      <c r="U216" s="590"/>
      <c r="V216" s="590"/>
      <c r="W216" s="590"/>
      <c r="X216" s="590"/>
      <c r="Y216" s="590"/>
      <c r="Z216" s="590"/>
      <c r="AA216" s="590"/>
      <c r="AB216" s="590"/>
      <c r="AC216" s="590"/>
      <c r="AD216" s="590"/>
    </row>
    <row r="217" spans="1:31" s="591" customFormat="1" ht="19.5" customHeight="1" x14ac:dyDescent="0.3">
      <c r="A217" s="395">
        <v>210</v>
      </c>
      <c r="B217" s="468"/>
      <c r="C217" s="410">
        <v>65</v>
      </c>
      <c r="D217" s="1872" t="s">
        <v>835</v>
      </c>
      <c r="E217" s="1873"/>
      <c r="F217" s="689"/>
      <c r="G217" s="690"/>
      <c r="H217" s="690"/>
      <c r="I217" s="1217">
        <v>1000</v>
      </c>
      <c r="J217" s="691"/>
      <c r="K217" s="692"/>
      <c r="L217" s="692"/>
      <c r="M217" s="692"/>
      <c r="N217" s="692"/>
      <c r="O217" s="692"/>
      <c r="P217" s="692"/>
      <c r="Q217" s="692"/>
      <c r="R217" s="693"/>
      <c r="S217" s="590"/>
      <c r="T217" s="590"/>
      <c r="U217" s="590"/>
      <c r="V217" s="590"/>
      <c r="W217" s="590"/>
      <c r="X217" s="590"/>
      <c r="Y217" s="590"/>
      <c r="Z217" s="590"/>
      <c r="AA217" s="590"/>
      <c r="AB217" s="590"/>
      <c r="AC217" s="590"/>
      <c r="AD217" s="590"/>
    </row>
    <row r="218" spans="1:31" s="591" customFormat="1" ht="19.5" customHeight="1" x14ac:dyDescent="0.3">
      <c r="A218" s="395">
        <v>211</v>
      </c>
      <c r="B218" s="468"/>
      <c r="C218" s="410">
        <v>67</v>
      </c>
      <c r="D218" s="1872" t="s">
        <v>643</v>
      </c>
      <c r="E218" s="1873"/>
      <c r="F218" s="689"/>
      <c r="G218" s="690"/>
      <c r="H218" s="690"/>
      <c r="I218" s="1217">
        <v>129</v>
      </c>
      <c r="J218" s="691"/>
      <c r="K218" s="692"/>
      <c r="L218" s="692"/>
      <c r="M218" s="692"/>
      <c r="N218" s="692"/>
      <c r="O218" s="692"/>
      <c r="P218" s="692"/>
      <c r="Q218" s="692"/>
      <c r="R218" s="693"/>
      <c r="S218" s="590"/>
      <c r="T218" s="590"/>
      <c r="U218" s="590"/>
      <c r="V218" s="590"/>
      <c r="W218" s="590"/>
      <c r="X218" s="590"/>
      <c r="Y218" s="590"/>
      <c r="Z218" s="590"/>
      <c r="AA218" s="590"/>
      <c r="AB218" s="590"/>
      <c r="AC218" s="590"/>
      <c r="AD218" s="590"/>
    </row>
    <row r="219" spans="1:31" s="591" customFormat="1" ht="19.5" customHeight="1" x14ac:dyDescent="0.3">
      <c r="A219" s="395">
        <v>212</v>
      </c>
      <c r="B219" s="468"/>
      <c r="C219" s="410">
        <v>69</v>
      </c>
      <c r="D219" s="1872" t="s">
        <v>536</v>
      </c>
      <c r="E219" s="1873"/>
      <c r="F219" s="689"/>
      <c r="G219" s="690"/>
      <c r="H219" s="690"/>
      <c r="I219" s="1217">
        <v>1075</v>
      </c>
      <c r="J219" s="691"/>
      <c r="K219" s="692"/>
      <c r="L219" s="692"/>
      <c r="M219" s="692"/>
      <c r="N219" s="692"/>
      <c r="O219" s="692"/>
      <c r="P219" s="692"/>
      <c r="Q219" s="692"/>
      <c r="R219" s="693"/>
      <c r="S219" s="590"/>
      <c r="T219" s="590"/>
      <c r="U219" s="590"/>
      <c r="V219" s="590"/>
      <c r="W219" s="590"/>
      <c r="X219" s="590"/>
      <c r="Y219" s="590"/>
      <c r="Z219" s="590"/>
      <c r="AA219" s="590"/>
      <c r="AB219" s="590"/>
      <c r="AC219" s="590"/>
      <c r="AD219" s="590"/>
    </row>
    <row r="220" spans="1:31" s="591" customFormat="1" ht="19.5" customHeight="1" x14ac:dyDescent="0.3">
      <c r="A220" s="395">
        <v>213</v>
      </c>
      <c r="B220" s="468"/>
      <c r="C220" s="410">
        <v>72</v>
      </c>
      <c r="D220" s="1872" t="s">
        <v>538</v>
      </c>
      <c r="E220" s="1873"/>
      <c r="F220" s="689"/>
      <c r="G220" s="690"/>
      <c r="H220" s="690"/>
      <c r="I220" s="1217">
        <v>1035</v>
      </c>
      <c r="J220" s="691"/>
      <c r="K220" s="692"/>
      <c r="L220" s="692"/>
      <c r="M220" s="692"/>
      <c r="N220" s="692"/>
      <c r="O220" s="692"/>
      <c r="P220" s="692"/>
      <c r="Q220" s="692"/>
      <c r="R220" s="693"/>
      <c r="S220" s="590"/>
      <c r="T220" s="590"/>
      <c r="U220" s="590"/>
      <c r="V220" s="590"/>
      <c r="W220" s="590"/>
      <c r="X220" s="590"/>
      <c r="Y220" s="590"/>
      <c r="Z220" s="590"/>
      <c r="AA220" s="590"/>
      <c r="AB220" s="590"/>
      <c r="AC220" s="590"/>
      <c r="AD220" s="590"/>
    </row>
    <row r="221" spans="1:31" s="591" customFormat="1" ht="19.5" customHeight="1" x14ac:dyDescent="0.3">
      <c r="A221" s="395">
        <v>214</v>
      </c>
      <c r="B221" s="468"/>
      <c r="C221" s="410">
        <v>74</v>
      </c>
      <c r="D221" s="1872" t="s">
        <v>464</v>
      </c>
      <c r="E221" s="1873"/>
      <c r="F221" s="689"/>
      <c r="G221" s="690"/>
      <c r="H221" s="690"/>
      <c r="I221" s="1217">
        <v>175</v>
      </c>
      <c r="J221" s="691"/>
      <c r="K221" s="692"/>
      <c r="L221" s="692"/>
      <c r="M221" s="692"/>
      <c r="N221" s="692"/>
      <c r="O221" s="692"/>
      <c r="P221" s="692"/>
      <c r="Q221" s="692"/>
      <c r="R221" s="693"/>
      <c r="S221" s="590"/>
      <c r="T221" s="590"/>
      <c r="U221" s="590"/>
      <c r="V221" s="590"/>
      <c r="W221" s="590"/>
      <c r="X221" s="590"/>
      <c r="Y221" s="590"/>
      <c r="Z221" s="590"/>
      <c r="AA221" s="590"/>
      <c r="AB221" s="590"/>
      <c r="AC221" s="590"/>
      <c r="AD221" s="590"/>
    </row>
    <row r="222" spans="1:31" s="591" customFormat="1" ht="19.5" customHeight="1" thickBot="1" x14ac:dyDescent="0.35">
      <c r="A222" s="395">
        <v>215</v>
      </c>
      <c r="B222" s="468"/>
      <c r="C222" s="410">
        <v>78</v>
      </c>
      <c r="D222" s="1875" t="s">
        <v>661</v>
      </c>
      <c r="E222" s="1875"/>
      <c r="F222" s="689"/>
      <c r="G222" s="690"/>
      <c r="H222" s="690"/>
      <c r="I222" s="1217">
        <v>2208</v>
      </c>
      <c r="J222" s="691"/>
      <c r="K222" s="692"/>
      <c r="L222" s="692"/>
      <c r="M222" s="692"/>
      <c r="N222" s="692"/>
      <c r="O222" s="692"/>
      <c r="P222" s="692"/>
      <c r="Q222" s="692"/>
      <c r="R222" s="693"/>
      <c r="S222" s="590"/>
      <c r="T222" s="590"/>
      <c r="U222" s="590"/>
      <c r="V222" s="590"/>
      <c r="W222" s="590"/>
      <c r="X222" s="590"/>
      <c r="Y222" s="590"/>
      <c r="Z222" s="590"/>
      <c r="AA222" s="590"/>
      <c r="AB222" s="590"/>
      <c r="AC222" s="590"/>
      <c r="AD222" s="590"/>
    </row>
    <row r="223" spans="1:31" s="451" customFormat="1" ht="22.5" customHeight="1" thickTop="1" x14ac:dyDescent="0.3">
      <c r="A223" s="395">
        <v>216</v>
      </c>
      <c r="B223" s="592"/>
      <c r="C223" s="1836" t="s">
        <v>330</v>
      </c>
      <c r="D223" s="1837"/>
      <c r="E223" s="1838"/>
      <c r="F223" s="593"/>
      <c r="G223" s="501">
        <f>SUM(G109:G222)-G114</f>
        <v>1858902</v>
      </c>
      <c r="H223" s="501">
        <f>SUM(H109:H222)-H114</f>
        <v>2293390</v>
      </c>
      <c r="I223" s="501">
        <f>SUM(I109:I222)-I114</f>
        <v>2164505</v>
      </c>
      <c r="J223" s="502"/>
      <c r="K223" s="528"/>
      <c r="L223" s="528"/>
      <c r="M223" s="528"/>
      <c r="N223" s="528"/>
      <c r="O223" s="528"/>
      <c r="P223" s="528"/>
      <c r="Q223" s="528"/>
      <c r="R223" s="529"/>
      <c r="S223" s="495"/>
      <c r="T223" s="495"/>
      <c r="U223" s="495"/>
      <c r="V223" s="495"/>
      <c r="W223" s="495"/>
      <c r="X223" s="495"/>
      <c r="Y223" s="495"/>
      <c r="Z223" s="495"/>
      <c r="AA223" s="495"/>
      <c r="AB223" s="495"/>
      <c r="AC223" s="495"/>
      <c r="AD223" s="495"/>
      <c r="AE223" s="495"/>
    </row>
    <row r="224" spans="1:31" s="421" customFormat="1" ht="18" customHeight="1" x14ac:dyDescent="0.3">
      <c r="A224" s="395">
        <v>217</v>
      </c>
      <c r="B224" s="416"/>
      <c r="C224" s="445"/>
      <c r="D224" s="1060"/>
      <c r="E224" s="1079" t="s">
        <v>252</v>
      </c>
      <c r="F224" s="1080"/>
      <c r="G224" s="1061"/>
      <c r="H224" s="1061"/>
      <c r="I224" s="1208"/>
      <c r="J224" s="517">
        <f>SUM(K224:R224)</f>
        <v>2584822</v>
      </c>
      <c r="K224" s="1081">
        <f t="shared" ref="K224:R224" si="12">SUM(K111,K117,K121,K125,K129,K133,K137,K141,K145,K149,K153,K157,K161,K165,K169,K173,K177,K181)</f>
        <v>1767184</v>
      </c>
      <c r="L224" s="1081">
        <f t="shared" si="12"/>
        <v>264753</v>
      </c>
      <c r="M224" s="1081">
        <f t="shared" si="12"/>
        <v>454735</v>
      </c>
      <c r="N224" s="1081">
        <f t="shared" si="12"/>
        <v>0</v>
      </c>
      <c r="O224" s="1081">
        <f t="shared" si="12"/>
        <v>0</v>
      </c>
      <c r="P224" s="1081">
        <f t="shared" si="12"/>
        <v>98150</v>
      </c>
      <c r="Q224" s="1081">
        <f t="shared" si="12"/>
        <v>0</v>
      </c>
      <c r="R224" s="1082">
        <f t="shared" si="12"/>
        <v>0</v>
      </c>
      <c r="S224" s="492"/>
      <c r="T224" s="492"/>
      <c r="U224" s="492"/>
      <c r="V224" s="492"/>
      <c r="W224" s="492"/>
      <c r="X224" s="492"/>
      <c r="Y224" s="492"/>
      <c r="Z224" s="492"/>
      <c r="AA224" s="492"/>
      <c r="AB224" s="492"/>
      <c r="AC224" s="492"/>
      <c r="AD224" s="492"/>
      <c r="AE224" s="492"/>
    </row>
    <row r="225" spans="1:31" s="421" customFormat="1" ht="18" customHeight="1" x14ac:dyDescent="0.3">
      <c r="A225" s="395">
        <v>218</v>
      </c>
      <c r="B225" s="1078"/>
      <c r="C225" s="445"/>
      <c r="D225" s="1060"/>
      <c r="E225" s="1003" t="s">
        <v>921</v>
      </c>
      <c r="F225" s="1080"/>
      <c r="G225" s="1061"/>
      <c r="H225" s="1061"/>
      <c r="I225" s="1208"/>
      <c r="J225" s="1396">
        <f>SUM(K225:R225)</f>
        <v>3378436</v>
      </c>
      <c r="K225" s="1401">
        <f t="shared" ref="K225:R225" si="13">SUM(K112,K118,K122,K126,K130,K134,K138,K142,K146,K150,K154,K158,K162,K166,K170,K174,K178,K182)+K185+K188</f>
        <v>2105494</v>
      </c>
      <c r="L225" s="1401">
        <f t="shared" si="13"/>
        <v>315029</v>
      </c>
      <c r="M225" s="1401">
        <f t="shared" si="13"/>
        <v>761270</v>
      </c>
      <c r="N225" s="1401">
        <f t="shared" si="13"/>
        <v>0</v>
      </c>
      <c r="O225" s="1401">
        <f t="shared" si="13"/>
        <v>0</v>
      </c>
      <c r="P225" s="1401">
        <f t="shared" si="13"/>
        <v>196643</v>
      </c>
      <c r="Q225" s="1401">
        <f t="shared" si="13"/>
        <v>0</v>
      </c>
      <c r="R225" s="1411">
        <f t="shared" si="13"/>
        <v>0</v>
      </c>
      <c r="S225" s="492"/>
      <c r="T225" s="492"/>
      <c r="U225" s="492"/>
      <c r="V225" s="492"/>
      <c r="W225" s="492"/>
      <c r="X225" s="492"/>
      <c r="Y225" s="492"/>
      <c r="Z225" s="492"/>
      <c r="AA225" s="492"/>
      <c r="AB225" s="492"/>
      <c r="AC225" s="492"/>
      <c r="AD225" s="492"/>
      <c r="AE225" s="492"/>
    </row>
    <row r="226" spans="1:31" s="421" customFormat="1" ht="18" customHeight="1" thickBot="1" x14ac:dyDescent="0.35">
      <c r="A226" s="395">
        <v>219</v>
      </c>
      <c r="B226" s="1078"/>
      <c r="C226" s="417"/>
      <c r="D226" s="1058"/>
      <c r="E226" s="1002" t="s">
        <v>973</v>
      </c>
      <c r="F226" s="1083"/>
      <c r="G226" s="488"/>
      <c r="H226" s="488"/>
      <c r="I226" s="1203"/>
      <c r="J226" s="1073">
        <f>SUM(K226:R226)</f>
        <v>1163946</v>
      </c>
      <c r="K226" s="1084">
        <f t="shared" ref="K226:R226" si="14">K183+K179+K175+K171+K167+K163+K159+K155+K151+K147+K143+K139+K135+K131+K127+K123+K119+K113+K186+K189</f>
        <v>845151</v>
      </c>
      <c r="L226" s="1084">
        <f t="shared" si="14"/>
        <v>128952</v>
      </c>
      <c r="M226" s="1084">
        <f t="shared" si="14"/>
        <v>171067</v>
      </c>
      <c r="N226" s="1084">
        <f t="shared" si="14"/>
        <v>0</v>
      </c>
      <c r="O226" s="1084">
        <f t="shared" si="14"/>
        <v>0</v>
      </c>
      <c r="P226" s="1084">
        <f t="shared" si="14"/>
        <v>18776</v>
      </c>
      <c r="Q226" s="1084">
        <f t="shared" si="14"/>
        <v>0</v>
      </c>
      <c r="R226" s="1090">
        <f t="shared" si="14"/>
        <v>0</v>
      </c>
      <c r="S226" s="492"/>
      <c r="T226" s="492"/>
      <c r="U226" s="492"/>
      <c r="V226" s="492"/>
      <c r="W226" s="492"/>
      <c r="X226" s="492"/>
      <c r="Y226" s="492"/>
      <c r="Z226" s="492"/>
      <c r="AA226" s="492"/>
      <c r="AB226" s="492"/>
      <c r="AC226" s="492"/>
      <c r="AD226" s="492"/>
      <c r="AE226" s="492"/>
    </row>
    <row r="227" spans="1:31" s="451" customFormat="1" ht="36" customHeight="1" x14ac:dyDescent="0.2">
      <c r="A227" s="395">
        <v>220</v>
      </c>
      <c r="B227" s="1864" t="s">
        <v>13</v>
      </c>
      <c r="C227" s="1865"/>
      <c r="D227" s="1865"/>
      <c r="E227" s="1866"/>
      <c r="F227" s="594"/>
      <c r="G227" s="595">
        <f>SUM(G223,G105)</f>
        <v>10261489</v>
      </c>
      <c r="H227" s="595">
        <f>SUM(H223,H105)</f>
        <v>11771027</v>
      </c>
      <c r="I227" s="595">
        <f>SUM(I223,I105)</f>
        <v>12380731</v>
      </c>
      <c r="J227" s="596"/>
      <c r="K227" s="595"/>
      <c r="L227" s="595"/>
      <c r="M227" s="595"/>
      <c r="N227" s="595"/>
      <c r="O227" s="595"/>
      <c r="P227" s="595"/>
      <c r="Q227" s="595"/>
      <c r="R227" s="597"/>
      <c r="S227" s="495"/>
      <c r="T227" s="495"/>
      <c r="U227" s="495"/>
      <c r="V227" s="495"/>
      <c r="W227" s="495"/>
      <c r="X227" s="495"/>
      <c r="Y227" s="495"/>
      <c r="Z227" s="495"/>
      <c r="AA227" s="495"/>
      <c r="AB227" s="495"/>
      <c r="AC227" s="495"/>
      <c r="AD227" s="495"/>
      <c r="AE227" s="495"/>
    </row>
    <row r="228" spans="1:31" s="421" customFormat="1" ht="18" customHeight="1" x14ac:dyDescent="0.3">
      <c r="A228" s="395">
        <v>221</v>
      </c>
      <c r="B228" s="468"/>
      <c r="C228" s="445"/>
      <c r="D228" s="1060"/>
      <c r="E228" s="1079" t="s">
        <v>252</v>
      </c>
      <c r="F228" s="1080"/>
      <c r="G228" s="1061"/>
      <c r="H228" s="1061"/>
      <c r="I228" s="1208"/>
      <c r="J228" s="517">
        <f>SUM(K228:R228)</f>
        <v>13111714</v>
      </c>
      <c r="K228" s="1081">
        <f t="shared" ref="K228:R229" si="15">SUM(K224,K106)</f>
        <v>7373892</v>
      </c>
      <c r="L228" s="1081">
        <f t="shared" si="15"/>
        <v>1083960</v>
      </c>
      <c r="M228" s="1081">
        <f t="shared" si="15"/>
        <v>4272484</v>
      </c>
      <c r="N228" s="1081">
        <f t="shared" si="15"/>
        <v>0</v>
      </c>
      <c r="O228" s="1081">
        <f t="shared" si="15"/>
        <v>6754</v>
      </c>
      <c r="P228" s="1081">
        <f t="shared" si="15"/>
        <v>374624</v>
      </c>
      <c r="Q228" s="1081">
        <f t="shared" si="15"/>
        <v>0</v>
      </c>
      <c r="R228" s="1082">
        <f t="shared" si="15"/>
        <v>0</v>
      </c>
      <c r="S228" s="492"/>
      <c r="T228" s="492"/>
      <c r="U228" s="492"/>
      <c r="V228" s="492"/>
      <c r="W228" s="492"/>
      <c r="X228" s="492"/>
      <c r="Y228" s="492"/>
      <c r="Z228" s="492"/>
      <c r="AA228" s="492"/>
      <c r="AB228" s="492"/>
      <c r="AC228" s="492"/>
      <c r="AD228" s="492"/>
      <c r="AE228" s="492"/>
    </row>
    <row r="229" spans="1:31" s="421" customFormat="1" ht="18" customHeight="1" x14ac:dyDescent="0.3">
      <c r="A229" s="395">
        <v>222</v>
      </c>
      <c r="B229" s="468"/>
      <c r="C229" s="1402"/>
      <c r="D229" s="1060"/>
      <c r="E229" s="1003" t="s">
        <v>921</v>
      </c>
      <c r="F229" s="1080"/>
      <c r="G229" s="1061"/>
      <c r="H229" s="1061"/>
      <c r="I229" s="1208"/>
      <c r="J229" s="1396">
        <f>SUM(K229:R229)</f>
        <v>15173136</v>
      </c>
      <c r="K229" s="1401">
        <f t="shared" si="15"/>
        <v>8099704</v>
      </c>
      <c r="L229" s="1401">
        <f t="shared" si="15"/>
        <v>1191513</v>
      </c>
      <c r="M229" s="1401">
        <f t="shared" si="15"/>
        <v>5269125</v>
      </c>
      <c r="N229" s="1401">
        <f t="shared" si="15"/>
        <v>0</v>
      </c>
      <c r="O229" s="1401">
        <f t="shared" si="15"/>
        <v>10211</v>
      </c>
      <c r="P229" s="1401">
        <f t="shared" si="15"/>
        <v>600610</v>
      </c>
      <c r="Q229" s="1401">
        <f t="shared" si="15"/>
        <v>0</v>
      </c>
      <c r="R229" s="1411">
        <f t="shared" si="15"/>
        <v>1973</v>
      </c>
      <c r="S229" s="492"/>
      <c r="T229" s="492"/>
      <c r="U229" s="492"/>
      <c r="V229" s="492"/>
      <c r="W229" s="492"/>
      <c r="X229" s="492"/>
      <c r="Y229" s="492"/>
      <c r="Z229" s="492"/>
      <c r="AA229" s="492"/>
      <c r="AB229" s="492"/>
      <c r="AC229" s="492"/>
      <c r="AD229" s="492"/>
      <c r="AE229" s="492"/>
    </row>
    <row r="230" spans="1:31" s="421" customFormat="1" ht="18" customHeight="1" thickBot="1" x14ac:dyDescent="0.35">
      <c r="A230" s="395">
        <v>223</v>
      </c>
      <c r="B230" s="416"/>
      <c r="C230" s="1085"/>
      <c r="D230" s="486"/>
      <c r="E230" s="1002" t="s">
        <v>973</v>
      </c>
      <c r="F230" s="1083"/>
      <c r="G230" s="488"/>
      <c r="H230" s="488"/>
      <c r="I230" s="1203"/>
      <c r="J230" s="1073">
        <f>SUM(K230:R230)</f>
        <v>6566226</v>
      </c>
      <c r="K230" s="1084">
        <f t="shared" ref="K230:R230" si="16">K226+K108</f>
        <v>3545928</v>
      </c>
      <c r="L230" s="1084">
        <f t="shared" si="16"/>
        <v>516757</v>
      </c>
      <c r="M230" s="1084">
        <f t="shared" si="16"/>
        <v>2265451</v>
      </c>
      <c r="N230" s="1084">
        <f t="shared" si="16"/>
        <v>0</v>
      </c>
      <c r="O230" s="1084">
        <f t="shared" si="16"/>
        <v>7837</v>
      </c>
      <c r="P230" s="1084">
        <f t="shared" si="16"/>
        <v>230253</v>
      </c>
      <c r="Q230" s="1084">
        <f t="shared" si="16"/>
        <v>0</v>
      </c>
      <c r="R230" s="1090">
        <f t="shared" si="16"/>
        <v>0</v>
      </c>
      <c r="S230" s="492"/>
      <c r="T230" s="492"/>
      <c r="U230" s="492"/>
      <c r="V230" s="492"/>
      <c r="W230" s="492"/>
      <c r="X230" s="492"/>
      <c r="Y230" s="492"/>
      <c r="Z230" s="492"/>
      <c r="AA230" s="492"/>
      <c r="AB230" s="492"/>
      <c r="AC230" s="492"/>
      <c r="AD230" s="492"/>
      <c r="AE230" s="492"/>
    </row>
    <row r="231" spans="1:31" s="400" customFormat="1" ht="15" customHeight="1" x14ac:dyDescent="0.3">
      <c r="A231" s="395">
        <v>224</v>
      </c>
      <c r="B231" s="1867" t="s">
        <v>133</v>
      </c>
      <c r="C231" s="1868"/>
      <c r="D231" s="1868"/>
      <c r="E231" s="1869"/>
      <c r="F231" s="598"/>
      <c r="G231" s="556"/>
      <c r="H231" s="556"/>
      <c r="I231" s="1220"/>
      <c r="J231" s="599"/>
      <c r="K231" s="556"/>
      <c r="L231" s="556"/>
      <c r="M231" s="556"/>
      <c r="N231" s="556"/>
      <c r="O231" s="556"/>
      <c r="P231" s="556"/>
      <c r="Q231" s="556"/>
      <c r="R231" s="557"/>
      <c r="S231" s="98"/>
      <c r="T231" s="54"/>
      <c r="U231" s="54"/>
      <c r="V231" s="54"/>
      <c r="W231" s="54"/>
      <c r="X231" s="54"/>
      <c r="Y231" s="54"/>
      <c r="Z231" s="54"/>
      <c r="AA231" s="54"/>
      <c r="AB231" s="54"/>
      <c r="AC231" s="54"/>
      <c r="AD231" s="54"/>
      <c r="AE231" s="54"/>
    </row>
    <row r="232" spans="1:31" s="400" customFormat="1" ht="15" customHeight="1" x14ac:dyDescent="0.3">
      <c r="A232" s="395">
        <v>225</v>
      </c>
      <c r="B232" s="1858" t="s">
        <v>134</v>
      </c>
      <c r="C232" s="1859"/>
      <c r="D232" s="1859"/>
      <c r="E232" s="1860"/>
      <c r="F232" s="1860"/>
      <c r="G232" s="582">
        <f>SUM(G63:G85,G59,G38,G101)</f>
        <v>6971458</v>
      </c>
      <c r="H232" s="582">
        <f>SUM(H63:H85,H59,H38,H101)</f>
        <v>8284258</v>
      </c>
      <c r="I232" s="1221">
        <f>SUM(I63:I85,I59,I38,I101)</f>
        <v>8601370</v>
      </c>
      <c r="J232" s="600"/>
      <c r="K232" s="539"/>
      <c r="L232" s="539"/>
      <c r="M232" s="539"/>
      <c r="N232" s="539"/>
      <c r="O232" s="539"/>
      <c r="P232" s="539"/>
      <c r="Q232" s="539"/>
      <c r="R232" s="601"/>
      <c r="S232" s="98"/>
      <c r="T232" s="54"/>
      <c r="U232" s="54"/>
      <c r="V232" s="54"/>
      <c r="W232" s="54"/>
      <c r="X232" s="54"/>
      <c r="Y232" s="54"/>
      <c r="Z232" s="54"/>
      <c r="AA232" s="54"/>
      <c r="AB232" s="54"/>
      <c r="AC232" s="54"/>
      <c r="AD232" s="54"/>
      <c r="AE232" s="54"/>
    </row>
    <row r="233" spans="1:31" s="421" customFormat="1" ht="15" customHeight="1" x14ac:dyDescent="0.3">
      <c r="A233" s="395">
        <v>226</v>
      </c>
      <c r="B233" s="602"/>
      <c r="C233" s="603"/>
      <c r="D233" s="603"/>
      <c r="E233" s="487" t="s">
        <v>252</v>
      </c>
      <c r="F233" s="604"/>
      <c r="G233" s="605"/>
      <c r="H233" s="605"/>
      <c r="I233" s="1222"/>
      <c r="J233" s="585">
        <f>SUM(K233:R233)</f>
        <v>9310672</v>
      </c>
      <c r="K233" s="585">
        <f t="shared" ref="K233:R234" si="17">SUM(K39,K60,K64,K70,K75,K80,K102,)</f>
        <v>4905809</v>
      </c>
      <c r="L233" s="585">
        <f t="shared" si="17"/>
        <v>741664</v>
      </c>
      <c r="M233" s="585">
        <f t="shared" si="17"/>
        <v>3385581</v>
      </c>
      <c r="N233" s="585">
        <f t="shared" si="17"/>
        <v>0</v>
      </c>
      <c r="O233" s="585">
        <f t="shared" si="17"/>
        <v>6754</v>
      </c>
      <c r="P233" s="585">
        <f t="shared" si="17"/>
        <v>270864</v>
      </c>
      <c r="Q233" s="585">
        <f t="shared" si="17"/>
        <v>0</v>
      </c>
      <c r="R233" s="586">
        <f t="shared" si="17"/>
        <v>0</v>
      </c>
      <c r="S233" s="496"/>
      <c r="T233" s="492"/>
      <c r="U233" s="492"/>
      <c r="V233" s="492"/>
      <c r="W233" s="492"/>
      <c r="X233" s="492"/>
      <c r="Y233" s="492"/>
      <c r="Z233" s="492"/>
      <c r="AA233" s="492"/>
      <c r="AB233" s="492"/>
      <c r="AC233" s="492"/>
      <c r="AD233" s="492"/>
      <c r="AE233" s="492"/>
    </row>
    <row r="234" spans="1:31" s="421" customFormat="1" ht="15" customHeight="1" x14ac:dyDescent="0.3">
      <c r="A234" s="395">
        <v>227</v>
      </c>
      <c r="B234" s="602"/>
      <c r="C234" s="603"/>
      <c r="D234" s="603"/>
      <c r="E234" s="1003" t="s">
        <v>921</v>
      </c>
      <c r="F234" s="604"/>
      <c r="G234" s="605"/>
      <c r="H234" s="605"/>
      <c r="I234" s="1222"/>
      <c r="J234" s="583">
        <f>SUM(K234:R234)</f>
        <v>10360391</v>
      </c>
      <c r="K234" s="583">
        <f t="shared" si="17"/>
        <v>5230284</v>
      </c>
      <c r="L234" s="583">
        <f t="shared" si="17"/>
        <v>792688</v>
      </c>
      <c r="M234" s="583">
        <f t="shared" si="17"/>
        <v>3972678</v>
      </c>
      <c r="N234" s="583">
        <f t="shared" si="17"/>
        <v>0</v>
      </c>
      <c r="O234" s="583">
        <f t="shared" si="17"/>
        <v>9158</v>
      </c>
      <c r="P234" s="583">
        <f t="shared" si="17"/>
        <v>353610</v>
      </c>
      <c r="Q234" s="583">
        <f t="shared" si="17"/>
        <v>0</v>
      </c>
      <c r="R234" s="584">
        <f t="shared" si="17"/>
        <v>1973</v>
      </c>
      <c r="S234" s="496"/>
      <c r="T234" s="492"/>
      <c r="U234" s="492"/>
      <c r="V234" s="492"/>
      <c r="W234" s="492"/>
      <c r="X234" s="492"/>
      <c r="Y234" s="492"/>
      <c r="Z234" s="492"/>
      <c r="AA234" s="492"/>
      <c r="AB234" s="492"/>
      <c r="AC234" s="492"/>
      <c r="AD234" s="492"/>
      <c r="AE234" s="492"/>
    </row>
    <row r="235" spans="1:31" s="421" customFormat="1" ht="15" customHeight="1" x14ac:dyDescent="0.3">
      <c r="A235" s="395">
        <v>228</v>
      </c>
      <c r="B235" s="602"/>
      <c r="C235" s="603"/>
      <c r="D235" s="603"/>
      <c r="E235" s="1002" t="s">
        <v>973</v>
      </c>
      <c r="F235" s="604"/>
      <c r="G235" s="605"/>
      <c r="H235" s="605"/>
      <c r="I235" s="1222"/>
      <c r="J235" s="1073">
        <f>SUM(K235:R235)</f>
        <v>4634012</v>
      </c>
      <c r="K235" s="1084">
        <f>K104+K82+K77+K72+K66+K62+K41</f>
        <v>2357726</v>
      </c>
      <c r="L235" s="1084">
        <f t="shared" ref="L235:R235" si="18">L104+L82+L77+L72+L66+L62+L41</f>
        <v>351431</v>
      </c>
      <c r="M235" s="1084">
        <f t="shared" si="18"/>
        <v>1725461</v>
      </c>
      <c r="N235" s="1084">
        <f t="shared" si="18"/>
        <v>0</v>
      </c>
      <c r="O235" s="1084">
        <f t="shared" si="18"/>
        <v>6785</v>
      </c>
      <c r="P235" s="1084">
        <f t="shared" si="18"/>
        <v>192609</v>
      </c>
      <c r="Q235" s="1084">
        <f t="shared" si="18"/>
        <v>0</v>
      </c>
      <c r="R235" s="1090">
        <f t="shared" si="18"/>
        <v>0</v>
      </c>
      <c r="S235" s="496"/>
      <c r="T235" s="492"/>
      <c r="U235" s="492"/>
      <c r="V235" s="492"/>
      <c r="W235" s="492"/>
      <c r="X235" s="492"/>
      <c r="Y235" s="492"/>
      <c r="Z235" s="492"/>
      <c r="AA235" s="492"/>
      <c r="AB235" s="492"/>
      <c r="AC235" s="492"/>
      <c r="AD235" s="492"/>
      <c r="AE235" s="492"/>
    </row>
    <row r="236" spans="1:31" s="400" customFormat="1" ht="15" customHeight="1" x14ac:dyDescent="0.3">
      <c r="A236" s="395">
        <v>229</v>
      </c>
      <c r="B236" s="1858" t="s">
        <v>133</v>
      </c>
      <c r="C236" s="1859"/>
      <c r="D236" s="1859"/>
      <c r="E236" s="1860"/>
      <c r="F236" s="606"/>
      <c r="G236" s="582"/>
      <c r="H236" s="582"/>
      <c r="I236" s="1223"/>
      <c r="J236" s="1088"/>
      <c r="K236" s="582"/>
      <c r="L236" s="582"/>
      <c r="M236" s="582"/>
      <c r="N236" s="582"/>
      <c r="O236" s="582"/>
      <c r="P236" s="582"/>
      <c r="Q236" s="582"/>
      <c r="R236" s="607"/>
      <c r="S236" s="98"/>
      <c r="T236" s="54"/>
      <c r="U236" s="54"/>
      <c r="V236" s="54"/>
      <c r="W236" s="54"/>
      <c r="X236" s="54"/>
      <c r="Y236" s="54"/>
      <c r="Z236" s="54"/>
      <c r="AA236" s="54"/>
      <c r="AB236" s="54"/>
      <c r="AC236" s="54"/>
      <c r="AD236" s="54"/>
      <c r="AE236" s="54"/>
    </row>
    <row r="237" spans="1:31" s="400" customFormat="1" ht="15" customHeight="1" x14ac:dyDescent="0.3">
      <c r="A237" s="395">
        <v>230</v>
      </c>
      <c r="B237" s="1858" t="s">
        <v>135</v>
      </c>
      <c r="C237" s="1859"/>
      <c r="D237" s="1859"/>
      <c r="E237" s="1860"/>
      <c r="F237" s="1860"/>
      <c r="G237" s="582">
        <f>SUM(G86:G94)</f>
        <v>1431129</v>
      </c>
      <c r="H237" s="582">
        <f>SUM(H86:H94)</f>
        <v>1193379</v>
      </c>
      <c r="I237" s="1223">
        <f>SUM(I86:I94)</f>
        <v>1614856</v>
      </c>
      <c r="J237" s="1087"/>
      <c r="K237" s="582"/>
      <c r="L237" s="582"/>
      <c r="M237" s="582"/>
      <c r="N237" s="582"/>
      <c r="O237" s="582"/>
      <c r="P237" s="582"/>
      <c r="Q237" s="582"/>
      <c r="R237" s="607"/>
      <c r="S237" s="98"/>
      <c r="T237" s="54"/>
      <c r="U237" s="54"/>
      <c r="V237" s="54"/>
      <c r="W237" s="54"/>
      <c r="X237" s="54"/>
      <c r="Y237" s="54"/>
      <c r="Z237" s="54"/>
      <c r="AA237" s="54"/>
      <c r="AB237" s="54"/>
      <c r="AC237" s="54"/>
      <c r="AD237" s="54"/>
      <c r="AE237" s="54"/>
    </row>
    <row r="238" spans="1:31" s="421" customFormat="1" ht="15" customHeight="1" x14ac:dyDescent="0.3">
      <c r="A238" s="395">
        <v>231</v>
      </c>
      <c r="B238" s="602"/>
      <c r="C238" s="603"/>
      <c r="D238" s="603"/>
      <c r="E238" s="487" t="s">
        <v>252</v>
      </c>
      <c r="F238" s="604"/>
      <c r="G238" s="605"/>
      <c r="H238" s="605"/>
      <c r="I238" s="1222"/>
      <c r="J238" s="1086">
        <f>SUM(K238:R238)</f>
        <v>1216220</v>
      </c>
      <c r="K238" s="585">
        <f t="shared" ref="K238:R239" si="19">SUM(K87,K94)</f>
        <v>700899</v>
      </c>
      <c r="L238" s="585">
        <f t="shared" si="19"/>
        <v>77543</v>
      </c>
      <c r="M238" s="585">
        <f t="shared" si="19"/>
        <v>432168</v>
      </c>
      <c r="N238" s="585">
        <f t="shared" si="19"/>
        <v>0</v>
      </c>
      <c r="O238" s="585">
        <f t="shared" si="19"/>
        <v>0</v>
      </c>
      <c r="P238" s="585">
        <f t="shared" si="19"/>
        <v>5610</v>
      </c>
      <c r="Q238" s="585">
        <f t="shared" si="19"/>
        <v>0</v>
      </c>
      <c r="R238" s="586">
        <f t="shared" si="19"/>
        <v>0</v>
      </c>
      <c r="S238" s="496"/>
      <c r="T238" s="492"/>
      <c r="U238" s="492"/>
      <c r="V238" s="492"/>
      <c r="W238" s="492"/>
      <c r="X238" s="492"/>
      <c r="Y238" s="492"/>
      <c r="Z238" s="492"/>
      <c r="AA238" s="492"/>
      <c r="AB238" s="492"/>
      <c r="AC238" s="492"/>
      <c r="AD238" s="492"/>
      <c r="AE238" s="492"/>
    </row>
    <row r="239" spans="1:31" s="421" customFormat="1" ht="15" customHeight="1" x14ac:dyDescent="0.3">
      <c r="A239" s="395">
        <v>232</v>
      </c>
      <c r="B239" s="602"/>
      <c r="C239" s="603"/>
      <c r="D239" s="603"/>
      <c r="E239" s="1003" t="s">
        <v>921</v>
      </c>
      <c r="F239" s="604"/>
      <c r="G239" s="605"/>
      <c r="H239" s="605"/>
      <c r="I239" s="1222"/>
      <c r="J239" s="1408">
        <f>SUM(K239:R239)</f>
        <v>1434309</v>
      </c>
      <c r="K239" s="583">
        <f t="shared" si="19"/>
        <v>763926</v>
      </c>
      <c r="L239" s="583">
        <f t="shared" si="19"/>
        <v>83796</v>
      </c>
      <c r="M239" s="583">
        <f t="shared" si="19"/>
        <v>535177</v>
      </c>
      <c r="N239" s="583">
        <f t="shared" si="19"/>
        <v>0</v>
      </c>
      <c r="O239" s="583">
        <f t="shared" si="19"/>
        <v>1053</v>
      </c>
      <c r="P239" s="583">
        <f t="shared" si="19"/>
        <v>50357</v>
      </c>
      <c r="Q239" s="583">
        <f t="shared" si="19"/>
        <v>0</v>
      </c>
      <c r="R239" s="584">
        <f t="shared" si="19"/>
        <v>0</v>
      </c>
      <c r="S239" s="496"/>
      <c r="T239" s="492"/>
      <c r="U239" s="492"/>
      <c r="V239" s="492"/>
      <c r="W239" s="492"/>
      <c r="X239" s="492"/>
      <c r="Y239" s="492"/>
      <c r="Z239" s="492"/>
      <c r="AA239" s="492"/>
      <c r="AB239" s="492"/>
      <c r="AC239" s="492"/>
      <c r="AD239" s="492"/>
      <c r="AE239" s="492"/>
    </row>
    <row r="240" spans="1:31" s="421" customFormat="1" ht="15" customHeight="1" x14ac:dyDescent="0.3">
      <c r="A240" s="395">
        <v>233</v>
      </c>
      <c r="B240" s="602"/>
      <c r="C240" s="603"/>
      <c r="D240" s="603"/>
      <c r="E240" s="1002" t="s">
        <v>973</v>
      </c>
      <c r="F240" s="604"/>
      <c r="G240" s="605"/>
      <c r="H240" s="605"/>
      <c r="I240" s="1222"/>
      <c r="J240" s="1073">
        <f>SUM(K240:R240)</f>
        <v>768268</v>
      </c>
      <c r="K240" s="1084">
        <f>K96+K89</f>
        <v>343051</v>
      </c>
      <c r="L240" s="1084">
        <f t="shared" ref="L240:R240" si="20">L96+L89</f>
        <v>36374</v>
      </c>
      <c r="M240" s="1084">
        <f t="shared" si="20"/>
        <v>368923</v>
      </c>
      <c r="N240" s="1084">
        <f t="shared" si="20"/>
        <v>0</v>
      </c>
      <c r="O240" s="1084">
        <f t="shared" si="20"/>
        <v>1052</v>
      </c>
      <c r="P240" s="1084">
        <f t="shared" si="20"/>
        <v>18868</v>
      </c>
      <c r="Q240" s="1084">
        <f t="shared" si="20"/>
        <v>0</v>
      </c>
      <c r="R240" s="1090">
        <f t="shared" si="20"/>
        <v>0</v>
      </c>
      <c r="S240" s="496"/>
      <c r="T240" s="492"/>
      <c r="U240" s="492"/>
      <c r="V240" s="492"/>
      <c r="W240" s="492"/>
      <c r="X240" s="492"/>
      <c r="Y240" s="492"/>
      <c r="Z240" s="492"/>
      <c r="AA240" s="492"/>
      <c r="AB240" s="492"/>
      <c r="AC240" s="492"/>
      <c r="AD240" s="492"/>
      <c r="AE240" s="492"/>
    </row>
    <row r="241" spans="1:31" s="400" customFormat="1" ht="15" customHeight="1" x14ac:dyDescent="0.3">
      <c r="A241" s="395">
        <v>234</v>
      </c>
      <c r="B241" s="1858" t="s">
        <v>133</v>
      </c>
      <c r="C241" s="1859"/>
      <c r="D241" s="1859"/>
      <c r="E241" s="1860"/>
      <c r="F241" s="606"/>
      <c r="G241" s="582"/>
      <c r="H241" s="582"/>
      <c r="I241" s="1223"/>
      <c r="J241" s="1088"/>
      <c r="K241" s="583"/>
      <c r="L241" s="583"/>
      <c r="M241" s="583"/>
      <c r="N241" s="583"/>
      <c r="O241" s="583"/>
      <c r="P241" s="583"/>
      <c r="Q241" s="583"/>
      <c r="R241" s="584"/>
      <c r="S241" s="98"/>
      <c r="T241" s="54"/>
      <c r="U241" s="54"/>
      <c r="V241" s="54"/>
      <c r="W241" s="54"/>
      <c r="X241" s="54"/>
      <c r="Y241" s="54"/>
      <c r="Z241" s="54"/>
      <c r="AA241" s="54"/>
      <c r="AB241" s="54"/>
      <c r="AC241" s="54"/>
      <c r="AD241" s="54"/>
      <c r="AE241" s="54"/>
    </row>
    <row r="242" spans="1:31" s="400" customFormat="1" ht="15" customHeight="1" x14ac:dyDescent="0.3">
      <c r="A242" s="395">
        <v>235</v>
      </c>
      <c r="B242" s="1861" t="s">
        <v>136</v>
      </c>
      <c r="C242" s="1862"/>
      <c r="D242" s="1862"/>
      <c r="E242" s="1863"/>
      <c r="F242" s="1863"/>
      <c r="G242" s="608">
        <f>SUM(G223)</f>
        <v>1858902</v>
      </c>
      <c r="H242" s="608">
        <f>SUM(H223)</f>
        <v>2293390</v>
      </c>
      <c r="I242" s="1224">
        <f>SUM(I223)</f>
        <v>2164505</v>
      </c>
      <c r="J242" s="1087"/>
      <c r="K242" s="582"/>
      <c r="L242" s="582"/>
      <c r="M242" s="582"/>
      <c r="N242" s="582"/>
      <c r="O242" s="582"/>
      <c r="P242" s="582"/>
      <c r="Q242" s="582"/>
      <c r="R242" s="607"/>
      <c r="S242" s="98"/>
      <c r="T242" s="54"/>
      <c r="U242" s="54"/>
      <c r="V242" s="54"/>
      <c r="W242" s="54"/>
      <c r="X242" s="54"/>
      <c r="Y242" s="54"/>
      <c r="Z242" s="54"/>
      <c r="AA242" s="54"/>
      <c r="AB242" s="54"/>
      <c r="AC242" s="54"/>
      <c r="AD242" s="54"/>
      <c r="AE242" s="54"/>
    </row>
    <row r="243" spans="1:31" s="433" customFormat="1" ht="15" customHeight="1" x14ac:dyDescent="0.3">
      <c r="A243" s="395">
        <v>236</v>
      </c>
      <c r="B243" s="1185"/>
      <c r="C243" s="1186"/>
      <c r="D243" s="1186"/>
      <c r="E243" s="469" t="s">
        <v>252</v>
      </c>
      <c r="F243" s="1187"/>
      <c r="G243" s="1188"/>
      <c r="H243" s="1188"/>
      <c r="I243" s="1225"/>
      <c r="J243" s="1189">
        <f>SUM(K243:R243)</f>
        <v>2584822</v>
      </c>
      <c r="K243" s="1081">
        <f t="shared" ref="K243:R245" si="21">K224</f>
        <v>1767184</v>
      </c>
      <c r="L243" s="1081">
        <f t="shared" si="21"/>
        <v>264753</v>
      </c>
      <c r="M243" s="1081">
        <f t="shared" si="21"/>
        <v>454735</v>
      </c>
      <c r="N243" s="1081">
        <f t="shared" si="21"/>
        <v>0</v>
      </c>
      <c r="O243" s="1081">
        <f t="shared" si="21"/>
        <v>0</v>
      </c>
      <c r="P243" s="1081">
        <f t="shared" si="21"/>
        <v>98150</v>
      </c>
      <c r="Q243" s="1081">
        <f t="shared" si="21"/>
        <v>0</v>
      </c>
      <c r="R243" s="1082">
        <f t="shared" si="21"/>
        <v>0</v>
      </c>
      <c r="S243" s="496"/>
      <c r="T243" s="496"/>
      <c r="U243" s="496"/>
      <c r="V243" s="496"/>
      <c r="W243" s="496"/>
      <c r="X243" s="496"/>
      <c r="Y243" s="496"/>
      <c r="Z243" s="496"/>
      <c r="AA243" s="496"/>
      <c r="AB243" s="496"/>
      <c r="AC243" s="496"/>
      <c r="AD243" s="496"/>
      <c r="AE243" s="496"/>
    </row>
    <row r="244" spans="1:31" s="433" customFormat="1" ht="15" customHeight="1" x14ac:dyDescent="0.3">
      <c r="A244" s="395">
        <v>237</v>
      </c>
      <c r="B244" s="1403"/>
      <c r="C244" s="604"/>
      <c r="D244" s="1404"/>
      <c r="E244" s="1003" t="s">
        <v>921</v>
      </c>
      <c r="F244" s="1404"/>
      <c r="G244" s="1405"/>
      <c r="H244" s="1406"/>
      <c r="I244" s="1407"/>
      <c r="J244" s="1409">
        <f>SUM(K244:R244)</f>
        <v>3378436</v>
      </c>
      <c r="K244" s="1401">
        <f t="shared" si="21"/>
        <v>2105494</v>
      </c>
      <c r="L244" s="1401">
        <f t="shared" si="21"/>
        <v>315029</v>
      </c>
      <c r="M244" s="1401">
        <f t="shared" si="21"/>
        <v>761270</v>
      </c>
      <c r="N244" s="1401">
        <f t="shared" si="21"/>
        <v>0</v>
      </c>
      <c r="O244" s="1401">
        <f t="shared" si="21"/>
        <v>0</v>
      </c>
      <c r="P244" s="1401">
        <f t="shared" si="21"/>
        <v>196643</v>
      </c>
      <c r="Q244" s="1401">
        <f t="shared" si="21"/>
        <v>0</v>
      </c>
      <c r="R244" s="1411">
        <f t="shared" si="21"/>
        <v>0</v>
      </c>
      <c r="S244" s="496"/>
      <c r="T244" s="496"/>
      <c r="U244" s="496"/>
      <c r="V244" s="496"/>
      <c r="W244" s="496"/>
      <c r="X244" s="496"/>
      <c r="Y244" s="496"/>
      <c r="Z244" s="496"/>
      <c r="AA244" s="496"/>
      <c r="AB244" s="496"/>
      <c r="AC244" s="496"/>
      <c r="AD244" s="496"/>
      <c r="AE244" s="496"/>
    </row>
    <row r="245" spans="1:31" s="433" customFormat="1" ht="15" customHeight="1" thickBot="1" x14ac:dyDescent="0.35">
      <c r="A245" s="395">
        <v>238</v>
      </c>
      <c r="B245" s="1658"/>
      <c r="C245" s="1659"/>
      <c r="D245" s="1660"/>
      <c r="E245" s="1643" t="s">
        <v>973</v>
      </c>
      <c r="F245" s="1660"/>
      <c r="G245" s="1661"/>
      <c r="H245" s="1662"/>
      <c r="I245" s="1663"/>
      <c r="J245" s="1654">
        <f>SUM(K245:R245)</f>
        <v>1163946</v>
      </c>
      <c r="K245" s="1664">
        <f t="shared" si="21"/>
        <v>845151</v>
      </c>
      <c r="L245" s="1665">
        <f t="shared" si="21"/>
        <v>128952</v>
      </c>
      <c r="M245" s="1665">
        <f t="shared" si="21"/>
        <v>171067</v>
      </c>
      <c r="N245" s="1665">
        <f t="shared" si="21"/>
        <v>0</v>
      </c>
      <c r="O245" s="1665">
        <f t="shared" si="21"/>
        <v>0</v>
      </c>
      <c r="P245" s="1665">
        <f t="shared" si="21"/>
        <v>18776</v>
      </c>
      <c r="Q245" s="1665">
        <f t="shared" si="21"/>
        <v>0</v>
      </c>
      <c r="R245" s="1666">
        <f t="shared" si="21"/>
        <v>0</v>
      </c>
      <c r="S245" s="496"/>
      <c r="T245" s="496"/>
      <c r="U245" s="496"/>
      <c r="V245" s="496"/>
      <c r="W245" s="496"/>
      <c r="X245" s="496"/>
      <c r="Y245" s="496"/>
      <c r="Z245" s="496"/>
      <c r="AA245" s="496"/>
      <c r="AB245" s="496"/>
      <c r="AC245" s="496"/>
      <c r="AD245" s="496"/>
      <c r="AE245" s="496"/>
    </row>
    <row r="246" spans="1:31" s="614" customFormat="1" ht="18" customHeight="1" x14ac:dyDescent="0.3">
      <c r="A246" s="17"/>
      <c r="B246" s="609" t="s">
        <v>25</v>
      </c>
      <c r="C246" s="609"/>
      <c r="D246" s="609"/>
      <c r="E246" s="610"/>
      <c r="F246" s="611"/>
      <c r="G246" s="612"/>
      <c r="H246" s="612"/>
      <c r="I246" s="612"/>
      <c r="J246" s="613"/>
      <c r="K246" s="612"/>
      <c r="L246" s="612"/>
      <c r="M246" s="612"/>
      <c r="N246" s="612"/>
      <c r="O246" s="612"/>
      <c r="P246" s="612"/>
      <c r="Q246" s="612"/>
      <c r="R246" s="612"/>
      <c r="S246" s="98"/>
      <c r="T246" s="98"/>
      <c r="U246" s="98"/>
      <c r="V246" s="98"/>
      <c r="W246" s="98"/>
      <c r="X246" s="98"/>
      <c r="Y246" s="98"/>
      <c r="Z246" s="98"/>
      <c r="AA246" s="98"/>
      <c r="AB246" s="98"/>
      <c r="AC246" s="98"/>
      <c r="AD246" s="98"/>
      <c r="AE246" s="98"/>
    </row>
    <row r="247" spans="1:31" s="567" customFormat="1" ht="18" customHeight="1" x14ac:dyDescent="0.3">
      <c r="A247" s="17"/>
      <c r="B247" s="56" t="s">
        <v>26</v>
      </c>
      <c r="C247" s="56"/>
      <c r="D247" s="56"/>
      <c r="E247" s="97"/>
      <c r="F247" s="97"/>
      <c r="G247" s="97"/>
      <c r="H247" s="97"/>
      <c r="I247" s="97"/>
      <c r="J247" s="97"/>
      <c r="K247" s="237"/>
      <c r="L247" s="237"/>
      <c r="M247" s="237"/>
      <c r="N247" s="237"/>
      <c r="O247" s="237"/>
      <c r="P247" s="237"/>
      <c r="Q247" s="237"/>
      <c r="R247" s="237"/>
      <c r="S247" s="475"/>
      <c r="T247" s="475"/>
      <c r="U247" s="475"/>
      <c r="V247" s="475"/>
      <c r="W247" s="475"/>
      <c r="X247" s="475"/>
      <c r="Y247" s="475"/>
      <c r="Z247" s="475"/>
      <c r="AA247" s="475"/>
      <c r="AB247" s="475"/>
      <c r="AC247" s="475"/>
      <c r="AD247" s="475"/>
      <c r="AE247" s="475"/>
    </row>
    <row r="248" spans="1:31" ht="18" customHeight="1" x14ac:dyDescent="0.3">
      <c r="A248" s="17"/>
      <c r="B248" s="56" t="s">
        <v>27</v>
      </c>
      <c r="C248" s="56"/>
      <c r="D248" s="56"/>
    </row>
    <row r="249" spans="1:31" x14ac:dyDescent="0.3">
      <c r="K249" s="475"/>
      <c r="L249" s="475"/>
      <c r="M249" s="475"/>
      <c r="N249" s="475"/>
      <c r="O249" s="475"/>
      <c r="P249" s="475"/>
      <c r="Q249" s="475"/>
      <c r="R249" s="475"/>
    </row>
  </sheetData>
  <mergeCells count="81">
    <mergeCell ref="D222:E222"/>
    <mergeCell ref="D217:E217"/>
    <mergeCell ref="D218:E218"/>
    <mergeCell ref="D219:E219"/>
    <mergeCell ref="D220:E220"/>
    <mergeCell ref="D221:E221"/>
    <mergeCell ref="D212:E212"/>
    <mergeCell ref="D213:E213"/>
    <mergeCell ref="D214:E214"/>
    <mergeCell ref="D215:E215"/>
    <mergeCell ref="D216:E216"/>
    <mergeCell ref="D207:E207"/>
    <mergeCell ref="D208:E208"/>
    <mergeCell ref="D209:E209"/>
    <mergeCell ref="D210:E210"/>
    <mergeCell ref="D211:E211"/>
    <mergeCell ref="D202:E202"/>
    <mergeCell ref="D203:E203"/>
    <mergeCell ref="D204:E204"/>
    <mergeCell ref="D205:E205"/>
    <mergeCell ref="D206:E206"/>
    <mergeCell ref="D197:E197"/>
    <mergeCell ref="D198:E198"/>
    <mergeCell ref="D199:E199"/>
    <mergeCell ref="D200:E200"/>
    <mergeCell ref="D201:E201"/>
    <mergeCell ref="D180:E180"/>
    <mergeCell ref="D193:E193"/>
    <mergeCell ref="D194:E194"/>
    <mergeCell ref="D195:E195"/>
    <mergeCell ref="D196:E196"/>
    <mergeCell ref="D184:E184"/>
    <mergeCell ref="D187:E187"/>
    <mergeCell ref="D160:E160"/>
    <mergeCell ref="D164:E164"/>
    <mergeCell ref="D168:E168"/>
    <mergeCell ref="D172:E172"/>
    <mergeCell ref="D176:E176"/>
    <mergeCell ref="D140:E140"/>
    <mergeCell ref="D144:E144"/>
    <mergeCell ref="D148:E148"/>
    <mergeCell ref="D152:E152"/>
    <mergeCell ref="D156:E156"/>
    <mergeCell ref="D114:E114"/>
    <mergeCell ref="D124:E124"/>
    <mergeCell ref="D128:E128"/>
    <mergeCell ref="D132:E132"/>
    <mergeCell ref="D136:E136"/>
    <mergeCell ref="B241:E241"/>
    <mergeCell ref="B242:F242"/>
    <mergeCell ref="C223:E223"/>
    <mergeCell ref="B227:E227"/>
    <mergeCell ref="B231:E231"/>
    <mergeCell ref="B232:F232"/>
    <mergeCell ref="B236:E236"/>
    <mergeCell ref="B237:F237"/>
    <mergeCell ref="C38:E38"/>
    <mergeCell ref="B1:G1"/>
    <mergeCell ref="B2:R2"/>
    <mergeCell ref="B3:R3"/>
    <mergeCell ref="Q4:R4"/>
    <mergeCell ref="D5:E5"/>
    <mergeCell ref="B6:B7"/>
    <mergeCell ref="C6:C7"/>
    <mergeCell ref="D6:E7"/>
    <mergeCell ref="F6:F7"/>
    <mergeCell ref="G6:G7"/>
    <mergeCell ref="H6:H7"/>
    <mergeCell ref="I6:I7"/>
    <mergeCell ref="J6:J7"/>
    <mergeCell ref="K6:O6"/>
    <mergeCell ref="P6:R6"/>
    <mergeCell ref="C97:E97"/>
    <mergeCell ref="B105:E105"/>
    <mergeCell ref="D67:E67"/>
    <mergeCell ref="D68:E68"/>
    <mergeCell ref="D58:E58"/>
    <mergeCell ref="D84:E84"/>
    <mergeCell ref="D85:E85"/>
    <mergeCell ref="C59:E59"/>
    <mergeCell ref="D92:E92"/>
  </mergeCells>
  <printOptions horizontalCentered="1"/>
  <pageMargins left="0.19685039370078741" right="0.19685039370078741" top="0.59055118110236227" bottom="0.59055118110236227" header="0.51181102362204722" footer="0.51181102362204722"/>
  <pageSetup paperSize="9" scale="58" fitToHeight="0" orientation="landscape" r:id="rId1"/>
  <headerFooter alignWithMargins="0">
    <oddFooter>&amp;C - &amp;P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IM187"/>
  <sheetViews>
    <sheetView view="pageBreakPreview" zoomScaleNormal="100" zoomScaleSheetLayoutView="100" workbookViewId="0">
      <selection activeCell="O167" sqref="O167"/>
    </sheetView>
  </sheetViews>
  <sheetFormatPr defaultColWidth="9.28515625" defaultRowHeight="15" x14ac:dyDescent="0.3"/>
  <cols>
    <col min="1" max="1" width="3.7109375" style="1245" customWidth="1"/>
    <col min="2" max="2" width="5.7109375" style="1256" customWidth="1"/>
    <col min="3" max="3" width="5.7109375" style="1257" customWidth="1"/>
    <col min="4" max="4" width="59.7109375" style="1258" customWidth="1"/>
    <col min="5" max="5" width="6.7109375" style="1259" customWidth="1"/>
    <col min="6" max="6" width="13.7109375" style="1260" customWidth="1"/>
    <col min="7" max="7" width="14.5703125" style="1260" customWidth="1"/>
    <col min="8" max="8" width="13.7109375" style="1261" customWidth="1"/>
    <col min="9" max="10" width="14.28515625" style="1261" customWidth="1"/>
    <col min="11" max="11" width="14.28515625" style="1263" customWidth="1"/>
    <col min="12" max="16384" width="9.28515625" style="1246"/>
  </cols>
  <sheetData>
    <row r="1" spans="1:247" s="1254" customFormat="1" ht="18" customHeight="1" x14ac:dyDescent="0.35">
      <c r="A1" s="1247"/>
      <c r="B1" s="1881" t="s">
        <v>1010</v>
      </c>
      <c r="C1" s="1881"/>
      <c r="D1" s="1881"/>
      <c r="E1" s="1248"/>
      <c r="F1" s="1249"/>
      <c r="G1" s="1249"/>
      <c r="H1" s="1250"/>
      <c r="I1" s="1251"/>
      <c r="J1" s="1251"/>
      <c r="K1" s="1252"/>
      <c r="L1" s="1253"/>
      <c r="M1" s="1253"/>
      <c r="N1" s="1253"/>
      <c r="O1" s="1253"/>
      <c r="P1" s="1253"/>
      <c r="Q1" s="1253"/>
      <c r="R1" s="1253"/>
      <c r="S1" s="1253"/>
      <c r="T1" s="1253"/>
      <c r="U1" s="1253"/>
      <c r="V1" s="1253"/>
      <c r="W1" s="1253"/>
      <c r="X1" s="1253"/>
      <c r="Y1" s="1253"/>
      <c r="Z1" s="1253"/>
      <c r="AA1" s="1253"/>
      <c r="AB1" s="1253"/>
      <c r="AC1" s="1253"/>
      <c r="AD1" s="1253"/>
      <c r="AE1" s="1253"/>
      <c r="AF1" s="1253"/>
      <c r="AG1" s="1253"/>
      <c r="AH1" s="1253"/>
      <c r="AI1" s="1253"/>
      <c r="AJ1" s="1253"/>
      <c r="AK1" s="1253"/>
      <c r="AL1" s="1253"/>
      <c r="AM1" s="1253"/>
      <c r="AN1" s="1253"/>
      <c r="AO1" s="1253"/>
      <c r="AP1" s="1253"/>
      <c r="AQ1" s="1253"/>
      <c r="AR1" s="1253"/>
      <c r="AS1" s="1253"/>
      <c r="AT1" s="1253"/>
      <c r="AU1" s="1253"/>
      <c r="AV1" s="1253"/>
      <c r="AW1" s="1253"/>
      <c r="AX1" s="1253"/>
      <c r="AY1" s="1253"/>
      <c r="AZ1" s="1253"/>
      <c r="BA1" s="1253"/>
      <c r="BB1" s="1253"/>
      <c r="BC1" s="1253"/>
      <c r="BD1" s="1253"/>
      <c r="BE1" s="1253"/>
      <c r="BF1" s="1253"/>
      <c r="BG1" s="1253"/>
      <c r="BH1" s="1253"/>
      <c r="BI1" s="1253"/>
      <c r="BJ1" s="1253"/>
      <c r="BK1" s="1253"/>
      <c r="BL1" s="1253"/>
      <c r="BM1" s="1253"/>
      <c r="BN1" s="1253"/>
      <c r="BO1" s="1253"/>
      <c r="BP1" s="1253"/>
      <c r="BQ1" s="1253"/>
      <c r="BR1" s="1253"/>
      <c r="BS1" s="1253"/>
      <c r="BT1" s="1253"/>
      <c r="BU1" s="1253"/>
      <c r="BV1" s="1253"/>
      <c r="BW1" s="1253"/>
      <c r="BX1" s="1253"/>
      <c r="BY1" s="1253"/>
      <c r="BZ1" s="1253"/>
      <c r="CA1" s="1253"/>
      <c r="CB1" s="1253"/>
      <c r="CC1" s="1253"/>
      <c r="CD1" s="1253"/>
      <c r="CE1" s="1253"/>
      <c r="CF1" s="1253"/>
      <c r="CG1" s="1253"/>
      <c r="CH1" s="1253"/>
      <c r="CI1" s="1253"/>
      <c r="CJ1" s="1253"/>
      <c r="CK1" s="1253"/>
      <c r="CL1" s="1253"/>
      <c r="CM1" s="1253"/>
      <c r="CN1" s="1253"/>
      <c r="CO1" s="1253"/>
      <c r="CP1" s="1253"/>
      <c r="CQ1" s="1253"/>
      <c r="CR1" s="1253"/>
      <c r="CS1" s="1253"/>
      <c r="CT1" s="1253"/>
      <c r="CU1" s="1253"/>
      <c r="CV1" s="1253"/>
      <c r="CW1" s="1253"/>
      <c r="CX1" s="1253"/>
      <c r="CY1" s="1253"/>
      <c r="CZ1" s="1253"/>
      <c r="DA1" s="1253"/>
      <c r="DB1" s="1253"/>
      <c r="DC1" s="1253"/>
      <c r="DD1" s="1253"/>
      <c r="DE1" s="1253"/>
      <c r="DF1" s="1253"/>
      <c r="DG1" s="1253"/>
      <c r="DH1" s="1253"/>
      <c r="DI1" s="1253"/>
      <c r="DJ1" s="1253"/>
      <c r="DK1" s="1253"/>
      <c r="DL1" s="1253"/>
      <c r="DM1" s="1253"/>
      <c r="DN1" s="1253"/>
      <c r="DO1" s="1253"/>
      <c r="DP1" s="1253"/>
      <c r="DQ1" s="1253"/>
      <c r="DR1" s="1253"/>
      <c r="DS1" s="1253"/>
      <c r="DT1" s="1253"/>
      <c r="DU1" s="1253"/>
      <c r="DV1" s="1253"/>
      <c r="DW1" s="1253"/>
      <c r="DX1" s="1253"/>
      <c r="DY1" s="1253"/>
      <c r="DZ1" s="1253"/>
      <c r="EA1" s="1253"/>
      <c r="EB1" s="1253"/>
      <c r="EC1" s="1253"/>
      <c r="ED1" s="1253"/>
      <c r="EE1" s="1253"/>
      <c r="EF1" s="1253"/>
      <c r="EG1" s="1253"/>
      <c r="EH1" s="1253"/>
      <c r="EI1" s="1253"/>
      <c r="EJ1" s="1253"/>
      <c r="EK1" s="1253"/>
      <c r="EL1" s="1253"/>
      <c r="EM1" s="1253"/>
      <c r="EN1" s="1253"/>
      <c r="EO1" s="1253"/>
      <c r="EP1" s="1253"/>
      <c r="EQ1" s="1253"/>
      <c r="ER1" s="1253"/>
      <c r="ES1" s="1253"/>
      <c r="ET1" s="1253"/>
      <c r="EU1" s="1253"/>
      <c r="EV1" s="1253"/>
      <c r="EW1" s="1253"/>
      <c r="EX1" s="1253"/>
      <c r="EY1" s="1253"/>
      <c r="EZ1" s="1253"/>
      <c r="FA1" s="1253"/>
      <c r="FB1" s="1253"/>
      <c r="FC1" s="1253"/>
      <c r="FD1" s="1253"/>
      <c r="FE1" s="1253"/>
      <c r="FF1" s="1253"/>
      <c r="FG1" s="1253"/>
      <c r="FH1" s="1253"/>
      <c r="FI1" s="1253"/>
      <c r="FJ1" s="1253"/>
      <c r="FK1" s="1253"/>
      <c r="FL1" s="1253"/>
      <c r="FM1" s="1253"/>
      <c r="FN1" s="1253"/>
      <c r="FO1" s="1253"/>
      <c r="FP1" s="1253"/>
      <c r="FQ1" s="1253"/>
      <c r="FR1" s="1253"/>
      <c r="FS1" s="1253"/>
      <c r="FT1" s="1253"/>
      <c r="FU1" s="1253"/>
      <c r="FV1" s="1253"/>
      <c r="FW1" s="1253"/>
      <c r="FX1" s="1253"/>
      <c r="FY1" s="1253"/>
      <c r="FZ1" s="1253"/>
      <c r="GA1" s="1253"/>
      <c r="GB1" s="1253"/>
      <c r="GC1" s="1253"/>
      <c r="GD1" s="1253"/>
      <c r="GE1" s="1253"/>
      <c r="GF1" s="1253"/>
      <c r="GG1" s="1253"/>
      <c r="GH1" s="1253"/>
      <c r="GI1" s="1253"/>
      <c r="GJ1" s="1253"/>
      <c r="GK1" s="1253"/>
      <c r="GL1" s="1253"/>
      <c r="GM1" s="1253"/>
      <c r="GN1" s="1253"/>
      <c r="GO1" s="1253"/>
      <c r="GP1" s="1253"/>
      <c r="GQ1" s="1253"/>
      <c r="GR1" s="1253"/>
      <c r="GS1" s="1253"/>
      <c r="GT1" s="1253"/>
      <c r="GU1" s="1253"/>
      <c r="GV1" s="1253"/>
      <c r="GW1" s="1253"/>
      <c r="GX1" s="1253"/>
      <c r="GY1" s="1253"/>
      <c r="GZ1" s="1253"/>
      <c r="HA1" s="1253"/>
      <c r="HB1" s="1253"/>
      <c r="HC1" s="1253"/>
      <c r="HD1" s="1253"/>
      <c r="HE1" s="1253"/>
      <c r="HF1" s="1253"/>
      <c r="HG1" s="1253"/>
      <c r="HH1" s="1253"/>
      <c r="HI1" s="1253"/>
      <c r="HJ1" s="1253"/>
      <c r="HK1" s="1253"/>
      <c r="HL1" s="1253"/>
      <c r="HM1" s="1253"/>
      <c r="HN1" s="1253"/>
      <c r="HO1" s="1253"/>
      <c r="HP1" s="1253"/>
      <c r="HQ1" s="1253"/>
      <c r="HR1" s="1253"/>
      <c r="HS1" s="1253"/>
      <c r="HT1" s="1253"/>
      <c r="HU1" s="1253"/>
      <c r="HV1" s="1253"/>
      <c r="HW1" s="1253"/>
      <c r="HX1" s="1253"/>
      <c r="HY1" s="1253"/>
      <c r="HZ1" s="1253"/>
      <c r="IA1" s="1253"/>
      <c r="IB1" s="1253"/>
      <c r="IC1" s="1253"/>
      <c r="ID1" s="1253"/>
      <c r="IE1" s="1253"/>
      <c r="IF1" s="1253"/>
      <c r="IG1" s="1253"/>
      <c r="IH1" s="1253"/>
      <c r="II1" s="1253"/>
      <c r="IJ1" s="1253"/>
      <c r="IK1" s="1253"/>
      <c r="IL1" s="1253"/>
      <c r="IM1" s="1253"/>
    </row>
    <row r="2" spans="1:247" s="1254" customFormat="1" ht="24.75" customHeight="1" x14ac:dyDescent="0.35">
      <c r="A2" s="1255"/>
      <c r="B2" s="1899" t="s">
        <v>108</v>
      </c>
      <c r="C2" s="1899"/>
      <c r="D2" s="1899"/>
      <c r="E2" s="1899"/>
      <c r="F2" s="1899"/>
      <c r="G2" s="1899"/>
      <c r="H2" s="1899"/>
      <c r="I2" s="1899"/>
      <c r="J2" s="1899"/>
      <c r="K2" s="1899"/>
    </row>
    <row r="3" spans="1:247" s="1254" customFormat="1" ht="24.75" customHeight="1" x14ac:dyDescent="0.3">
      <c r="A3" s="1255"/>
      <c r="B3" s="1900" t="s">
        <v>1011</v>
      </c>
      <c r="C3" s="1900"/>
      <c r="D3" s="1900"/>
      <c r="E3" s="1900"/>
      <c r="F3" s="1900"/>
      <c r="G3" s="1900"/>
      <c r="H3" s="1900"/>
      <c r="I3" s="1900"/>
      <c r="J3" s="1900"/>
      <c r="K3" s="1900"/>
    </row>
    <row r="4" spans="1:247" ht="18" customHeight="1" x14ac:dyDescent="0.3">
      <c r="A4" s="1256"/>
      <c r="I4" s="1262"/>
      <c r="J4" s="1262"/>
      <c r="K4" s="1262" t="s">
        <v>0</v>
      </c>
    </row>
    <row r="5" spans="1:247" s="1268" customFormat="1" ht="18" customHeight="1" thickBot="1" x14ac:dyDescent="0.35">
      <c r="A5" s="1264"/>
      <c r="B5" s="1265" t="s">
        <v>1</v>
      </c>
      <c r="C5" s="1266" t="s">
        <v>3</v>
      </c>
      <c r="D5" s="1266" t="s">
        <v>2</v>
      </c>
      <c r="E5" s="1266" t="s">
        <v>4</v>
      </c>
      <c r="F5" s="1266" t="s">
        <v>5</v>
      </c>
      <c r="G5" s="1266" t="s">
        <v>15</v>
      </c>
      <c r="H5" s="1266" t="s">
        <v>16</v>
      </c>
      <c r="I5" s="1266" t="s">
        <v>17</v>
      </c>
      <c r="J5" s="1266" t="s">
        <v>32</v>
      </c>
      <c r="K5" s="1267" t="s">
        <v>28</v>
      </c>
      <c r="L5" s="1264"/>
      <c r="M5" s="1264"/>
      <c r="N5" s="1264"/>
      <c r="O5" s="1264"/>
      <c r="P5" s="1264"/>
      <c r="Q5" s="1264"/>
      <c r="R5" s="1264"/>
      <c r="S5" s="1264"/>
      <c r="T5" s="1264"/>
      <c r="U5" s="1264"/>
      <c r="V5" s="1264"/>
      <c r="W5" s="1264"/>
      <c r="X5" s="1264"/>
      <c r="Y5" s="1264"/>
      <c r="Z5" s="1264"/>
      <c r="AA5" s="1264"/>
      <c r="AB5" s="1264"/>
      <c r="AC5" s="1264"/>
      <c r="AD5" s="1264"/>
      <c r="AE5" s="1264"/>
      <c r="AF5" s="1264"/>
      <c r="AG5" s="1264"/>
      <c r="AH5" s="1264"/>
      <c r="AI5" s="1264"/>
      <c r="AJ5" s="1264"/>
      <c r="AK5" s="1264"/>
      <c r="AL5" s="1264"/>
      <c r="AM5" s="1264"/>
      <c r="AN5" s="1264"/>
      <c r="AO5" s="1264"/>
      <c r="AP5" s="1264"/>
      <c r="AQ5" s="1264"/>
      <c r="AR5" s="1264"/>
      <c r="AS5" s="1264"/>
      <c r="AT5" s="1264"/>
      <c r="AU5" s="1264"/>
      <c r="AV5" s="1264"/>
      <c r="AW5" s="1264"/>
      <c r="AX5" s="1264"/>
      <c r="AY5" s="1264"/>
      <c r="AZ5" s="1264"/>
      <c r="BA5" s="1264"/>
      <c r="BB5" s="1264"/>
      <c r="BC5" s="1264"/>
      <c r="BD5" s="1264"/>
      <c r="BE5" s="1264"/>
      <c r="BF5" s="1264"/>
      <c r="BG5" s="1264"/>
      <c r="BH5" s="1264"/>
      <c r="BI5" s="1264"/>
      <c r="BJ5" s="1264"/>
      <c r="BK5" s="1264"/>
      <c r="BL5" s="1264"/>
      <c r="BM5" s="1264"/>
      <c r="BN5" s="1264"/>
      <c r="BO5" s="1264"/>
      <c r="BP5" s="1264"/>
      <c r="BQ5" s="1264"/>
      <c r="BR5" s="1264"/>
      <c r="BS5" s="1264"/>
      <c r="BT5" s="1264"/>
      <c r="BU5" s="1264"/>
      <c r="BV5" s="1264"/>
      <c r="BW5" s="1264"/>
      <c r="BX5" s="1264"/>
      <c r="BY5" s="1264"/>
      <c r="BZ5" s="1264"/>
      <c r="CA5" s="1264"/>
      <c r="CB5" s="1264"/>
      <c r="CC5" s="1264"/>
      <c r="CD5" s="1264"/>
      <c r="CE5" s="1264"/>
      <c r="CF5" s="1264"/>
      <c r="CG5" s="1264"/>
      <c r="CH5" s="1264"/>
      <c r="CI5" s="1264"/>
      <c r="CJ5" s="1264"/>
      <c r="CK5" s="1264"/>
      <c r="CL5" s="1264"/>
      <c r="CM5" s="1264"/>
      <c r="CN5" s="1264"/>
      <c r="CO5" s="1264"/>
      <c r="CP5" s="1264"/>
      <c r="CQ5" s="1264"/>
      <c r="CR5" s="1264"/>
      <c r="CS5" s="1264"/>
      <c r="CT5" s="1264"/>
      <c r="CU5" s="1264"/>
      <c r="CV5" s="1264"/>
      <c r="CW5" s="1264"/>
      <c r="CX5" s="1264"/>
      <c r="CY5" s="1264"/>
      <c r="CZ5" s="1264"/>
      <c r="DA5" s="1264"/>
      <c r="DB5" s="1264"/>
      <c r="DC5" s="1264"/>
      <c r="DD5" s="1264"/>
      <c r="DE5" s="1264"/>
      <c r="DF5" s="1264"/>
      <c r="DG5" s="1264"/>
      <c r="DH5" s="1264"/>
      <c r="DI5" s="1264"/>
      <c r="DJ5" s="1264"/>
      <c r="DK5" s="1264"/>
      <c r="DL5" s="1264"/>
      <c r="DM5" s="1264"/>
      <c r="DN5" s="1264"/>
      <c r="DO5" s="1264"/>
      <c r="DP5" s="1264"/>
      <c r="DQ5" s="1264"/>
      <c r="DR5" s="1264"/>
      <c r="DS5" s="1264"/>
      <c r="DT5" s="1264"/>
      <c r="DU5" s="1264"/>
      <c r="DV5" s="1264"/>
      <c r="DW5" s="1264"/>
      <c r="DX5" s="1264"/>
      <c r="DY5" s="1264"/>
      <c r="DZ5" s="1264"/>
      <c r="EA5" s="1264"/>
      <c r="EB5" s="1264"/>
      <c r="EC5" s="1264"/>
      <c r="ED5" s="1264"/>
      <c r="EE5" s="1264"/>
      <c r="EF5" s="1264"/>
      <c r="EG5" s="1264"/>
      <c r="EH5" s="1264"/>
      <c r="EI5" s="1264"/>
      <c r="EJ5" s="1264"/>
      <c r="EK5" s="1264"/>
      <c r="EL5" s="1264"/>
      <c r="EM5" s="1264"/>
      <c r="EN5" s="1264"/>
      <c r="EO5" s="1264"/>
      <c r="EP5" s="1264"/>
      <c r="EQ5" s="1264"/>
      <c r="ER5" s="1264"/>
      <c r="ES5" s="1264"/>
      <c r="ET5" s="1264"/>
      <c r="EU5" s="1264"/>
      <c r="EV5" s="1264"/>
      <c r="EW5" s="1264"/>
      <c r="EX5" s="1264"/>
      <c r="EY5" s="1264"/>
      <c r="EZ5" s="1264"/>
      <c r="FA5" s="1264"/>
      <c r="FB5" s="1264"/>
      <c r="FC5" s="1264"/>
      <c r="FD5" s="1264"/>
      <c r="FE5" s="1264"/>
      <c r="FF5" s="1264"/>
      <c r="FG5" s="1264"/>
      <c r="FH5" s="1264"/>
      <c r="FI5" s="1264"/>
      <c r="FJ5" s="1264"/>
      <c r="FK5" s="1264"/>
      <c r="FL5" s="1264"/>
      <c r="FM5" s="1264"/>
      <c r="FN5" s="1264"/>
      <c r="FO5" s="1264"/>
      <c r="FP5" s="1264"/>
      <c r="FQ5" s="1264"/>
      <c r="FR5" s="1264"/>
      <c r="FS5" s="1264"/>
      <c r="FT5" s="1264"/>
      <c r="FU5" s="1264"/>
      <c r="FV5" s="1264"/>
      <c r="FW5" s="1264"/>
      <c r="FX5" s="1264"/>
      <c r="FY5" s="1264"/>
      <c r="FZ5" s="1264"/>
      <c r="GA5" s="1264"/>
      <c r="GB5" s="1264"/>
      <c r="GC5" s="1264"/>
      <c r="GD5" s="1264"/>
      <c r="GE5" s="1264"/>
      <c r="GF5" s="1264"/>
      <c r="GG5" s="1264"/>
      <c r="GH5" s="1264"/>
      <c r="GI5" s="1264"/>
      <c r="GJ5" s="1264"/>
      <c r="GK5" s="1264"/>
      <c r="GL5" s="1264"/>
      <c r="GM5" s="1264"/>
      <c r="GN5" s="1264"/>
      <c r="GO5" s="1264"/>
      <c r="GP5" s="1264"/>
      <c r="GQ5" s="1264"/>
      <c r="GR5" s="1264"/>
      <c r="GS5" s="1264"/>
      <c r="GT5" s="1264"/>
      <c r="GU5" s="1264"/>
      <c r="GV5" s="1264"/>
      <c r="GW5" s="1264"/>
      <c r="GX5" s="1264"/>
      <c r="GY5" s="1264"/>
      <c r="GZ5" s="1264"/>
      <c r="HA5" s="1264"/>
      <c r="HB5" s="1264"/>
      <c r="HC5" s="1264"/>
      <c r="HD5" s="1264"/>
      <c r="HE5" s="1264"/>
      <c r="HF5" s="1264"/>
      <c r="HG5" s="1264"/>
      <c r="HH5" s="1264"/>
      <c r="HI5" s="1264"/>
      <c r="HJ5" s="1264"/>
      <c r="HK5" s="1264"/>
      <c r="HL5" s="1264"/>
      <c r="HM5" s="1264"/>
      <c r="HN5" s="1264"/>
      <c r="HO5" s="1264"/>
      <c r="HP5" s="1264"/>
      <c r="HQ5" s="1264"/>
      <c r="HR5" s="1264"/>
      <c r="HS5" s="1264"/>
      <c r="HT5" s="1264"/>
      <c r="HU5" s="1264"/>
      <c r="HV5" s="1264"/>
      <c r="HW5" s="1264"/>
      <c r="HX5" s="1264"/>
      <c r="HY5" s="1264"/>
      <c r="HZ5" s="1264"/>
      <c r="IA5" s="1264"/>
      <c r="IB5" s="1264"/>
      <c r="IC5" s="1264"/>
      <c r="ID5" s="1264"/>
      <c r="IE5" s="1264"/>
      <c r="IF5" s="1264"/>
      <c r="IG5" s="1264"/>
      <c r="IH5" s="1264"/>
      <c r="II5" s="1264"/>
      <c r="IJ5" s="1264"/>
      <c r="IK5" s="1264"/>
      <c r="IL5" s="1264"/>
      <c r="IM5" s="1264"/>
    </row>
    <row r="6" spans="1:247" ht="30" customHeight="1" x14ac:dyDescent="0.3">
      <c r="B6" s="1882" t="s">
        <v>18</v>
      </c>
      <c r="C6" s="1884" t="s">
        <v>19</v>
      </c>
      <c r="D6" s="1886" t="s">
        <v>6</v>
      </c>
      <c r="E6" s="1888" t="s">
        <v>245</v>
      </c>
      <c r="F6" s="1890" t="s">
        <v>769</v>
      </c>
      <c r="G6" s="1890" t="s">
        <v>523</v>
      </c>
      <c r="H6" s="1892" t="s">
        <v>913</v>
      </c>
      <c r="I6" s="1879" t="s">
        <v>848</v>
      </c>
      <c r="J6" s="1901" t="s">
        <v>920</v>
      </c>
      <c r="K6" s="1897" t="s">
        <v>971</v>
      </c>
    </row>
    <row r="7" spans="1:247" ht="60.75" customHeight="1" thickBot="1" x14ac:dyDescent="0.35">
      <c r="B7" s="1883"/>
      <c r="C7" s="1885"/>
      <c r="D7" s="1887"/>
      <c r="E7" s="1889"/>
      <c r="F7" s="1891"/>
      <c r="G7" s="1891"/>
      <c r="H7" s="1893"/>
      <c r="I7" s="1880"/>
      <c r="J7" s="1902"/>
      <c r="K7" s="1898"/>
    </row>
    <row r="8" spans="1:247" s="1278" customFormat="1" ht="22.5" customHeight="1" x14ac:dyDescent="0.3">
      <c r="A8" s="1269">
        <v>1</v>
      </c>
      <c r="B8" s="1270">
        <v>1</v>
      </c>
      <c r="C8" s="1271" t="s">
        <v>255</v>
      </c>
      <c r="D8" s="1272"/>
      <c r="E8" s="1273" t="s">
        <v>23</v>
      </c>
      <c r="F8" s="1274">
        <v>6932</v>
      </c>
      <c r="G8" s="1275"/>
      <c r="H8" s="1276">
        <v>2090</v>
      </c>
      <c r="I8" s="1277"/>
      <c r="J8" s="1388"/>
      <c r="K8" s="1667"/>
    </row>
    <row r="9" spans="1:247" ht="32.25" customHeight="1" x14ac:dyDescent="0.3">
      <c r="A9" s="1269">
        <v>2</v>
      </c>
      <c r="B9" s="1270"/>
      <c r="C9" s="1288">
        <v>1</v>
      </c>
      <c r="D9" s="1280" t="s">
        <v>928</v>
      </c>
      <c r="E9" s="1273"/>
      <c r="F9" s="1281"/>
      <c r="G9" s="1282"/>
      <c r="H9" s="1283"/>
      <c r="I9" s="1284">
        <v>600</v>
      </c>
      <c r="J9" s="1389">
        <v>540</v>
      </c>
      <c r="K9" s="1668"/>
    </row>
    <row r="10" spans="1:247" ht="18" customHeight="1" x14ac:dyDescent="0.3">
      <c r="A10" s="1269">
        <v>3</v>
      </c>
      <c r="B10" s="1270"/>
      <c r="C10" s="1279">
        <v>3</v>
      </c>
      <c r="D10" s="1280" t="s">
        <v>925</v>
      </c>
      <c r="E10" s="1273"/>
      <c r="F10" s="1281"/>
      <c r="G10" s="1282"/>
      <c r="H10" s="1283"/>
      <c r="I10" s="1284"/>
      <c r="J10" s="1389">
        <v>8680</v>
      </c>
      <c r="K10" s="1668"/>
    </row>
    <row r="11" spans="1:247" ht="18" customHeight="1" x14ac:dyDescent="0.3">
      <c r="A11" s="1269">
        <v>4</v>
      </c>
      <c r="B11" s="1270"/>
      <c r="C11" s="1285" t="s">
        <v>292</v>
      </c>
      <c r="D11" s="1286"/>
      <c r="E11" s="1273"/>
      <c r="F11" s="1274">
        <v>948</v>
      </c>
      <c r="G11" s="1275"/>
      <c r="H11" s="1276">
        <v>314</v>
      </c>
      <c r="I11" s="1284"/>
      <c r="J11" s="1389"/>
      <c r="K11" s="1668"/>
    </row>
    <row r="12" spans="1:247" ht="18" customHeight="1" x14ac:dyDescent="0.3">
      <c r="A12" s="1269">
        <v>5</v>
      </c>
      <c r="B12" s="1270"/>
      <c r="C12" s="1279">
        <v>2</v>
      </c>
      <c r="D12" s="1280" t="s">
        <v>964</v>
      </c>
      <c r="E12" s="1273"/>
      <c r="F12" s="1281"/>
      <c r="G12" s="1282"/>
      <c r="H12" s="1283"/>
      <c r="I12" s="1284">
        <v>300</v>
      </c>
      <c r="J12" s="1389">
        <v>100</v>
      </c>
      <c r="K12" s="1668">
        <v>29</v>
      </c>
    </row>
    <row r="13" spans="1:247" ht="18" customHeight="1" x14ac:dyDescent="0.3">
      <c r="A13" s="1269">
        <v>6</v>
      </c>
      <c r="B13" s="1270"/>
      <c r="C13" s="1279">
        <v>4</v>
      </c>
      <c r="D13" s="1280" t="s">
        <v>926</v>
      </c>
      <c r="E13" s="1273"/>
      <c r="F13" s="1281"/>
      <c r="G13" s="1282"/>
      <c r="H13" s="1283"/>
      <c r="I13" s="1284"/>
      <c r="J13" s="1389">
        <v>200</v>
      </c>
      <c r="K13" s="1668">
        <v>68</v>
      </c>
    </row>
    <row r="14" spans="1:247" ht="18" customHeight="1" x14ac:dyDescent="0.3">
      <c r="A14" s="1269">
        <v>7</v>
      </c>
      <c r="B14" s="1270"/>
      <c r="C14" s="1279">
        <v>5</v>
      </c>
      <c r="D14" s="1280" t="s">
        <v>927</v>
      </c>
      <c r="E14" s="1273"/>
      <c r="F14" s="1281"/>
      <c r="G14" s="1282"/>
      <c r="H14" s="1283"/>
      <c r="I14" s="1284"/>
      <c r="J14" s="1389">
        <v>580</v>
      </c>
      <c r="K14" s="1668"/>
    </row>
    <row r="15" spans="1:247" s="1278" customFormat="1" ht="22.5" customHeight="1" x14ac:dyDescent="0.3">
      <c r="A15" s="1269">
        <v>8</v>
      </c>
      <c r="B15" s="1270">
        <v>2</v>
      </c>
      <c r="C15" s="1287" t="s">
        <v>254</v>
      </c>
      <c r="D15" s="1272"/>
      <c r="E15" s="1273" t="s">
        <v>23</v>
      </c>
      <c r="F15" s="1274">
        <v>2478</v>
      </c>
      <c r="G15" s="1275"/>
      <c r="H15" s="1276">
        <v>2754</v>
      </c>
      <c r="I15" s="1277"/>
      <c r="J15" s="1388"/>
      <c r="K15" s="1669"/>
    </row>
    <row r="16" spans="1:247" ht="93.75" customHeight="1" x14ac:dyDescent="0.3">
      <c r="A16" s="1269">
        <v>9</v>
      </c>
      <c r="B16" s="1270"/>
      <c r="C16" s="1288">
        <v>1</v>
      </c>
      <c r="D16" s="1280" t="s">
        <v>933</v>
      </c>
      <c r="E16" s="1273"/>
      <c r="F16" s="1281"/>
      <c r="G16" s="1282"/>
      <c r="H16" s="1283"/>
      <c r="I16" s="1284">
        <v>1100</v>
      </c>
      <c r="J16" s="1389">
        <v>4600</v>
      </c>
      <c r="K16" s="1668">
        <v>1363</v>
      </c>
    </row>
    <row r="17" spans="1:11" ht="49.5" customHeight="1" x14ac:dyDescent="0.3">
      <c r="A17" s="1269">
        <v>10</v>
      </c>
      <c r="B17" s="1270"/>
      <c r="C17" s="1288">
        <v>2</v>
      </c>
      <c r="D17" s="1280" t="s">
        <v>893</v>
      </c>
      <c r="E17" s="1273"/>
      <c r="F17" s="1281"/>
      <c r="G17" s="1282"/>
      <c r="H17" s="1283"/>
      <c r="I17" s="1284"/>
      <c r="J17" s="1389">
        <v>400</v>
      </c>
      <c r="K17" s="1668">
        <v>400</v>
      </c>
    </row>
    <row r="18" spans="1:11" ht="18" customHeight="1" x14ac:dyDescent="0.3">
      <c r="A18" s="1269">
        <v>11</v>
      </c>
      <c r="B18" s="1270"/>
      <c r="C18" s="1285" t="s">
        <v>293</v>
      </c>
      <c r="D18" s="1286"/>
      <c r="E18" s="1273"/>
      <c r="F18" s="1274">
        <v>336</v>
      </c>
      <c r="G18" s="1275"/>
      <c r="H18" s="1276">
        <v>764</v>
      </c>
      <c r="I18" s="1284"/>
      <c r="J18" s="1389"/>
      <c r="K18" s="1668"/>
    </row>
    <row r="19" spans="1:11" ht="78.75" customHeight="1" x14ac:dyDescent="0.3">
      <c r="A19" s="1269">
        <v>12</v>
      </c>
      <c r="B19" s="1270"/>
      <c r="C19" s="1288">
        <v>3</v>
      </c>
      <c r="D19" s="1280" t="s">
        <v>965</v>
      </c>
      <c r="E19" s="1273"/>
      <c r="F19" s="1281"/>
      <c r="G19" s="1282"/>
      <c r="H19" s="1283"/>
      <c r="I19" s="1284">
        <v>600</v>
      </c>
      <c r="J19" s="1389">
        <v>2600</v>
      </c>
      <c r="K19" s="1668">
        <v>1181</v>
      </c>
    </row>
    <row r="20" spans="1:11" ht="18" customHeight="1" x14ac:dyDescent="0.3">
      <c r="A20" s="1269">
        <v>13</v>
      </c>
      <c r="B20" s="1270"/>
      <c r="C20" s="1288">
        <v>4</v>
      </c>
      <c r="D20" s="1280" t="s">
        <v>907</v>
      </c>
      <c r="E20" s="1273"/>
      <c r="F20" s="1281"/>
      <c r="G20" s="1282"/>
      <c r="H20" s="1283"/>
      <c r="I20" s="1284"/>
      <c r="J20" s="1389">
        <v>1000</v>
      </c>
      <c r="K20" s="1668"/>
    </row>
    <row r="21" spans="1:11" s="1278" customFormat="1" ht="22.5" customHeight="1" x14ac:dyDescent="0.3">
      <c r="A21" s="1269">
        <v>14</v>
      </c>
      <c r="B21" s="1270">
        <v>3</v>
      </c>
      <c r="C21" s="1287" t="s">
        <v>223</v>
      </c>
      <c r="D21" s="1272"/>
      <c r="E21" s="1273" t="s">
        <v>23</v>
      </c>
      <c r="F21" s="1274">
        <v>1197</v>
      </c>
      <c r="G21" s="1275"/>
      <c r="H21" s="1276">
        <v>2251</v>
      </c>
      <c r="I21" s="1277"/>
      <c r="J21" s="1388"/>
      <c r="K21" s="1669"/>
    </row>
    <row r="22" spans="1:11" ht="30" customHeight="1" x14ac:dyDescent="0.3">
      <c r="A22" s="1269">
        <v>15</v>
      </c>
      <c r="B22" s="1270"/>
      <c r="C22" s="1279">
        <v>1</v>
      </c>
      <c r="D22" s="1280" t="s">
        <v>922</v>
      </c>
      <c r="E22" s="1273"/>
      <c r="F22" s="1281"/>
      <c r="G22" s="1282"/>
      <c r="H22" s="1283"/>
      <c r="I22" s="1284">
        <v>1000</v>
      </c>
      <c r="J22" s="1389">
        <v>1050</v>
      </c>
      <c r="K22" s="1668">
        <v>981</v>
      </c>
    </row>
    <row r="23" spans="1:11" ht="18" customHeight="1" x14ac:dyDescent="0.3">
      <c r="A23" s="1269">
        <v>16</v>
      </c>
      <c r="B23" s="1270"/>
      <c r="C23" s="1279">
        <v>3</v>
      </c>
      <c r="D23" s="1280" t="s">
        <v>923</v>
      </c>
      <c r="E23" s="1273"/>
      <c r="F23" s="1281"/>
      <c r="G23" s="1282"/>
      <c r="H23" s="1283"/>
      <c r="I23" s="1284"/>
      <c r="J23" s="1389">
        <v>400</v>
      </c>
      <c r="K23" s="1668">
        <v>79</v>
      </c>
    </row>
    <row r="24" spans="1:11" ht="18" customHeight="1" x14ac:dyDescent="0.3">
      <c r="A24" s="1269">
        <v>17</v>
      </c>
      <c r="B24" s="1270"/>
      <c r="C24" s="1285" t="s">
        <v>342</v>
      </c>
      <c r="D24" s="1286"/>
      <c r="E24" s="1273"/>
      <c r="F24" s="1274">
        <v>328</v>
      </c>
      <c r="G24" s="1275"/>
      <c r="H24" s="1276">
        <v>414</v>
      </c>
      <c r="I24" s="1284"/>
      <c r="J24" s="1389"/>
      <c r="K24" s="1668"/>
    </row>
    <row r="25" spans="1:11" ht="18" customHeight="1" x14ac:dyDescent="0.3">
      <c r="A25" s="1269">
        <v>18</v>
      </c>
      <c r="B25" s="1270"/>
      <c r="C25" s="1279">
        <v>2</v>
      </c>
      <c r="D25" s="1280" t="s">
        <v>863</v>
      </c>
      <c r="E25" s="1273"/>
      <c r="F25" s="1281"/>
      <c r="G25" s="1282"/>
      <c r="H25" s="1283"/>
      <c r="I25" s="1284">
        <v>1000</v>
      </c>
      <c r="J25" s="1389">
        <v>650</v>
      </c>
      <c r="K25" s="1668">
        <v>18</v>
      </c>
    </row>
    <row r="26" spans="1:11" s="1278" customFormat="1" ht="22.5" customHeight="1" x14ac:dyDescent="0.3">
      <c r="A26" s="1269">
        <v>19</v>
      </c>
      <c r="B26" s="1270">
        <v>4</v>
      </c>
      <c r="C26" s="1287" t="s">
        <v>224</v>
      </c>
      <c r="D26" s="1272"/>
      <c r="E26" s="1273" t="s">
        <v>23</v>
      </c>
      <c r="F26" s="1274">
        <v>5084</v>
      </c>
      <c r="G26" s="1275"/>
      <c r="H26" s="1276">
        <v>2906</v>
      </c>
      <c r="I26" s="1277"/>
      <c r="J26" s="1388"/>
      <c r="K26" s="1669"/>
    </row>
    <row r="27" spans="1:11" ht="18" customHeight="1" x14ac:dyDescent="0.3">
      <c r="A27" s="1269">
        <v>20</v>
      </c>
      <c r="B27" s="1270"/>
      <c r="C27" s="1279">
        <v>1</v>
      </c>
      <c r="D27" s="1280" t="s">
        <v>856</v>
      </c>
      <c r="E27" s="1273"/>
      <c r="F27" s="1281"/>
      <c r="G27" s="1282"/>
      <c r="H27" s="1283"/>
      <c r="I27" s="1284">
        <v>1100</v>
      </c>
      <c r="J27" s="1389">
        <v>1030</v>
      </c>
      <c r="K27" s="1668">
        <v>315</v>
      </c>
    </row>
    <row r="28" spans="1:11" ht="18" customHeight="1" x14ac:dyDescent="0.3">
      <c r="A28" s="1269">
        <v>21</v>
      </c>
      <c r="B28" s="1270"/>
      <c r="C28" s="1279">
        <v>2</v>
      </c>
      <c r="D28" s="1280" t="s">
        <v>853</v>
      </c>
      <c r="E28" s="1273"/>
      <c r="F28" s="1281"/>
      <c r="G28" s="1282"/>
      <c r="H28" s="1283"/>
      <c r="I28" s="1284"/>
      <c r="J28" s="1389">
        <v>1800</v>
      </c>
      <c r="K28" s="1668">
        <v>268</v>
      </c>
    </row>
    <row r="29" spans="1:11" ht="18" customHeight="1" x14ac:dyDescent="0.3">
      <c r="A29" s="1269">
        <v>22</v>
      </c>
      <c r="B29" s="1270"/>
      <c r="C29" s="1279">
        <v>3</v>
      </c>
      <c r="D29" s="1280" t="s">
        <v>855</v>
      </c>
      <c r="E29" s="1273"/>
      <c r="F29" s="1281"/>
      <c r="G29" s="1282"/>
      <c r="H29" s="1283"/>
      <c r="I29" s="1284"/>
      <c r="J29" s="1389">
        <v>600</v>
      </c>
      <c r="K29" s="1668">
        <v>530</v>
      </c>
    </row>
    <row r="30" spans="1:11" ht="18" customHeight="1" x14ac:dyDescent="0.3">
      <c r="A30" s="1269">
        <v>23</v>
      </c>
      <c r="B30" s="1270"/>
      <c r="C30" s="1279">
        <v>4</v>
      </c>
      <c r="D30" s="1280" t="s">
        <v>857</v>
      </c>
      <c r="E30" s="1273"/>
      <c r="F30" s="1281"/>
      <c r="G30" s="1282"/>
      <c r="H30" s="1283"/>
      <c r="I30" s="1284"/>
      <c r="J30" s="1389">
        <v>300</v>
      </c>
      <c r="K30" s="1668"/>
    </row>
    <row r="31" spans="1:11" ht="18" customHeight="1" x14ac:dyDescent="0.3">
      <c r="A31" s="1269">
        <v>24</v>
      </c>
      <c r="B31" s="1270"/>
      <c r="C31" s="1279">
        <v>5</v>
      </c>
      <c r="D31" s="1280" t="s">
        <v>858</v>
      </c>
      <c r="E31" s="1273"/>
      <c r="F31" s="1281"/>
      <c r="G31" s="1282"/>
      <c r="H31" s="1283"/>
      <c r="I31" s="1284"/>
      <c r="J31" s="1389">
        <v>300</v>
      </c>
      <c r="K31" s="1668">
        <v>220</v>
      </c>
    </row>
    <row r="32" spans="1:11" ht="18" customHeight="1" x14ac:dyDescent="0.3">
      <c r="A32" s="1269">
        <v>25</v>
      </c>
      <c r="B32" s="1270"/>
      <c r="C32" s="1279">
        <v>6</v>
      </c>
      <c r="D32" s="1280" t="s">
        <v>859</v>
      </c>
      <c r="E32" s="1273"/>
      <c r="F32" s="1281"/>
      <c r="G32" s="1282"/>
      <c r="H32" s="1283"/>
      <c r="I32" s="1284"/>
      <c r="J32" s="1389">
        <v>440</v>
      </c>
      <c r="K32" s="1668"/>
    </row>
    <row r="33" spans="1:11" ht="18" customHeight="1" x14ac:dyDescent="0.3">
      <c r="A33" s="1269">
        <v>26</v>
      </c>
      <c r="B33" s="1270"/>
      <c r="C33" s="1279">
        <v>7</v>
      </c>
      <c r="D33" s="1280" t="s">
        <v>860</v>
      </c>
      <c r="E33" s="1273"/>
      <c r="F33" s="1281"/>
      <c r="G33" s="1282"/>
      <c r="H33" s="1283"/>
      <c r="I33" s="1284"/>
      <c r="J33" s="1389">
        <v>330</v>
      </c>
      <c r="K33" s="1668"/>
    </row>
    <row r="34" spans="1:11" ht="18" customHeight="1" x14ac:dyDescent="0.3">
      <c r="A34" s="1269">
        <v>27</v>
      </c>
      <c r="B34" s="1270"/>
      <c r="C34" s="1289" t="s">
        <v>294</v>
      </c>
      <c r="D34" s="1290"/>
      <c r="E34" s="1273"/>
      <c r="F34" s="1274">
        <v>1157</v>
      </c>
      <c r="G34" s="1275"/>
      <c r="H34" s="1276">
        <v>1235</v>
      </c>
      <c r="I34" s="1284"/>
      <c r="J34" s="1389"/>
      <c r="K34" s="1668"/>
    </row>
    <row r="35" spans="1:11" ht="32.25" customHeight="1" x14ac:dyDescent="0.3">
      <c r="A35" s="1269">
        <v>28</v>
      </c>
      <c r="B35" s="1270"/>
      <c r="C35" s="1288">
        <v>8</v>
      </c>
      <c r="D35" s="1280" t="s">
        <v>862</v>
      </c>
      <c r="E35" s="1273"/>
      <c r="F35" s="1281"/>
      <c r="G35" s="1282"/>
      <c r="H35" s="1283"/>
      <c r="I35" s="1284">
        <v>300</v>
      </c>
      <c r="J35" s="1389">
        <v>605</v>
      </c>
      <c r="K35" s="1668">
        <v>100</v>
      </c>
    </row>
    <row r="36" spans="1:11" ht="18" customHeight="1" x14ac:dyDescent="0.3">
      <c r="A36" s="1269">
        <v>29</v>
      </c>
      <c r="B36" s="1270"/>
      <c r="C36" s="1279">
        <v>9</v>
      </c>
      <c r="D36" s="1280" t="s">
        <v>853</v>
      </c>
      <c r="E36" s="1273"/>
      <c r="F36" s="1281"/>
      <c r="G36" s="1282"/>
      <c r="H36" s="1283"/>
      <c r="I36" s="1284"/>
      <c r="J36" s="1389">
        <v>265</v>
      </c>
      <c r="K36" s="1668">
        <v>265</v>
      </c>
    </row>
    <row r="37" spans="1:11" ht="18" customHeight="1" x14ac:dyDescent="0.3">
      <c r="A37" s="1269">
        <v>30</v>
      </c>
      <c r="B37" s="1270"/>
      <c r="C37" s="1279">
        <v>10</v>
      </c>
      <c r="D37" s="1280" t="s">
        <v>861</v>
      </c>
      <c r="E37" s="1273"/>
      <c r="F37" s="1281"/>
      <c r="G37" s="1282"/>
      <c r="H37" s="1283"/>
      <c r="I37" s="1284"/>
      <c r="J37" s="1389">
        <v>350</v>
      </c>
      <c r="K37" s="1668"/>
    </row>
    <row r="38" spans="1:11" s="1278" customFormat="1" ht="22.5" customHeight="1" x14ac:dyDescent="0.3">
      <c r="A38" s="1269">
        <v>31</v>
      </c>
      <c r="B38" s="1270">
        <v>5</v>
      </c>
      <c r="C38" s="1287" t="s">
        <v>225</v>
      </c>
      <c r="D38" s="1272"/>
      <c r="E38" s="1273" t="s">
        <v>23</v>
      </c>
      <c r="F38" s="1274">
        <v>1178</v>
      </c>
      <c r="G38" s="1275"/>
      <c r="H38" s="1276">
        <v>1668</v>
      </c>
      <c r="I38" s="1277"/>
      <c r="J38" s="1388"/>
      <c r="K38" s="1669"/>
    </row>
    <row r="39" spans="1:11" ht="18" customHeight="1" x14ac:dyDescent="0.3">
      <c r="A39" s="1269">
        <v>32</v>
      </c>
      <c r="B39" s="1270"/>
      <c r="C39" s="1279">
        <v>1</v>
      </c>
      <c r="D39" s="1280" t="s">
        <v>854</v>
      </c>
      <c r="E39" s="1273"/>
      <c r="F39" s="1281"/>
      <c r="G39" s="1282"/>
      <c r="H39" s="1283"/>
      <c r="I39" s="1284">
        <v>800</v>
      </c>
      <c r="J39" s="1389">
        <v>973</v>
      </c>
      <c r="K39" s="1668">
        <v>173</v>
      </c>
    </row>
    <row r="40" spans="1:11" ht="32.25" customHeight="1" x14ac:dyDescent="0.3">
      <c r="A40" s="1269">
        <v>33</v>
      </c>
      <c r="B40" s="1270"/>
      <c r="C40" s="1288">
        <v>2</v>
      </c>
      <c r="D40" s="1280" t="s">
        <v>850</v>
      </c>
      <c r="E40" s="1273"/>
      <c r="F40" s="1281"/>
      <c r="G40" s="1282"/>
      <c r="H40" s="1283"/>
      <c r="I40" s="1284"/>
      <c r="J40" s="1389">
        <v>400</v>
      </c>
      <c r="K40" s="1668"/>
    </row>
    <row r="41" spans="1:11" ht="18" customHeight="1" x14ac:dyDescent="0.3">
      <c r="A41" s="1269">
        <v>34</v>
      </c>
      <c r="B41" s="1270"/>
      <c r="C41" s="1288">
        <v>3</v>
      </c>
      <c r="D41" s="1280" t="s">
        <v>852</v>
      </c>
      <c r="E41" s="1273"/>
      <c r="F41" s="1281"/>
      <c r="G41" s="1282"/>
      <c r="H41" s="1283"/>
      <c r="I41" s="1284"/>
      <c r="J41" s="1389">
        <v>800</v>
      </c>
      <c r="K41" s="1668"/>
    </row>
    <row r="42" spans="1:11" ht="18" customHeight="1" x14ac:dyDescent="0.3">
      <c r="A42" s="1269">
        <v>35</v>
      </c>
      <c r="B42" s="1270"/>
      <c r="C42" s="1289" t="s">
        <v>295</v>
      </c>
      <c r="D42" s="1290"/>
      <c r="E42" s="1273"/>
      <c r="F42" s="1274">
        <v>1229</v>
      </c>
      <c r="G42" s="1275"/>
      <c r="H42" s="1276">
        <v>2017</v>
      </c>
      <c r="I42" s="1284"/>
      <c r="J42" s="1389"/>
      <c r="K42" s="1668"/>
    </row>
    <row r="43" spans="1:11" ht="18" customHeight="1" x14ac:dyDescent="0.3">
      <c r="A43" s="1269">
        <v>36</v>
      </c>
      <c r="B43" s="1270"/>
      <c r="C43" s="1279">
        <v>4</v>
      </c>
      <c r="D43" s="1280" t="s">
        <v>725</v>
      </c>
      <c r="E43" s="1273"/>
      <c r="F43" s="1281"/>
      <c r="G43" s="1282"/>
      <c r="H43" s="1283"/>
      <c r="I43" s="1284">
        <v>800</v>
      </c>
      <c r="J43" s="1389">
        <v>800</v>
      </c>
      <c r="K43" s="1668"/>
    </row>
    <row r="44" spans="1:11" ht="33" customHeight="1" x14ac:dyDescent="0.3">
      <c r="A44" s="1269">
        <v>37</v>
      </c>
      <c r="B44" s="1270"/>
      <c r="C44" s="1288">
        <v>5</v>
      </c>
      <c r="D44" s="1280" t="s">
        <v>851</v>
      </c>
      <c r="E44" s="1273"/>
      <c r="F44" s="1281"/>
      <c r="G44" s="1282"/>
      <c r="H44" s="1283"/>
      <c r="I44" s="1284"/>
      <c r="J44" s="1389">
        <v>200</v>
      </c>
      <c r="K44" s="1668">
        <v>169</v>
      </c>
    </row>
    <row r="45" spans="1:11" ht="18" customHeight="1" x14ac:dyDescent="0.3">
      <c r="A45" s="1269">
        <v>38</v>
      </c>
      <c r="B45" s="1270"/>
      <c r="C45" s="1288">
        <v>6</v>
      </c>
      <c r="D45" s="1280" t="s">
        <v>852</v>
      </c>
      <c r="E45" s="1273"/>
      <c r="F45" s="1281"/>
      <c r="G45" s="1282"/>
      <c r="H45" s="1283"/>
      <c r="I45" s="1284"/>
      <c r="J45" s="1389">
        <v>1000</v>
      </c>
      <c r="K45" s="1668"/>
    </row>
    <row r="46" spans="1:11" s="1278" customFormat="1" ht="22.5" customHeight="1" x14ac:dyDescent="0.3">
      <c r="A46" s="1269">
        <v>39</v>
      </c>
      <c r="B46" s="1270">
        <v>6</v>
      </c>
      <c r="C46" s="1287" t="s">
        <v>226</v>
      </c>
      <c r="D46" s="1272"/>
      <c r="E46" s="1273" t="s">
        <v>23</v>
      </c>
      <c r="F46" s="1274">
        <v>1240</v>
      </c>
      <c r="G46" s="1275"/>
      <c r="H46" s="1276">
        <v>1615</v>
      </c>
      <c r="I46" s="1277"/>
      <c r="J46" s="1388"/>
      <c r="K46" s="1669"/>
    </row>
    <row r="47" spans="1:11" ht="31.5" customHeight="1" x14ac:dyDescent="0.3">
      <c r="A47" s="1269">
        <v>40</v>
      </c>
      <c r="B47" s="1270"/>
      <c r="C47" s="1279">
        <v>1</v>
      </c>
      <c r="D47" s="1280" t="s">
        <v>864</v>
      </c>
      <c r="E47" s="1273"/>
      <c r="F47" s="1281"/>
      <c r="G47" s="1282"/>
      <c r="H47" s="1283"/>
      <c r="I47" s="1284">
        <v>500</v>
      </c>
      <c r="J47" s="1389">
        <v>1300</v>
      </c>
      <c r="K47" s="1668">
        <v>240</v>
      </c>
    </row>
    <row r="48" spans="1:11" ht="18" customHeight="1" x14ac:dyDescent="0.3">
      <c r="A48" s="1269">
        <v>41</v>
      </c>
      <c r="B48" s="1270"/>
      <c r="C48" s="1279">
        <v>3</v>
      </c>
      <c r="D48" s="1280" t="s">
        <v>924</v>
      </c>
      <c r="E48" s="1273"/>
      <c r="F48" s="1281"/>
      <c r="G48" s="1282"/>
      <c r="H48" s="1283"/>
      <c r="I48" s="1284"/>
      <c r="J48" s="1389">
        <v>406</v>
      </c>
      <c r="K48" s="1668">
        <v>359</v>
      </c>
    </row>
    <row r="49" spans="1:11" ht="18" customHeight="1" x14ac:dyDescent="0.3">
      <c r="A49" s="1269">
        <v>42</v>
      </c>
      <c r="B49" s="1270"/>
      <c r="C49" s="1289" t="s">
        <v>296</v>
      </c>
      <c r="D49" s="1290"/>
      <c r="E49" s="1273"/>
      <c r="F49" s="1274">
        <v>6284</v>
      </c>
      <c r="G49" s="1275"/>
      <c r="H49" s="1276">
        <v>1438</v>
      </c>
      <c r="I49" s="1284"/>
      <c r="J49" s="1389"/>
      <c r="K49" s="1668"/>
    </row>
    <row r="50" spans="1:11" ht="18" customHeight="1" x14ac:dyDescent="0.3">
      <c r="A50" s="1269">
        <v>43</v>
      </c>
      <c r="B50" s="1270"/>
      <c r="C50" s="1279">
        <v>2</v>
      </c>
      <c r="D50" s="1280" t="s">
        <v>725</v>
      </c>
      <c r="E50" s="1273"/>
      <c r="F50" s="1281"/>
      <c r="G50" s="1282"/>
      <c r="H50" s="1283"/>
      <c r="I50" s="1284">
        <v>200</v>
      </c>
      <c r="J50" s="1389">
        <v>200</v>
      </c>
      <c r="K50" s="1668">
        <v>81</v>
      </c>
    </row>
    <row r="51" spans="1:11" ht="18" customHeight="1" x14ac:dyDescent="0.3">
      <c r="A51" s="1269">
        <v>44</v>
      </c>
      <c r="B51" s="1270"/>
      <c r="C51" s="1302">
        <v>4</v>
      </c>
      <c r="D51" s="1280" t="s">
        <v>924</v>
      </c>
      <c r="E51" s="1273"/>
      <c r="F51" s="1281"/>
      <c r="G51" s="1282"/>
      <c r="H51" s="1283"/>
      <c r="I51" s="1284"/>
      <c r="J51" s="1389">
        <v>244</v>
      </c>
      <c r="K51" s="1668">
        <v>153</v>
      </c>
    </row>
    <row r="52" spans="1:11" ht="18" customHeight="1" x14ac:dyDescent="0.3">
      <c r="A52" s="1269">
        <v>45</v>
      </c>
      <c r="B52" s="1270"/>
      <c r="C52" s="1302">
        <v>5</v>
      </c>
      <c r="D52" s="1280" t="s">
        <v>943</v>
      </c>
      <c r="E52" s="1273"/>
      <c r="F52" s="1281"/>
      <c r="G52" s="1282"/>
      <c r="H52" s="1283"/>
      <c r="I52" s="1284"/>
      <c r="J52" s="1389">
        <v>100</v>
      </c>
      <c r="K52" s="1668"/>
    </row>
    <row r="53" spans="1:11" s="1278" customFormat="1" ht="22.5" customHeight="1" x14ac:dyDescent="0.3">
      <c r="A53" s="1269">
        <v>46</v>
      </c>
      <c r="B53" s="1270">
        <v>7</v>
      </c>
      <c r="C53" s="1271" t="s">
        <v>260</v>
      </c>
      <c r="D53" s="1272"/>
      <c r="E53" s="1273" t="s">
        <v>23</v>
      </c>
      <c r="F53" s="1291"/>
      <c r="G53" s="1275"/>
      <c r="H53" s="1292"/>
      <c r="I53" s="1277"/>
      <c r="J53" s="1388"/>
      <c r="K53" s="1669"/>
    </row>
    <row r="54" spans="1:11" ht="18" customHeight="1" x14ac:dyDescent="0.3">
      <c r="A54" s="1269">
        <v>47</v>
      </c>
      <c r="B54" s="1270"/>
      <c r="C54" s="1289" t="s">
        <v>313</v>
      </c>
      <c r="D54" s="1293"/>
      <c r="E54" s="1273"/>
      <c r="F54" s="1274">
        <v>610</v>
      </c>
      <c r="G54" s="1275"/>
      <c r="H54" s="1276">
        <v>480</v>
      </c>
      <c r="I54" s="1284"/>
      <c r="J54" s="1389"/>
      <c r="K54" s="1668"/>
    </row>
    <row r="55" spans="1:11" ht="18" customHeight="1" x14ac:dyDescent="0.3">
      <c r="A55" s="1269">
        <v>48</v>
      </c>
      <c r="B55" s="1270"/>
      <c r="C55" s="1279">
        <v>1</v>
      </c>
      <c r="D55" s="1280" t="s">
        <v>865</v>
      </c>
      <c r="E55" s="1273"/>
      <c r="F55" s="1281"/>
      <c r="G55" s="1282"/>
      <c r="H55" s="1283"/>
      <c r="I55" s="1284">
        <v>400</v>
      </c>
      <c r="J55" s="1389">
        <v>1400</v>
      </c>
      <c r="K55" s="1668"/>
    </row>
    <row r="56" spans="1:11" ht="18" customHeight="1" x14ac:dyDescent="0.3">
      <c r="A56" s="1269">
        <v>49</v>
      </c>
      <c r="B56" s="1270"/>
      <c r="C56" s="1289" t="s">
        <v>297</v>
      </c>
      <c r="D56" s="1293"/>
      <c r="E56" s="1273"/>
      <c r="F56" s="1274">
        <v>647</v>
      </c>
      <c r="G56" s="1275"/>
      <c r="H56" s="1276">
        <v>1193</v>
      </c>
      <c r="I56" s="1284"/>
      <c r="J56" s="1389"/>
      <c r="K56" s="1668"/>
    </row>
    <row r="57" spans="1:11" ht="18" customHeight="1" x14ac:dyDescent="0.3">
      <c r="A57" s="1269">
        <v>50</v>
      </c>
      <c r="B57" s="1270"/>
      <c r="C57" s="1279">
        <v>2</v>
      </c>
      <c r="D57" s="1280" t="s">
        <v>865</v>
      </c>
      <c r="E57" s="1273"/>
      <c r="F57" s="1281"/>
      <c r="G57" s="1282"/>
      <c r="H57" s="1283"/>
      <c r="I57" s="1284">
        <v>800</v>
      </c>
      <c r="J57" s="1389">
        <v>2800</v>
      </c>
      <c r="K57" s="1668"/>
    </row>
    <row r="58" spans="1:11" ht="18" customHeight="1" x14ac:dyDescent="0.3">
      <c r="A58" s="1269">
        <v>51</v>
      </c>
      <c r="B58" s="1270"/>
      <c r="C58" s="1289" t="s">
        <v>298</v>
      </c>
      <c r="D58" s="1293"/>
      <c r="E58" s="1273"/>
      <c r="F58" s="1274">
        <v>1045</v>
      </c>
      <c r="G58" s="1275"/>
      <c r="H58" s="1276">
        <v>1436</v>
      </c>
      <c r="I58" s="1284"/>
      <c r="J58" s="1389"/>
      <c r="K58" s="1668"/>
    </row>
    <row r="59" spans="1:11" ht="18" customHeight="1" x14ac:dyDescent="0.3">
      <c r="A59" s="1269">
        <v>52</v>
      </c>
      <c r="B59" s="1270"/>
      <c r="C59" s="1279">
        <v>3</v>
      </c>
      <c r="D59" s="1280" t="s">
        <v>865</v>
      </c>
      <c r="E59" s="1273"/>
      <c r="F59" s="1281"/>
      <c r="G59" s="1282"/>
      <c r="H59" s="1283"/>
      <c r="I59" s="1284">
        <v>1200</v>
      </c>
      <c r="J59" s="1389">
        <v>4200</v>
      </c>
      <c r="K59" s="1668"/>
    </row>
    <row r="60" spans="1:11" ht="18" customHeight="1" x14ac:dyDescent="0.3">
      <c r="A60" s="1269">
        <v>53</v>
      </c>
      <c r="B60" s="1270"/>
      <c r="C60" s="1289" t="s">
        <v>300</v>
      </c>
      <c r="D60" s="1290"/>
      <c r="E60" s="1273"/>
      <c r="F60" s="1274">
        <v>1285</v>
      </c>
      <c r="G60" s="1275"/>
      <c r="H60" s="1276">
        <v>1420</v>
      </c>
      <c r="I60" s="1284"/>
      <c r="J60" s="1389"/>
      <c r="K60" s="1668"/>
    </row>
    <row r="61" spans="1:11" ht="18" customHeight="1" x14ac:dyDescent="0.3">
      <c r="A61" s="1269">
        <v>54</v>
      </c>
      <c r="B61" s="1270"/>
      <c r="C61" s="1279">
        <v>4</v>
      </c>
      <c r="D61" s="1280" t="s">
        <v>865</v>
      </c>
      <c r="E61" s="1273"/>
      <c r="F61" s="1281"/>
      <c r="G61" s="1282"/>
      <c r="H61" s="1283"/>
      <c r="I61" s="1284">
        <v>1000</v>
      </c>
      <c r="J61" s="1389">
        <v>4700</v>
      </c>
      <c r="K61" s="1668"/>
    </row>
    <row r="62" spans="1:11" ht="18" customHeight="1" x14ac:dyDescent="0.3">
      <c r="A62" s="1269">
        <v>55</v>
      </c>
      <c r="B62" s="1270"/>
      <c r="C62" s="1289" t="s">
        <v>299</v>
      </c>
      <c r="D62" s="1293"/>
      <c r="E62" s="1273"/>
      <c r="F62" s="1274">
        <v>982</v>
      </c>
      <c r="G62" s="1275"/>
      <c r="H62" s="1276">
        <v>949</v>
      </c>
      <c r="I62" s="1284"/>
      <c r="J62" s="1389"/>
      <c r="K62" s="1668"/>
    </row>
    <row r="63" spans="1:11" ht="18" customHeight="1" x14ac:dyDescent="0.3">
      <c r="A63" s="1269">
        <v>56</v>
      </c>
      <c r="B63" s="1270"/>
      <c r="C63" s="1279">
        <v>5</v>
      </c>
      <c r="D63" s="1280" t="s">
        <v>865</v>
      </c>
      <c r="E63" s="1273"/>
      <c r="F63" s="1281"/>
      <c r="G63" s="1282"/>
      <c r="H63" s="1283"/>
      <c r="I63" s="1284">
        <v>800</v>
      </c>
      <c r="J63" s="1389">
        <v>2800</v>
      </c>
      <c r="K63" s="1668"/>
    </row>
    <row r="64" spans="1:11" ht="18" customHeight="1" x14ac:dyDescent="0.3">
      <c r="A64" s="1269">
        <v>57</v>
      </c>
      <c r="B64" s="1270"/>
      <c r="C64" s="1289" t="s">
        <v>356</v>
      </c>
      <c r="D64" s="1293"/>
      <c r="E64" s="1273"/>
      <c r="F64" s="1274">
        <v>128</v>
      </c>
      <c r="G64" s="1275"/>
      <c r="H64" s="1276">
        <v>60</v>
      </c>
      <c r="I64" s="1284"/>
      <c r="J64" s="1389"/>
      <c r="K64" s="1668"/>
    </row>
    <row r="65" spans="1:11" ht="18" customHeight="1" x14ac:dyDescent="0.3">
      <c r="A65" s="1269">
        <v>58</v>
      </c>
      <c r="B65" s="1270"/>
      <c r="C65" s="1279">
        <v>6</v>
      </c>
      <c r="D65" s="1280" t="s">
        <v>865</v>
      </c>
      <c r="E65" s="1273"/>
      <c r="F65" s="1281"/>
      <c r="G65" s="1282"/>
      <c r="H65" s="1283"/>
      <c r="I65" s="1284">
        <v>100</v>
      </c>
      <c r="J65" s="1389">
        <v>400</v>
      </c>
      <c r="K65" s="1668"/>
    </row>
    <row r="66" spans="1:11" ht="18" customHeight="1" x14ac:dyDescent="0.3">
      <c r="A66" s="1269">
        <v>59</v>
      </c>
      <c r="B66" s="1270"/>
      <c r="C66" s="1289" t="s">
        <v>274</v>
      </c>
      <c r="D66" s="1290"/>
      <c r="E66" s="1273"/>
      <c r="F66" s="1274">
        <v>1980</v>
      </c>
      <c r="G66" s="1275"/>
      <c r="H66" s="1276">
        <v>21889</v>
      </c>
      <c r="I66" s="1277"/>
      <c r="J66" s="1388"/>
      <c r="K66" s="1668"/>
    </row>
    <row r="67" spans="1:11" ht="18" customHeight="1" x14ac:dyDescent="0.3">
      <c r="A67" s="1269">
        <v>60</v>
      </c>
      <c r="B67" s="1270"/>
      <c r="C67" s="1294" t="s">
        <v>726</v>
      </c>
      <c r="D67" s="1290"/>
      <c r="E67" s="1273"/>
      <c r="F67" s="1274"/>
      <c r="G67" s="1275"/>
      <c r="H67" s="1276"/>
      <c r="I67" s="1277"/>
      <c r="J67" s="1388"/>
      <c r="K67" s="1668"/>
    </row>
    <row r="68" spans="1:11" ht="18" customHeight="1" x14ac:dyDescent="0.3">
      <c r="A68" s="1269">
        <v>61</v>
      </c>
      <c r="B68" s="1270"/>
      <c r="C68" s="1279">
        <v>7</v>
      </c>
      <c r="D68" s="1280" t="s">
        <v>727</v>
      </c>
      <c r="E68" s="1273"/>
      <c r="F68" s="1274"/>
      <c r="G68" s="1275"/>
      <c r="H68" s="1276"/>
      <c r="I68" s="1284">
        <v>900</v>
      </c>
      <c r="J68" s="1389">
        <v>900</v>
      </c>
      <c r="K68" s="1668"/>
    </row>
    <row r="69" spans="1:11" ht="18" customHeight="1" x14ac:dyDescent="0.3">
      <c r="A69" s="1269">
        <v>62</v>
      </c>
      <c r="B69" s="1270"/>
      <c r="C69" s="1279">
        <v>8</v>
      </c>
      <c r="D69" s="1280" t="s">
        <v>728</v>
      </c>
      <c r="E69" s="1273"/>
      <c r="F69" s="1274"/>
      <c r="G69" s="1275"/>
      <c r="H69" s="1276"/>
      <c r="I69" s="1284">
        <v>450</v>
      </c>
      <c r="J69" s="1389">
        <v>450</v>
      </c>
      <c r="K69" s="1668">
        <v>251</v>
      </c>
    </row>
    <row r="70" spans="1:11" ht="18" customHeight="1" x14ac:dyDescent="0.3">
      <c r="A70" s="1269">
        <v>63</v>
      </c>
      <c r="B70" s="1270"/>
      <c r="C70" s="1279">
        <v>9</v>
      </c>
      <c r="D70" s="1280" t="s">
        <v>729</v>
      </c>
      <c r="E70" s="1273"/>
      <c r="F70" s="1274"/>
      <c r="G70" s="1275"/>
      <c r="H70" s="1276"/>
      <c r="I70" s="1284">
        <v>270</v>
      </c>
      <c r="J70" s="1389">
        <v>270</v>
      </c>
      <c r="K70" s="1668"/>
    </row>
    <row r="71" spans="1:11" ht="18" customHeight="1" x14ac:dyDescent="0.3">
      <c r="A71" s="1269">
        <v>64</v>
      </c>
      <c r="B71" s="1270"/>
      <c r="C71" s="1279">
        <v>10</v>
      </c>
      <c r="D71" s="1280" t="s">
        <v>730</v>
      </c>
      <c r="E71" s="1273"/>
      <c r="F71" s="1274"/>
      <c r="G71" s="1275"/>
      <c r="H71" s="1276"/>
      <c r="I71" s="1284">
        <v>200</v>
      </c>
      <c r="J71" s="1389">
        <v>200</v>
      </c>
      <c r="K71" s="1668"/>
    </row>
    <row r="72" spans="1:11" ht="18" customHeight="1" x14ac:dyDescent="0.3">
      <c r="A72" s="1269">
        <v>65</v>
      </c>
      <c r="B72" s="1270"/>
      <c r="C72" s="1279">
        <v>11</v>
      </c>
      <c r="D72" s="1280" t="s">
        <v>731</v>
      </c>
      <c r="E72" s="1273"/>
      <c r="F72" s="1274"/>
      <c r="G72" s="1275"/>
      <c r="H72" s="1276"/>
      <c r="I72" s="1284">
        <v>111</v>
      </c>
      <c r="J72" s="1389">
        <v>111</v>
      </c>
      <c r="K72" s="1668"/>
    </row>
    <row r="73" spans="1:11" ht="18" customHeight="1" x14ac:dyDescent="0.3">
      <c r="A73" s="1269">
        <v>66</v>
      </c>
      <c r="B73" s="1270"/>
      <c r="C73" s="1279">
        <v>12</v>
      </c>
      <c r="D73" s="1280" t="s">
        <v>732</v>
      </c>
      <c r="E73" s="1273"/>
      <c r="F73" s="1274"/>
      <c r="G73" s="1275"/>
      <c r="H73" s="1276"/>
      <c r="I73" s="1284">
        <v>60</v>
      </c>
      <c r="J73" s="1389">
        <v>60</v>
      </c>
      <c r="K73" s="1668"/>
    </row>
    <row r="74" spans="1:11" ht="18" customHeight="1" x14ac:dyDescent="0.3">
      <c r="A74" s="1269">
        <v>67</v>
      </c>
      <c r="B74" s="1270"/>
      <c r="C74" s="1279">
        <v>13</v>
      </c>
      <c r="D74" s="1280" t="s">
        <v>733</v>
      </c>
      <c r="E74" s="1273"/>
      <c r="F74" s="1274"/>
      <c r="G74" s="1275"/>
      <c r="H74" s="1276"/>
      <c r="I74" s="1284">
        <v>100</v>
      </c>
      <c r="J74" s="1389">
        <v>100</v>
      </c>
      <c r="K74" s="1668"/>
    </row>
    <row r="75" spans="1:11" ht="18" customHeight="1" x14ac:dyDescent="0.3">
      <c r="A75" s="1269">
        <v>68</v>
      </c>
      <c r="B75" s="1270"/>
      <c r="C75" s="1279">
        <v>14</v>
      </c>
      <c r="D75" s="1280" t="s">
        <v>734</v>
      </c>
      <c r="E75" s="1273"/>
      <c r="F75" s="1274"/>
      <c r="G75" s="1275"/>
      <c r="H75" s="1276"/>
      <c r="I75" s="1284">
        <v>230</v>
      </c>
      <c r="J75" s="1389">
        <v>230</v>
      </c>
      <c r="K75" s="1668"/>
    </row>
    <row r="76" spans="1:11" ht="18" customHeight="1" x14ac:dyDescent="0.3">
      <c r="A76" s="1269">
        <v>69</v>
      </c>
      <c r="B76" s="1270"/>
      <c r="C76" s="1279">
        <v>15</v>
      </c>
      <c r="D76" s="1280" t="s">
        <v>735</v>
      </c>
      <c r="E76" s="1273"/>
      <c r="F76" s="1274"/>
      <c r="G76" s="1275"/>
      <c r="H76" s="1276"/>
      <c r="I76" s="1284">
        <v>150</v>
      </c>
      <c r="J76" s="1389">
        <v>150</v>
      </c>
      <c r="K76" s="1668"/>
    </row>
    <row r="77" spans="1:11" ht="18" customHeight="1" x14ac:dyDescent="0.3">
      <c r="A77" s="1269">
        <v>70</v>
      </c>
      <c r="B77" s="1270"/>
      <c r="C77" s="1279">
        <v>22</v>
      </c>
      <c r="D77" s="1280" t="s">
        <v>866</v>
      </c>
      <c r="E77" s="1273"/>
      <c r="F77" s="1274"/>
      <c r="G77" s="1275"/>
      <c r="H77" s="1276"/>
      <c r="I77" s="1284"/>
      <c r="J77" s="1389">
        <v>3000</v>
      </c>
      <c r="K77" s="1668">
        <v>21</v>
      </c>
    </row>
    <row r="78" spans="1:11" ht="18" customHeight="1" x14ac:dyDescent="0.3">
      <c r="A78" s="1269">
        <v>71</v>
      </c>
      <c r="B78" s="1270"/>
      <c r="C78" s="1289" t="s">
        <v>736</v>
      </c>
      <c r="D78" s="1280"/>
      <c r="E78" s="1273"/>
      <c r="F78" s="1274"/>
      <c r="G78" s="1275"/>
      <c r="H78" s="1276"/>
      <c r="I78" s="1284"/>
      <c r="J78" s="1389"/>
      <c r="K78" s="1668"/>
    </row>
    <row r="79" spans="1:11" ht="18" customHeight="1" x14ac:dyDescent="0.3">
      <c r="A79" s="1269">
        <v>72</v>
      </c>
      <c r="B79" s="1270"/>
      <c r="C79" s="1279">
        <v>16</v>
      </c>
      <c r="D79" s="1280" t="s">
        <v>737</v>
      </c>
      <c r="E79" s="1273"/>
      <c r="F79" s="1274"/>
      <c r="G79" s="1275"/>
      <c r="H79" s="1276"/>
      <c r="I79" s="1284">
        <v>258</v>
      </c>
      <c r="J79" s="1389">
        <v>258</v>
      </c>
      <c r="K79" s="1668">
        <v>245</v>
      </c>
    </row>
    <row r="80" spans="1:11" ht="18" customHeight="1" x14ac:dyDescent="0.3">
      <c r="A80" s="1269">
        <v>73</v>
      </c>
      <c r="B80" s="1270"/>
      <c r="C80" s="1289" t="s">
        <v>738</v>
      </c>
      <c r="D80" s="1280"/>
      <c r="E80" s="1273"/>
      <c r="F80" s="1274"/>
      <c r="G80" s="1275"/>
      <c r="H80" s="1276"/>
      <c r="I80" s="1284"/>
      <c r="J80" s="1389"/>
      <c r="K80" s="1668"/>
    </row>
    <row r="81" spans="1:11" ht="18" customHeight="1" x14ac:dyDescent="0.3">
      <c r="A81" s="1269">
        <v>74</v>
      </c>
      <c r="B81" s="1270"/>
      <c r="C81" s="1279">
        <v>17</v>
      </c>
      <c r="D81" s="1280" t="s">
        <v>739</v>
      </c>
      <c r="E81" s="1273"/>
      <c r="F81" s="1274"/>
      <c r="G81" s="1275"/>
      <c r="H81" s="1276"/>
      <c r="I81" s="1284">
        <v>100</v>
      </c>
      <c r="J81" s="1389">
        <v>100</v>
      </c>
      <c r="K81" s="1668"/>
    </row>
    <row r="82" spans="1:11" ht="18" customHeight="1" x14ac:dyDescent="0.3">
      <c r="A82" s="1269">
        <v>75</v>
      </c>
      <c r="B82" s="1270"/>
      <c r="C82" s="1289" t="s">
        <v>740</v>
      </c>
      <c r="D82" s="1280"/>
      <c r="E82" s="1273"/>
      <c r="F82" s="1274"/>
      <c r="G82" s="1275"/>
      <c r="H82" s="1276"/>
      <c r="I82" s="1284"/>
      <c r="J82" s="1389"/>
      <c r="K82" s="1668"/>
    </row>
    <row r="83" spans="1:11" ht="18" customHeight="1" x14ac:dyDescent="0.3">
      <c r="A83" s="1269">
        <v>76</v>
      </c>
      <c r="B83" s="1270"/>
      <c r="C83" s="1279">
        <v>18</v>
      </c>
      <c r="D83" s="1280" t="s">
        <v>741</v>
      </c>
      <c r="E83" s="1273"/>
      <c r="F83" s="1274"/>
      <c r="G83" s="1275"/>
      <c r="H83" s="1276"/>
      <c r="I83" s="1284">
        <v>130</v>
      </c>
      <c r="J83" s="1389">
        <v>130</v>
      </c>
      <c r="K83" s="1668"/>
    </row>
    <row r="84" spans="1:11" ht="18" customHeight="1" x14ac:dyDescent="0.3">
      <c r="A84" s="1269">
        <v>77</v>
      </c>
      <c r="B84" s="1270"/>
      <c r="C84" s="1279">
        <v>19</v>
      </c>
      <c r="D84" s="1280" t="s">
        <v>742</v>
      </c>
      <c r="E84" s="1273"/>
      <c r="F84" s="1274"/>
      <c r="G84" s="1275"/>
      <c r="H84" s="1276"/>
      <c r="I84" s="1284">
        <v>115</v>
      </c>
      <c r="J84" s="1389">
        <v>115</v>
      </c>
      <c r="K84" s="1668"/>
    </row>
    <row r="85" spans="1:11" ht="18" customHeight="1" x14ac:dyDescent="0.3">
      <c r="A85" s="1269">
        <v>78</v>
      </c>
      <c r="B85" s="1270"/>
      <c r="C85" s="1279">
        <v>20</v>
      </c>
      <c r="D85" s="1280" t="s">
        <v>743</v>
      </c>
      <c r="E85" s="1273"/>
      <c r="F85" s="1274"/>
      <c r="G85" s="1275"/>
      <c r="H85" s="1276"/>
      <c r="I85" s="1284">
        <v>100</v>
      </c>
      <c r="J85" s="1389">
        <v>100</v>
      </c>
      <c r="K85" s="1668">
        <v>49</v>
      </c>
    </row>
    <row r="86" spans="1:11" ht="18" customHeight="1" x14ac:dyDescent="0.3">
      <c r="A86" s="1269">
        <v>79</v>
      </c>
      <c r="B86" s="1270"/>
      <c r="C86" s="1279">
        <v>21</v>
      </c>
      <c r="D86" s="1280" t="s">
        <v>744</v>
      </c>
      <c r="E86" s="1273"/>
      <c r="F86" s="1274"/>
      <c r="G86" s="1275"/>
      <c r="H86" s="1276"/>
      <c r="I86" s="1284">
        <v>855</v>
      </c>
      <c r="J86" s="1389">
        <v>855</v>
      </c>
      <c r="K86" s="1668"/>
    </row>
    <row r="87" spans="1:11" s="1278" customFormat="1" ht="22.5" customHeight="1" x14ac:dyDescent="0.3">
      <c r="A87" s="1269">
        <v>80</v>
      </c>
      <c r="B87" s="1270">
        <v>8</v>
      </c>
      <c r="C87" s="1287" t="s">
        <v>100</v>
      </c>
      <c r="D87" s="1272"/>
      <c r="E87" s="1273" t="s">
        <v>23</v>
      </c>
      <c r="F87" s="1274">
        <v>565</v>
      </c>
      <c r="G87" s="1275"/>
      <c r="H87" s="1276">
        <v>875</v>
      </c>
      <c r="I87" s="1277"/>
      <c r="J87" s="1388"/>
      <c r="K87" s="1669"/>
    </row>
    <row r="88" spans="1:11" ht="18" customHeight="1" x14ac:dyDescent="0.3">
      <c r="A88" s="1269">
        <v>81</v>
      </c>
      <c r="B88" s="1270"/>
      <c r="C88" s="1279">
        <v>1</v>
      </c>
      <c r="D88" s="1280" t="s">
        <v>867</v>
      </c>
      <c r="E88" s="1273"/>
      <c r="F88" s="1281"/>
      <c r="G88" s="1282"/>
      <c r="H88" s="1283"/>
      <c r="I88" s="1284">
        <v>500</v>
      </c>
      <c r="J88" s="1389">
        <v>1100</v>
      </c>
      <c r="K88" s="1668">
        <v>28</v>
      </c>
    </row>
    <row r="89" spans="1:11" s="1278" customFormat="1" ht="22.5" customHeight="1" x14ac:dyDescent="0.3">
      <c r="A89" s="1269">
        <v>82</v>
      </c>
      <c r="B89" s="1270">
        <v>9</v>
      </c>
      <c r="C89" s="1287" t="s">
        <v>309</v>
      </c>
      <c r="D89" s="1272"/>
      <c r="E89" s="1273" t="s">
        <v>23</v>
      </c>
      <c r="F89" s="1274">
        <v>3578</v>
      </c>
      <c r="G89" s="1275"/>
      <c r="H89" s="1276">
        <v>940</v>
      </c>
      <c r="I89" s="1277"/>
      <c r="J89" s="1388"/>
      <c r="K89" s="1669"/>
    </row>
    <row r="90" spans="1:11" ht="18" customHeight="1" x14ac:dyDescent="0.3">
      <c r="A90" s="1269">
        <v>83</v>
      </c>
      <c r="B90" s="1270"/>
      <c r="C90" s="1279">
        <v>1</v>
      </c>
      <c r="D90" s="1280" t="s">
        <v>930</v>
      </c>
      <c r="E90" s="1273"/>
      <c r="F90" s="1281"/>
      <c r="G90" s="1282"/>
      <c r="H90" s="1283"/>
      <c r="I90" s="1284">
        <v>500</v>
      </c>
      <c r="J90" s="1389">
        <v>1500</v>
      </c>
      <c r="K90" s="1668">
        <v>219</v>
      </c>
    </row>
    <row r="91" spans="1:11" ht="94.5" customHeight="1" x14ac:dyDescent="0.3">
      <c r="A91" s="1269">
        <v>84</v>
      </c>
      <c r="B91" s="1270"/>
      <c r="C91" s="1295">
        <v>2</v>
      </c>
      <c r="D91" s="1290" t="s">
        <v>868</v>
      </c>
      <c r="E91" s="1273"/>
      <c r="F91" s="1281"/>
      <c r="G91" s="1282"/>
      <c r="H91" s="1283"/>
      <c r="I91" s="1284"/>
      <c r="J91" s="1389">
        <v>400</v>
      </c>
      <c r="K91" s="1668">
        <v>88</v>
      </c>
    </row>
    <row r="92" spans="1:11" ht="94.5" customHeight="1" x14ac:dyDescent="0.3">
      <c r="A92" s="1269">
        <v>85</v>
      </c>
      <c r="B92" s="1270"/>
      <c r="C92" s="1295">
        <v>3</v>
      </c>
      <c r="D92" s="1290" t="s">
        <v>869</v>
      </c>
      <c r="E92" s="1273"/>
      <c r="F92" s="1281"/>
      <c r="G92" s="1282"/>
      <c r="H92" s="1283"/>
      <c r="I92" s="1284"/>
      <c r="J92" s="1389">
        <v>400</v>
      </c>
      <c r="K92" s="1668">
        <v>164</v>
      </c>
    </row>
    <row r="93" spans="1:11" ht="95.25" customHeight="1" x14ac:dyDescent="0.3">
      <c r="A93" s="1269">
        <v>86</v>
      </c>
      <c r="B93" s="1270"/>
      <c r="C93" s="1295">
        <v>4</v>
      </c>
      <c r="D93" s="1290" t="s">
        <v>870</v>
      </c>
      <c r="E93" s="1273"/>
      <c r="F93" s="1281"/>
      <c r="G93" s="1282"/>
      <c r="H93" s="1283"/>
      <c r="I93" s="1284"/>
      <c r="J93" s="1389">
        <v>200</v>
      </c>
      <c r="K93" s="1668"/>
    </row>
    <row r="94" spans="1:11" ht="18" customHeight="1" x14ac:dyDescent="0.3">
      <c r="A94" s="1269">
        <v>87</v>
      </c>
      <c r="B94" s="1270"/>
      <c r="C94" s="1295">
        <v>5</v>
      </c>
      <c r="D94" s="1280" t="s">
        <v>929</v>
      </c>
      <c r="E94" s="1273"/>
      <c r="F94" s="1281"/>
      <c r="G94" s="1282"/>
      <c r="H94" s="1283"/>
      <c r="I94" s="1284"/>
      <c r="J94" s="1389">
        <v>1550</v>
      </c>
      <c r="K94" s="1668"/>
    </row>
    <row r="95" spans="1:11" s="1278" customFormat="1" ht="22.5" customHeight="1" x14ac:dyDescent="0.3">
      <c r="A95" s="1269">
        <v>88</v>
      </c>
      <c r="B95" s="1270">
        <v>10</v>
      </c>
      <c r="C95" s="1271" t="s">
        <v>310</v>
      </c>
      <c r="D95" s="1272"/>
      <c r="E95" s="1273" t="s">
        <v>23</v>
      </c>
      <c r="F95" s="1274">
        <v>6735</v>
      </c>
      <c r="G95" s="1275"/>
      <c r="H95" s="1276">
        <v>7669</v>
      </c>
      <c r="I95" s="1277"/>
      <c r="J95" s="1388"/>
      <c r="K95" s="1669"/>
    </row>
    <row r="96" spans="1:11" ht="18" customHeight="1" x14ac:dyDescent="0.3">
      <c r="A96" s="1269">
        <v>89</v>
      </c>
      <c r="B96" s="1270"/>
      <c r="C96" s="1279">
        <v>1</v>
      </c>
      <c r="D96" s="1280" t="s">
        <v>745</v>
      </c>
      <c r="E96" s="1273"/>
      <c r="F96" s="1281"/>
      <c r="G96" s="1282"/>
      <c r="H96" s="1283"/>
      <c r="I96" s="1284">
        <v>4800</v>
      </c>
      <c r="J96" s="1389">
        <v>4800</v>
      </c>
      <c r="K96" s="1668">
        <v>1930</v>
      </c>
    </row>
    <row r="97" spans="1:11" ht="18" customHeight="1" x14ac:dyDescent="0.3">
      <c r="A97" s="1269">
        <v>90</v>
      </c>
      <c r="B97" s="1270"/>
      <c r="C97" s="1279">
        <v>12</v>
      </c>
      <c r="D97" s="1290" t="s">
        <v>746</v>
      </c>
      <c r="E97" s="1273"/>
      <c r="F97" s="1274"/>
      <c r="G97" s="1275"/>
      <c r="H97" s="1276"/>
      <c r="I97" s="1284">
        <v>82</v>
      </c>
      <c r="J97" s="1389">
        <v>82</v>
      </c>
      <c r="K97" s="1668"/>
    </row>
    <row r="98" spans="1:11" ht="18" customHeight="1" x14ac:dyDescent="0.3">
      <c r="A98" s="1269">
        <v>91</v>
      </c>
      <c r="B98" s="1270"/>
      <c r="C98" s="1279">
        <v>13</v>
      </c>
      <c r="D98" s="1290" t="s">
        <v>747</v>
      </c>
      <c r="E98" s="1273"/>
      <c r="F98" s="1274"/>
      <c r="G98" s="1275"/>
      <c r="H98" s="1276"/>
      <c r="I98" s="1284">
        <v>20000</v>
      </c>
      <c r="J98" s="1389">
        <v>20000</v>
      </c>
      <c r="K98" s="1668">
        <v>4928</v>
      </c>
    </row>
    <row r="99" spans="1:11" ht="18" customHeight="1" x14ac:dyDescent="0.3">
      <c r="A99" s="1269">
        <v>92</v>
      </c>
      <c r="B99" s="1270"/>
      <c r="C99" s="1279">
        <v>14</v>
      </c>
      <c r="D99" s="1290" t="s">
        <v>871</v>
      </c>
      <c r="E99" s="1273"/>
      <c r="F99" s="1274"/>
      <c r="G99" s="1275"/>
      <c r="H99" s="1276"/>
      <c r="I99" s="1284"/>
      <c r="J99" s="1389">
        <v>23750</v>
      </c>
      <c r="K99" s="1668"/>
    </row>
    <row r="100" spans="1:11" s="1299" customFormat="1" ht="30" x14ac:dyDescent="0.3">
      <c r="A100" s="1269">
        <v>93</v>
      </c>
      <c r="B100" s="1296"/>
      <c r="C100" s="1288">
        <v>2</v>
      </c>
      <c r="D100" s="1290" t="s">
        <v>441</v>
      </c>
      <c r="E100" s="1297"/>
      <c r="F100" s="1274"/>
      <c r="G100" s="1298">
        <v>2741</v>
      </c>
      <c r="H100" s="1276">
        <v>2741</v>
      </c>
      <c r="I100" s="1284"/>
      <c r="J100" s="1389"/>
      <c r="K100" s="1670"/>
    </row>
    <row r="101" spans="1:11" s="1299" customFormat="1" ht="30" x14ac:dyDescent="0.3">
      <c r="A101" s="1269">
        <v>94</v>
      </c>
      <c r="B101" s="1296"/>
      <c r="C101" s="1288">
        <v>5</v>
      </c>
      <c r="D101" s="1290" t="s">
        <v>817</v>
      </c>
      <c r="E101" s="1297"/>
      <c r="F101" s="1274">
        <v>1374</v>
      </c>
      <c r="G101" s="1298"/>
      <c r="H101" s="1276"/>
      <c r="I101" s="1284"/>
      <c r="J101" s="1389"/>
      <c r="K101" s="1670"/>
    </row>
    <row r="102" spans="1:11" ht="45.75" customHeight="1" x14ac:dyDescent="0.3">
      <c r="A102" s="1269">
        <v>95</v>
      </c>
      <c r="B102" s="1270"/>
      <c r="C102" s="1288">
        <v>6</v>
      </c>
      <c r="D102" s="1290" t="s">
        <v>501</v>
      </c>
      <c r="E102" s="1273"/>
      <c r="F102" s="1274">
        <v>2026</v>
      </c>
      <c r="G102" s="1275">
        <v>914</v>
      </c>
      <c r="H102" s="1276">
        <v>775</v>
      </c>
      <c r="I102" s="1284"/>
      <c r="J102" s="1389"/>
      <c r="K102" s="1668"/>
    </row>
    <row r="103" spans="1:11" ht="18" customHeight="1" x14ac:dyDescent="0.3">
      <c r="A103" s="1269">
        <v>96</v>
      </c>
      <c r="B103" s="1270"/>
      <c r="C103" s="1279">
        <v>7</v>
      </c>
      <c r="D103" s="1290" t="s">
        <v>502</v>
      </c>
      <c r="E103" s="1273"/>
      <c r="F103" s="1274"/>
      <c r="G103" s="1275">
        <v>200</v>
      </c>
      <c r="H103" s="1276">
        <v>1622</v>
      </c>
      <c r="I103" s="1284"/>
      <c r="J103" s="1389"/>
      <c r="K103" s="1668"/>
    </row>
    <row r="104" spans="1:11" ht="30" x14ac:dyDescent="0.3">
      <c r="A104" s="1269">
        <v>97</v>
      </c>
      <c r="B104" s="1270"/>
      <c r="C104" s="1288">
        <v>8</v>
      </c>
      <c r="D104" s="1290" t="s">
        <v>784</v>
      </c>
      <c r="E104" s="1273"/>
      <c r="F104" s="1274">
        <v>7112</v>
      </c>
      <c r="G104" s="1275">
        <v>41877</v>
      </c>
      <c r="H104" s="1276">
        <v>42015</v>
      </c>
      <c r="I104" s="1284"/>
      <c r="J104" s="1389"/>
      <c r="K104" s="1668"/>
    </row>
    <row r="105" spans="1:11" ht="18" customHeight="1" x14ac:dyDescent="0.3">
      <c r="A105" s="1269">
        <v>98</v>
      </c>
      <c r="B105" s="1270"/>
      <c r="C105" s="1279">
        <v>9</v>
      </c>
      <c r="D105" s="1290" t="s">
        <v>503</v>
      </c>
      <c r="E105" s="1273"/>
      <c r="F105" s="1274"/>
      <c r="G105" s="1275">
        <v>80</v>
      </c>
      <c r="H105" s="1276"/>
      <c r="I105" s="1284"/>
      <c r="J105" s="1389"/>
      <c r="K105" s="1668"/>
    </row>
    <row r="106" spans="1:11" s="1278" customFormat="1" ht="22.5" customHeight="1" x14ac:dyDescent="0.3">
      <c r="A106" s="1269">
        <v>99</v>
      </c>
      <c r="B106" s="1270">
        <v>11</v>
      </c>
      <c r="C106" s="1287" t="s">
        <v>306</v>
      </c>
      <c r="D106" s="1272"/>
      <c r="E106" s="1273" t="s">
        <v>23</v>
      </c>
      <c r="F106" s="1274">
        <v>14312</v>
      </c>
      <c r="G106" s="1275"/>
      <c r="H106" s="1276"/>
      <c r="I106" s="1277"/>
      <c r="J106" s="1388"/>
      <c r="K106" s="1669"/>
    </row>
    <row r="107" spans="1:11" ht="18" customHeight="1" x14ac:dyDescent="0.3">
      <c r="A107" s="1269">
        <v>100</v>
      </c>
      <c r="B107" s="1270"/>
      <c r="C107" s="1279">
        <v>1</v>
      </c>
      <c r="D107" s="1290" t="s">
        <v>748</v>
      </c>
      <c r="E107" s="1273"/>
      <c r="F107" s="1274"/>
      <c r="G107" s="1275"/>
      <c r="H107" s="1276"/>
      <c r="I107" s="1284">
        <v>1269</v>
      </c>
      <c r="J107" s="1389">
        <v>1269</v>
      </c>
      <c r="K107" s="1668">
        <v>1302</v>
      </c>
    </row>
    <row r="108" spans="1:11" ht="18" customHeight="1" x14ac:dyDescent="0.3">
      <c r="A108" s="1269">
        <v>101</v>
      </c>
      <c r="B108" s="1270"/>
      <c r="C108" s="1279">
        <v>2</v>
      </c>
      <c r="D108" s="1290" t="s">
        <v>504</v>
      </c>
      <c r="E108" s="1273"/>
      <c r="F108" s="1274">
        <v>21</v>
      </c>
      <c r="G108" s="1275"/>
      <c r="H108" s="1276"/>
      <c r="I108" s="1284" t="s">
        <v>749</v>
      </c>
      <c r="J108" s="1389"/>
      <c r="K108" s="1668"/>
    </row>
    <row r="109" spans="1:11" ht="18" customHeight="1" x14ac:dyDescent="0.3">
      <c r="A109" s="1269">
        <v>102</v>
      </c>
      <c r="B109" s="1270"/>
      <c r="C109" s="1279">
        <v>6</v>
      </c>
      <c r="D109" s="1290" t="s">
        <v>505</v>
      </c>
      <c r="E109" s="1273"/>
      <c r="F109" s="1274">
        <v>2348</v>
      </c>
      <c r="G109" s="1275">
        <v>7370</v>
      </c>
      <c r="H109" s="1276">
        <v>7332</v>
      </c>
      <c r="I109" s="1284">
        <v>1089</v>
      </c>
      <c r="J109" s="1389"/>
      <c r="K109" s="1668"/>
    </row>
    <row r="110" spans="1:11" ht="18" customHeight="1" x14ac:dyDescent="0.3">
      <c r="A110" s="1269">
        <v>103</v>
      </c>
      <c r="B110" s="1270"/>
      <c r="C110" s="1279">
        <v>7</v>
      </c>
      <c r="D110" s="1290" t="s">
        <v>506</v>
      </c>
      <c r="E110" s="1273"/>
      <c r="F110" s="1274"/>
      <c r="G110" s="1275">
        <v>57150</v>
      </c>
      <c r="H110" s="1276">
        <v>57135</v>
      </c>
      <c r="I110" s="1284"/>
      <c r="J110" s="1389"/>
      <c r="K110" s="1668"/>
    </row>
    <row r="111" spans="1:11" ht="30" x14ac:dyDescent="0.3">
      <c r="A111" s="1269">
        <v>104</v>
      </c>
      <c r="B111" s="1270"/>
      <c r="C111" s="1288">
        <v>8</v>
      </c>
      <c r="D111" s="1290" t="s">
        <v>750</v>
      </c>
      <c r="E111" s="1273"/>
      <c r="F111" s="1274"/>
      <c r="G111" s="1275"/>
      <c r="H111" s="1276"/>
      <c r="I111" s="1284">
        <v>4980</v>
      </c>
      <c r="J111" s="1389">
        <v>4980</v>
      </c>
      <c r="K111" s="1668">
        <v>3201</v>
      </c>
    </row>
    <row r="112" spans="1:11" ht="18" customHeight="1" x14ac:dyDescent="0.3">
      <c r="A112" s="1269">
        <v>105</v>
      </c>
      <c r="B112" s="1270"/>
      <c r="C112" s="1279">
        <v>13</v>
      </c>
      <c r="D112" s="1290" t="s">
        <v>507</v>
      </c>
      <c r="E112" s="1273"/>
      <c r="F112" s="1274"/>
      <c r="G112" s="1275">
        <v>2164</v>
      </c>
      <c r="H112" s="1276">
        <v>428</v>
      </c>
      <c r="I112" s="1284">
        <v>1801</v>
      </c>
      <c r="J112" s="1389"/>
      <c r="K112" s="1668"/>
    </row>
    <row r="113" spans="1:11" ht="30" x14ac:dyDescent="0.3">
      <c r="A113" s="1269">
        <v>106</v>
      </c>
      <c r="B113" s="1270"/>
      <c r="C113" s="1288">
        <v>14</v>
      </c>
      <c r="D113" s="1290" t="s">
        <v>751</v>
      </c>
      <c r="E113" s="1273"/>
      <c r="F113" s="1274"/>
      <c r="G113" s="1275"/>
      <c r="H113" s="1276">
        <v>2725</v>
      </c>
      <c r="I113" s="1284"/>
      <c r="J113" s="1389"/>
      <c r="K113" s="1668"/>
    </row>
    <row r="114" spans="1:11" ht="18" customHeight="1" x14ac:dyDescent="0.3">
      <c r="A114" s="1269">
        <v>107</v>
      </c>
      <c r="B114" s="1270"/>
      <c r="C114" s="1279">
        <v>15</v>
      </c>
      <c r="D114" s="1290" t="s">
        <v>752</v>
      </c>
      <c r="E114" s="1273"/>
      <c r="F114" s="1274"/>
      <c r="G114" s="1275"/>
      <c r="H114" s="1276">
        <v>5000</v>
      </c>
      <c r="I114" s="1284">
        <v>5000</v>
      </c>
      <c r="J114" s="1389"/>
      <c r="K114" s="1668"/>
    </row>
    <row r="115" spans="1:11" ht="18" customHeight="1" x14ac:dyDescent="0.3">
      <c r="A115" s="1269">
        <v>108</v>
      </c>
      <c r="B115" s="1270"/>
      <c r="C115" s="1279">
        <v>16</v>
      </c>
      <c r="D115" s="1290" t="s">
        <v>753</v>
      </c>
      <c r="E115" s="1273"/>
      <c r="F115" s="1274"/>
      <c r="G115" s="1275"/>
      <c r="H115" s="1276">
        <v>6585</v>
      </c>
      <c r="I115" s="1300"/>
      <c r="J115" s="1390"/>
      <c r="K115" s="1668"/>
    </row>
    <row r="116" spans="1:11" ht="18" customHeight="1" x14ac:dyDescent="0.3">
      <c r="A116" s="1269">
        <v>109</v>
      </c>
      <c r="B116" s="1270"/>
      <c r="C116" s="1279">
        <v>17</v>
      </c>
      <c r="D116" s="1290" t="s">
        <v>754</v>
      </c>
      <c r="E116" s="1273"/>
      <c r="F116" s="1274"/>
      <c r="G116" s="1275"/>
      <c r="H116" s="1276">
        <v>1000</v>
      </c>
      <c r="I116" s="1284">
        <v>1000</v>
      </c>
      <c r="J116" s="1389">
        <v>1000</v>
      </c>
      <c r="K116" s="1668">
        <v>1000</v>
      </c>
    </row>
    <row r="117" spans="1:11" s="1278" customFormat="1" ht="22.5" customHeight="1" x14ac:dyDescent="0.3">
      <c r="A117" s="1269">
        <v>110</v>
      </c>
      <c r="B117" s="1270">
        <v>12</v>
      </c>
      <c r="C117" s="1287" t="s">
        <v>944</v>
      </c>
      <c r="D117" s="1272"/>
      <c r="E117" s="1273" t="s">
        <v>23</v>
      </c>
      <c r="F117" s="1274">
        <v>1033</v>
      </c>
      <c r="G117" s="1275"/>
      <c r="H117" s="1276"/>
      <c r="I117" s="1277"/>
      <c r="J117" s="1388"/>
      <c r="K117" s="1669"/>
    </row>
    <row r="118" spans="1:11" ht="30" x14ac:dyDescent="0.3">
      <c r="A118" s="1269">
        <v>111</v>
      </c>
      <c r="B118" s="1270"/>
      <c r="C118" s="1288">
        <v>1</v>
      </c>
      <c r="D118" s="1290" t="s">
        <v>442</v>
      </c>
      <c r="E118" s="1273"/>
      <c r="F118" s="1274">
        <v>16356</v>
      </c>
      <c r="G118" s="1298">
        <v>11550</v>
      </c>
      <c r="H118" s="1276">
        <v>15309</v>
      </c>
      <c r="I118" s="1284">
        <v>11550</v>
      </c>
      <c r="J118" s="1389">
        <v>11550</v>
      </c>
      <c r="K118" s="1668">
        <v>6789</v>
      </c>
    </row>
    <row r="119" spans="1:11" ht="28.5" customHeight="1" x14ac:dyDescent="0.3">
      <c r="A119" s="1269">
        <v>112</v>
      </c>
      <c r="B119" s="1270"/>
      <c r="C119" s="1288">
        <v>2</v>
      </c>
      <c r="D119" s="1290" t="s">
        <v>275</v>
      </c>
      <c r="E119" s="1273"/>
      <c r="F119" s="1274">
        <v>60895</v>
      </c>
      <c r="G119" s="1298">
        <v>55000</v>
      </c>
      <c r="H119" s="1276">
        <v>56284</v>
      </c>
      <c r="I119" s="1284">
        <v>55030</v>
      </c>
      <c r="J119" s="1389">
        <v>55030</v>
      </c>
      <c r="K119" s="1668">
        <v>23659</v>
      </c>
    </row>
    <row r="120" spans="1:11" ht="36" customHeight="1" x14ac:dyDescent="0.3">
      <c r="A120" s="1269">
        <v>113</v>
      </c>
      <c r="B120" s="1270"/>
      <c r="C120" s="1288">
        <v>4</v>
      </c>
      <c r="D120" s="1290" t="s">
        <v>939</v>
      </c>
      <c r="E120" s="1273"/>
      <c r="F120" s="1274">
        <v>693</v>
      </c>
      <c r="G120" s="1275">
        <v>3</v>
      </c>
      <c r="H120" s="1276"/>
      <c r="I120" s="1284">
        <v>7461</v>
      </c>
      <c r="J120" s="1389">
        <v>7461</v>
      </c>
      <c r="K120" s="1668">
        <v>6024</v>
      </c>
    </row>
    <row r="121" spans="1:11" ht="30" x14ac:dyDescent="0.3">
      <c r="A121" s="1269">
        <v>114</v>
      </c>
      <c r="B121" s="1270"/>
      <c r="C121" s="1288">
        <v>10</v>
      </c>
      <c r="D121" s="1290" t="s">
        <v>509</v>
      </c>
      <c r="E121" s="1273"/>
      <c r="F121" s="1274"/>
      <c r="G121" s="1275">
        <v>1150</v>
      </c>
      <c r="H121" s="1276">
        <v>1244</v>
      </c>
      <c r="I121" s="1284">
        <v>1200</v>
      </c>
      <c r="J121" s="1389">
        <v>1200</v>
      </c>
      <c r="K121" s="1668">
        <v>1259</v>
      </c>
    </row>
    <row r="122" spans="1:11" ht="33" customHeight="1" x14ac:dyDescent="0.3">
      <c r="A122" s="1269">
        <v>115</v>
      </c>
      <c r="B122" s="1270"/>
      <c r="C122" s="1279">
        <v>11</v>
      </c>
      <c r="D122" s="1290" t="s">
        <v>937</v>
      </c>
      <c r="E122" s="1273"/>
      <c r="F122" s="1274"/>
      <c r="G122" s="1275"/>
      <c r="H122" s="1276">
        <v>1279</v>
      </c>
      <c r="I122" s="1284">
        <v>2000</v>
      </c>
      <c r="J122" s="1389">
        <v>2000</v>
      </c>
      <c r="K122" s="1668">
        <v>979</v>
      </c>
    </row>
    <row r="123" spans="1:11" ht="45" x14ac:dyDescent="0.3">
      <c r="A123" s="1269">
        <v>116</v>
      </c>
      <c r="B123" s="1270"/>
      <c r="C123" s="1288">
        <v>12</v>
      </c>
      <c r="D123" s="1290" t="s">
        <v>938</v>
      </c>
      <c r="E123" s="1273"/>
      <c r="F123" s="1274"/>
      <c r="G123" s="1275"/>
      <c r="H123" s="1276">
        <v>663</v>
      </c>
      <c r="I123" s="1284">
        <v>1140</v>
      </c>
      <c r="J123" s="1389">
        <v>1940</v>
      </c>
      <c r="K123" s="1668">
        <v>1292</v>
      </c>
    </row>
    <row r="124" spans="1:11" ht="30" customHeight="1" x14ac:dyDescent="0.3">
      <c r="A124" s="1269">
        <v>117</v>
      </c>
      <c r="B124" s="1270"/>
      <c r="C124" s="1288">
        <v>3</v>
      </c>
      <c r="D124" s="1290" t="s">
        <v>357</v>
      </c>
      <c r="E124" s="1273"/>
      <c r="F124" s="1301"/>
      <c r="G124" s="1275">
        <v>113</v>
      </c>
      <c r="H124" s="1276"/>
      <c r="I124" s="1284"/>
      <c r="J124" s="1389"/>
      <c r="K124" s="1668"/>
    </row>
    <row r="125" spans="1:11" ht="30" x14ac:dyDescent="0.3">
      <c r="A125" s="1269">
        <v>118</v>
      </c>
      <c r="B125" s="1270"/>
      <c r="C125" s="1288">
        <v>5</v>
      </c>
      <c r="D125" s="1290" t="s">
        <v>508</v>
      </c>
      <c r="E125" s="1273"/>
      <c r="F125" s="1274"/>
      <c r="G125" s="1275">
        <v>9861</v>
      </c>
      <c r="H125" s="1276">
        <v>12242</v>
      </c>
      <c r="I125" s="1284"/>
      <c r="J125" s="1389"/>
      <c r="K125" s="1668"/>
    </row>
    <row r="126" spans="1:11" ht="30" x14ac:dyDescent="0.3">
      <c r="A126" s="1269">
        <v>119</v>
      </c>
      <c r="B126" s="1270"/>
      <c r="C126" s="1288">
        <v>6</v>
      </c>
      <c r="D126" s="1290" t="s">
        <v>785</v>
      </c>
      <c r="E126" s="1273"/>
      <c r="F126" s="1274">
        <v>445</v>
      </c>
      <c r="G126" s="1275">
        <v>1250</v>
      </c>
      <c r="H126" s="1276">
        <v>367</v>
      </c>
      <c r="I126" s="1284"/>
      <c r="J126" s="1389"/>
      <c r="K126" s="1668"/>
    </row>
    <row r="127" spans="1:11" ht="18" customHeight="1" x14ac:dyDescent="0.3">
      <c r="A127" s="1269">
        <v>120</v>
      </c>
      <c r="B127" s="1270"/>
      <c r="C127" s="1279">
        <v>9</v>
      </c>
      <c r="D127" s="1290" t="s">
        <v>755</v>
      </c>
      <c r="E127" s="1273"/>
      <c r="F127" s="1274"/>
      <c r="G127" s="1275"/>
      <c r="H127" s="1276">
        <v>4112</v>
      </c>
      <c r="I127" s="1284"/>
      <c r="J127" s="1389"/>
      <c r="K127" s="1668"/>
    </row>
    <row r="128" spans="1:11" ht="18" customHeight="1" x14ac:dyDescent="0.3">
      <c r="A128" s="1269">
        <v>121</v>
      </c>
      <c r="B128" s="1270"/>
      <c r="C128" s="1279">
        <v>13</v>
      </c>
      <c r="D128" s="1280" t="s">
        <v>876</v>
      </c>
      <c r="E128" s="1273"/>
      <c r="F128" s="1274"/>
      <c r="G128" s="1275"/>
      <c r="H128" s="1276">
        <v>12032</v>
      </c>
      <c r="I128" s="1284"/>
      <c r="J128" s="1389"/>
      <c r="K128" s="1668"/>
    </row>
    <row r="129" spans="1:11" s="1278" customFormat="1" ht="22.5" customHeight="1" x14ac:dyDescent="0.3">
      <c r="A129" s="1269">
        <v>122</v>
      </c>
      <c r="B129" s="1270">
        <v>13</v>
      </c>
      <c r="C129" s="1287" t="s">
        <v>30</v>
      </c>
      <c r="D129" s="1272"/>
      <c r="E129" s="1273" t="s">
        <v>23</v>
      </c>
      <c r="F129" s="1274">
        <v>46163</v>
      </c>
      <c r="G129" s="1275"/>
      <c r="H129" s="1276"/>
      <c r="I129" s="1277"/>
      <c r="J129" s="1388"/>
      <c r="K129" s="1669"/>
    </row>
    <row r="130" spans="1:11" ht="45" x14ac:dyDescent="0.3">
      <c r="A130" s="1269">
        <v>123</v>
      </c>
      <c r="B130" s="1270"/>
      <c r="C130" s="1288">
        <v>1</v>
      </c>
      <c r="D130" s="1290" t="s">
        <v>756</v>
      </c>
      <c r="E130" s="1273"/>
      <c r="F130" s="1274"/>
      <c r="G130" s="1275"/>
      <c r="H130" s="1276">
        <v>2415</v>
      </c>
      <c r="I130" s="1284">
        <v>2550</v>
      </c>
      <c r="J130" s="1389">
        <v>2550</v>
      </c>
      <c r="K130" s="1668"/>
    </row>
    <row r="131" spans="1:11" ht="18" customHeight="1" x14ac:dyDescent="0.3">
      <c r="A131" s="1269">
        <v>124</v>
      </c>
      <c r="B131" s="1270"/>
      <c r="C131" s="1279">
        <v>3</v>
      </c>
      <c r="D131" s="1290" t="s">
        <v>872</v>
      </c>
      <c r="E131" s="1273"/>
      <c r="F131" s="1274"/>
      <c r="G131" s="1275"/>
      <c r="H131" s="1276">
        <v>3136</v>
      </c>
      <c r="I131" s="1284">
        <v>1500</v>
      </c>
      <c r="J131" s="1389">
        <v>2135</v>
      </c>
      <c r="K131" s="1668">
        <v>278</v>
      </c>
    </row>
    <row r="132" spans="1:11" ht="18" customHeight="1" x14ac:dyDescent="0.3">
      <c r="A132" s="1269">
        <v>125</v>
      </c>
      <c r="B132" s="1270"/>
      <c r="C132" s="1279">
        <v>8</v>
      </c>
      <c r="D132" s="1290" t="s">
        <v>757</v>
      </c>
      <c r="E132" s="1273"/>
      <c r="F132" s="1274"/>
      <c r="G132" s="1275"/>
      <c r="H132" s="1276"/>
      <c r="I132" s="1284">
        <v>750</v>
      </c>
      <c r="J132" s="1389">
        <v>3417</v>
      </c>
      <c r="K132" s="1668">
        <v>969</v>
      </c>
    </row>
    <row r="133" spans="1:11" ht="30" x14ac:dyDescent="0.3">
      <c r="A133" s="1269">
        <v>126</v>
      </c>
      <c r="B133" s="1270"/>
      <c r="C133" s="1288">
        <v>25</v>
      </c>
      <c r="D133" s="1290" t="s">
        <v>786</v>
      </c>
      <c r="E133" s="1273"/>
      <c r="F133" s="1274"/>
      <c r="G133" s="1275">
        <v>13906</v>
      </c>
      <c r="H133" s="1276">
        <v>2362</v>
      </c>
      <c r="I133" s="1284">
        <v>9585</v>
      </c>
      <c r="J133" s="1389">
        <v>2076</v>
      </c>
      <c r="K133" s="1668">
        <v>2076</v>
      </c>
    </row>
    <row r="134" spans="1:11" ht="30" x14ac:dyDescent="0.3">
      <c r="A134" s="1269">
        <v>127</v>
      </c>
      <c r="B134" s="1270"/>
      <c r="C134" s="1288">
        <v>29</v>
      </c>
      <c r="D134" s="1290" t="s">
        <v>510</v>
      </c>
      <c r="E134" s="1273"/>
      <c r="F134" s="1274"/>
      <c r="G134" s="1275">
        <v>8306</v>
      </c>
      <c r="H134" s="1276">
        <v>8692</v>
      </c>
      <c r="I134" s="1284"/>
      <c r="J134" s="1389"/>
      <c r="K134" s="1668"/>
    </row>
    <row r="135" spans="1:11" x14ac:dyDescent="0.3">
      <c r="A135" s="1269">
        <v>128</v>
      </c>
      <c r="B135" s="1270"/>
      <c r="C135" s="1288">
        <v>30</v>
      </c>
      <c r="D135" s="1290" t="s">
        <v>914</v>
      </c>
      <c r="E135" s="1273"/>
      <c r="F135" s="1274"/>
      <c r="G135" s="1275"/>
      <c r="H135" s="1276">
        <v>8669</v>
      </c>
      <c r="I135" s="1284"/>
      <c r="J135" s="1389"/>
      <c r="K135" s="1668"/>
    </row>
    <row r="136" spans="1:11" ht="60" customHeight="1" x14ac:dyDescent="0.3">
      <c r="A136" s="1269">
        <v>129</v>
      </c>
      <c r="B136" s="1270"/>
      <c r="C136" s="1288">
        <v>31</v>
      </c>
      <c r="D136" s="1290" t="s">
        <v>758</v>
      </c>
      <c r="E136" s="1273"/>
      <c r="F136" s="1274"/>
      <c r="G136" s="1275"/>
      <c r="H136" s="1276">
        <v>31585</v>
      </c>
      <c r="I136" s="1284">
        <v>109822</v>
      </c>
      <c r="J136" s="1389">
        <v>109822</v>
      </c>
      <c r="K136" s="1668">
        <v>113922</v>
      </c>
    </row>
    <row r="137" spans="1:11" ht="18" customHeight="1" x14ac:dyDescent="0.3">
      <c r="A137" s="1269">
        <v>130</v>
      </c>
      <c r="B137" s="1270"/>
      <c r="C137" s="1288">
        <v>32</v>
      </c>
      <c r="D137" s="1290" t="s">
        <v>915</v>
      </c>
      <c r="E137" s="1273"/>
      <c r="F137" s="1274"/>
      <c r="G137" s="1275"/>
      <c r="H137" s="1276">
        <v>206</v>
      </c>
      <c r="I137" s="1284"/>
      <c r="J137" s="1389"/>
      <c r="K137" s="1668"/>
    </row>
    <row r="138" spans="1:11" ht="18" customHeight="1" x14ac:dyDescent="0.3">
      <c r="A138" s="1269">
        <v>131</v>
      </c>
      <c r="B138" s="1270"/>
      <c r="C138" s="1279">
        <v>33</v>
      </c>
      <c r="D138" s="1290" t="s">
        <v>759</v>
      </c>
      <c r="E138" s="1273"/>
      <c r="F138" s="1274"/>
      <c r="G138" s="1275"/>
      <c r="H138" s="1276"/>
      <c r="I138" s="1284">
        <v>1200</v>
      </c>
      <c r="J138" s="1389">
        <v>1200</v>
      </c>
      <c r="K138" s="1668">
        <v>1200</v>
      </c>
    </row>
    <row r="139" spans="1:11" ht="18" customHeight="1" x14ac:dyDescent="0.3">
      <c r="A139" s="1269">
        <v>132</v>
      </c>
      <c r="B139" s="1270"/>
      <c r="C139" s="1279">
        <v>34</v>
      </c>
      <c r="D139" s="1290" t="s">
        <v>760</v>
      </c>
      <c r="E139" s="1273"/>
      <c r="F139" s="1274"/>
      <c r="G139" s="1275"/>
      <c r="H139" s="1276"/>
      <c r="I139" s="1284">
        <v>1016</v>
      </c>
      <c r="J139" s="1389">
        <v>1016</v>
      </c>
      <c r="K139" s="1668">
        <v>1261</v>
      </c>
    </row>
    <row r="140" spans="1:11" ht="18" customHeight="1" x14ac:dyDescent="0.3">
      <c r="A140" s="1269">
        <v>133</v>
      </c>
      <c r="B140" s="1270"/>
      <c r="C140" s="1279">
        <v>35</v>
      </c>
      <c r="D140" s="1290" t="s">
        <v>761</v>
      </c>
      <c r="E140" s="1273"/>
      <c r="F140" s="1274"/>
      <c r="G140" s="1275"/>
      <c r="H140" s="1276"/>
      <c r="I140" s="1284">
        <v>1410</v>
      </c>
      <c r="J140" s="1389">
        <v>1410</v>
      </c>
      <c r="K140" s="1668"/>
    </row>
    <row r="141" spans="1:11" ht="18" customHeight="1" x14ac:dyDescent="0.3">
      <c r="A141" s="1269">
        <v>134</v>
      </c>
      <c r="B141" s="1270"/>
      <c r="C141" s="1279">
        <v>36</v>
      </c>
      <c r="D141" s="1280" t="s">
        <v>873</v>
      </c>
      <c r="E141" s="1273"/>
      <c r="F141" s="1274"/>
      <c r="G141" s="1275"/>
      <c r="H141" s="1276"/>
      <c r="I141" s="1284"/>
      <c r="J141" s="1389">
        <v>19920</v>
      </c>
      <c r="K141" s="1668">
        <v>4572</v>
      </c>
    </row>
    <row r="142" spans="1:11" ht="31.5" customHeight="1" x14ac:dyDescent="0.3">
      <c r="A142" s="1269">
        <v>135</v>
      </c>
      <c r="B142" s="1270"/>
      <c r="C142" s="1288">
        <v>37</v>
      </c>
      <c r="D142" s="1280" t="s">
        <v>874</v>
      </c>
      <c r="E142" s="1273"/>
      <c r="F142" s="1274"/>
      <c r="G142" s="1275"/>
      <c r="H142" s="1276"/>
      <c r="I142" s="1284"/>
      <c r="J142" s="1389">
        <v>5080</v>
      </c>
      <c r="K142" s="1668">
        <v>4262</v>
      </c>
    </row>
    <row r="143" spans="1:11" ht="20.100000000000001" customHeight="1" x14ac:dyDescent="0.3">
      <c r="A143" s="1269">
        <v>136</v>
      </c>
      <c r="B143" s="1270"/>
      <c r="C143" s="1288">
        <v>38</v>
      </c>
      <c r="D143" s="1280" t="s">
        <v>934</v>
      </c>
      <c r="E143" s="1273"/>
      <c r="F143" s="1274"/>
      <c r="G143" s="1275"/>
      <c r="H143" s="1276"/>
      <c r="I143" s="1284"/>
      <c r="J143" s="1389">
        <v>400</v>
      </c>
      <c r="K143" s="1668">
        <v>370</v>
      </c>
    </row>
    <row r="144" spans="1:11" s="1278" customFormat="1" ht="22.5" customHeight="1" x14ac:dyDescent="0.3">
      <c r="A144" s="1269">
        <v>137</v>
      </c>
      <c r="B144" s="1270">
        <v>14</v>
      </c>
      <c r="C144" s="1287" t="s">
        <v>307</v>
      </c>
      <c r="D144" s="1272"/>
      <c r="E144" s="1273" t="s">
        <v>24</v>
      </c>
      <c r="F144" s="1274">
        <v>4552</v>
      </c>
      <c r="G144" s="1275"/>
      <c r="H144" s="1276">
        <v>18710</v>
      </c>
      <c r="I144" s="1277"/>
      <c r="J144" s="1388"/>
      <c r="K144" s="1669"/>
    </row>
    <row r="145" spans="1:11" ht="18" customHeight="1" x14ac:dyDescent="0.3">
      <c r="A145" s="1269">
        <v>138</v>
      </c>
      <c r="B145" s="1270"/>
      <c r="C145" s="1279">
        <v>1</v>
      </c>
      <c r="D145" s="1290" t="s">
        <v>511</v>
      </c>
      <c r="E145" s="1273"/>
      <c r="F145" s="1274"/>
      <c r="G145" s="1275">
        <v>300</v>
      </c>
      <c r="H145" s="1276">
        <v>42</v>
      </c>
      <c r="I145" s="1284">
        <v>110</v>
      </c>
      <c r="J145" s="1389">
        <v>110</v>
      </c>
      <c r="K145" s="1668">
        <v>110</v>
      </c>
    </row>
    <row r="146" spans="1:11" ht="48" customHeight="1" x14ac:dyDescent="0.3">
      <c r="A146" s="1269">
        <v>139</v>
      </c>
      <c r="B146" s="1270"/>
      <c r="C146" s="1288">
        <v>2</v>
      </c>
      <c r="D146" s="1290" t="s">
        <v>940</v>
      </c>
      <c r="E146" s="1273"/>
      <c r="F146" s="1274"/>
      <c r="G146" s="1275"/>
      <c r="H146" s="1276"/>
      <c r="I146" s="1284">
        <f>500+1000</f>
        <v>1500</v>
      </c>
      <c r="J146" s="1389">
        <v>2216</v>
      </c>
      <c r="K146" s="1668">
        <v>2315</v>
      </c>
    </row>
    <row r="147" spans="1:11" ht="18" customHeight="1" x14ac:dyDescent="0.3">
      <c r="A147" s="1269">
        <v>140</v>
      </c>
      <c r="B147" s="1270"/>
      <c r="C147" s="1279">
        <v>3</v>
      </c>
      <c r="D147" s="1280" t="s">
        <v>878</v>
      </c>
      <c r="E147" s="1273"/>
      <c r="F147" s="1274"/>
      <c r="G147" s="1275"/>
      <c r="H147" s="1276"/>
      <c r="I147" s="1284"/>
      <c r="J147" s="1389">
        <v>7620</v>
      </c>
      <c r="K147" s="1668">
        <v>7510</v>
      </c>
    </row>
    <row r="148" spans="1:11" ht="18" customHeight="1" x14ac:dyDescent="0.3">
      <c r="A148" s="1269">
        <v>141</v>
      </c>
      <c r="B148" s="1270"/>
      <c r="C148" s="1279">
        <v>4</v>
      </c>
      <c r="D148" s="1280" t="s">
        <v>879</v>
      </c>
      <c r="E148" s="1273"/>
      <c r="F148" s="1274"/>
      <c r="G148" s="1275"/>
      <c r="H148" s="1276"/>
      <c r="I148" s="1284"/>
      <c r="J148" s="1389">
        <v>9468</v>
      </c>
      <c r="K148" s="1668">
        <v>2875</v>
      </c>
    </row>
    <row r="149" spans="1:11" ht="18" customHeight="1" x14ac:dyDescent="0.3">
      <c r="A149" s="1269">
        <v>142</v>
      </c>
      <c r="B149" s="1270"/>
      <c r="C149" s="1279">
        <v>5</v>
      </c>
      <c r="D149" s="1280" t="s">
        <v>880</v>
      </c>
      <c r="E149" s="1273"/>
      <c r="F149" s="1274"/>
      <c r="G149" s="1275"/>
      <c r="H149" s="1276"/>
      <c r="I149" s="1284"/>
      <c r="J149" s="1389">
        <v>643</v>
      </c>
      <c r="K149" s="1668">
        <v>328</v>
      </c>
    </row>
    <row r="150" spans="1:11" s="1278" customFormat="1" ht="22.5" customHeight="1" x14ac:dyDescent="0.3">
      <c r="A150" s="1269">
        <v>143</v>
      </c>
      <c r="B150" s="1270">
        <v>15</v>
      </c>
      <c r="C150" s="1287" t="s">
        <v>123</v>
      </c>
      <c r="D150" s="1272"/>
      <c r="E150" s="1273" t="s">
        <v>24</v>
      </c>
      <c r="F150" s="1274">
        <f>29721+41030</f>
        <v>70751</v>
      </c>
      <c r="G150" s="1275"/>
      <c r="H150" s="1276">
        <v>85619</v>
      </c>
      <c r="I150" s="1277"/>
      <c r="J150" s="1388"/>
      <c r="K150" s="1669"/>
    </row>
    <row r="151" spans="1:11" ht="18" customHeight="1" x14ac:dyDescent="0.3">
      <c r="A151" s="1269">
        <v>144</v>
      </c>
      <c r="B151" s="1270"/>
      <c r="C151" s="1279">
        <v>1</v>
      </c>
      <c r="D151" s="1290" t="s">
        <v>745</v>
      </c>
      <c r="E151" s="1273"/>
      <c r="F151" s="1274"/>
      <c r="G151" s="1275"/>
      <c r="H151" s="1276"/>
      <c r="I151" s="1284">
        <v>4000</v>
      </c>
      <c r="J151" s="1389">
        <v>4000</v>
      </c>
      <c r="K151" s="1668">
        <v>175</v>
      </c>
    </row>
    <row r="152" spans="1:11" ht="18" customHeight="1" x14ac:dyDescent="0.3">
      <c r="A152" s="1269">
        <v>145</v>
      </c>
      <c r="B152" s="1270"/>
      <c r="C152" s="1302">
        <v>2</v>
      </c>
      <c r="D152" s="1290" t="s">
        <v>875</v>
      </c>
      <c r="E152" s="1273"/>
      <c r="F152" s="1274"/>
      <c r="G152" s="1275"/>
      <c r="H152" s="1276"/>
      <c r="I152" s="1284"/>
      <c r="J152" s="1389">
        <v>26300</v>
      </c>
      <c r="K152" s="1668">
        <v>5555</v>
      </c>
    </row>
    <row r="153" spans="1:11" s="1278" customFormat="1" ht="22.5" customHeight="1" x14ac:dyDescent="0.3">
      <c r="A153" s="1269">
        <v>146</v>
      </c>
      <c r="B153" s="1270">
        <v>16</v>
      </c>
      <c r="C153" s="1303" t="s">
        <v>227</v>
      </c>
      <c r="D153" s="1272"/>
      <c r="E153" s="1273" t="s">
        <v>23</v>
      </c>
      <c r="F153" s="1274">
        <v>11581</v>
      </c>
      <c r="G153" s="1275"/>
      <c r="H153" s="1276">
        <v>1541</v>
      </c>
      <c r="I153" s="1277"/>
      <c r="J153" s="1388"/>
      <c r="K153" s="1669"/>
    </row>
    <row r="154" spans="1:11" s="1278" customFormat="1" ht="22.5" customHeight="1" x14ac:dyDescent="0.3">
      <c r="A154" s="1269">
        <v>147</v>
      </c>
      <c r="B154" s="1270"/>
      <c r="C154" s="1279">
        <v>1</v>
      </c>
      <c r="D154" s="1290" t="s">
        <v>745</v>
      </c>
      <c r="E154" s="1273"/>
      <c r="F154" s="1274"/>
      <c r="G154" s="1275"/>
      <c r="H154" s="1276"/>
      <c r="I154" s="1277"/>
      <c r="J154" s="1389">
        <v>800</v>
      </c>
      <c r="K154" s="1668">
        <v>193</v>
      </c>
    </row>
    <row r="155" spans="1:11" ht="18" customHeight="1" thickBot="1" x14ac:dyDescent="0.35">
      <c r="A155" s="1269">
        <v>148</v>
      </c>
      <c r="B155" s="1270"/>
      <c r="C155" s="1279">
        <v>4</v>
      </c>
      <c r="D155" s="1290" t="s">
        <v>762</v>
      </c>
      <c r="E155" s="1273"/>
      <c r="F155" s="1274"/>
      <c r="G155" s="1275"/>
      <c r="H155" s="1276"/>
      <c r="I155" s="1284">
        <v>7000</v>
      </c>
      <c r="J155" s="1391">
        <v>7000</v>
      </c>
      <c r="K155" s="1671">
        <v>3086</v>
      </c>
    </row>
    <row r="156" spans="1:11" s="1309" customFormat="1" ht="36" customHeight="1" thickTop="1" thickBot="1" x14ac:dyDescent="0.25">
      <c r="A156" s="1269">
        <v>149</v>
      </c>
      <c r="B156" s="1894" t="s">
        <v>344</v>
      </c>
      <c r="C156" s="1895"/>
      <c r="D156" s="1896"/>
      <c r="E156" s="1304"/>
      <c r="F156" s="1305">
        <f>SUM(F8:F153)</f>
        <v>285608</v>
      </c>
      <c r="G156" s="1306">
        <f>SUM(G8:G153)</f>
        <v>213935</v>
      </c>
      <c r="H156" s="1307">
        <f>SUM(H8:H153)</f>
        <v>450244</v>
      </c>
      <c r="I156" s="1308">
        <f>SUM(I8:I155)</f>
        <v>276474</v>
      </c>
      <c r="J156" s="1394">
        <f>SUM(J8:J155)</f>
        <v>403967</v>
      </c>
      <c r="K156" s="1672">
        <f>SUM(K8:K155)</f>
        <v>211477</v>
      </c>
    </row>
    <row r="157" spans="1:11" s="1278" customFormat="1" ht="22.5" customHeight="1" x14ac:dyDescent="0.3">
      <c r="A157" s="1269">
        <v>150</v>
      </c>
      <c r="B157" s="1270">
        <v>17</v>
      </c>
      <c r="C157" s="1310" t="s">
        <v>165</v>
      </c>
      <c r="D157" s="1272"/>
      <c r="E157" s="1273" t="s">
        <v>23</v>
      </c>
      <c r="F157" s="1274"/>
      <c r="G157" s="1275"/>
      <c r="H157" s="1276"/>
      <c r="I157" s="1277"/>
      <c r="J157" s="1388"/>
      <c r="K157" s="1667"/>
    </row>
    <row r="158" spans="1:11" s="1278" customFormat="1" ht="22.5" customHeight="1" x14ac:dyDescent="0.3">
      <c r="A158" s="1269">
        <v>151</v>
      </c>
      <c r="B158" s="1270"/>
      <c r="C158" s="1289"/>
      <c r="D158" s="1272" t="s">
        <v>132</v>
      </c>
      <c r="E158" s="1273"/>
      <c r="F158" s="1274">
        <v>13698</v>
      </c>
      <c r="G158" s="1275"/>
      <c r="H158" s="1276"/>
      <c r="I158" s="1277"/>
      <c r="J158" s="1388"/>
      <c r="K158" s="1669"/>
    </row>
    <row r="159" spans="1:11" ht="18" customHeight="1" x14ac:dyDescent="0.3">
      <c r="A159" s="1269">
        <v>152</v>
      </c>
      <c r="B159" s="1270"/>
      <c r="C159" s="1302">
        <v>1</v>
      </c>
      <c r="D159" s="1290" t="s">
        <v>443</v>
      </c>
      <c r="E159" s="1273"/>
      <c r="F159" s="1281"/>
      <c r="G159" s="1282">
        <v>5500</v>
      </c>
      <c r="H159" s="1283"/>
      <c r="I159" s="1284">
        <v>7000</v>
      </c>
      <c r="J159" s="1389">
        <v>7000</v>
      </c>
      <c r="K159" s="1668"/>
    </row>
    <row r="160" spans="1:11" ht="18" customHeight="1" x14ac:dyDescent="0.3">
      <c r="A160" s="1269">
        <v>153</v>
      </c>
      <c r="B160" s="1270"/>
      <c r="C160" s="1302">
        <v>3</v>
      </c>
      <c r="D160" s="1290" t="s">
        <v>444</v>
      </c>
      <c r="E160" s="1273"/>
      <c r="F160" s="1281">
        <v>489</v>
      </c>
      <c r="G160" s="1282">
        <v>29000</v>
      </c>
      <c r="H160" s="1283"/>
      <c r="I160" s="1284">
        <v>29000</v>
      </c>
      <c r="J160" s="1389">
        <v>29000</v>
      </c>
      <c r="K160" s="1668"/>
    </row>
    <row r="161" spans="1:11" ht="18" customHeight="1" x14ac:dyDescent="0.3">
      <c r="A161" s="1269">
        <v>154</v>
      </c>
      <c r="B161" s="1270"/>
      <c r="C161" s="1302">
        <v>5</v>
      </c>
      <c r="D161" s="1290" t="s">
        <v>763</v>
      </c>
      <c r="E161" s="1273"/>
      <c r="F161" s="1281">
        <v>1792</v>
      </c>
      <c r="G161" s="1282">
        <v>1258</v>
      </c>
      <c r="H161" s="1283"/>
      <c r="I161" s="1284">
        <v>1000</v>
      </c>
      <c r="J161" s="1389">
        <v>1000</v>
      </c>
      <c r="K161" s="1668"/>
    </row>
    <row r="162" spans="1:11" ht="18" customHeight="1" x14ac:dyDescent="0.3">
      <c r="A162" s="1269">
        <v>155</v>
      </c>
      <c r="B162" s="1270"/>
      <c r="C162" s="1302">
        <v>6</v>
      </c>
      <c r="D162" s="1290" t="s">
        <v>445</v>
      </c>
      <c r="E162" s="1273"/>
      <c r="F162" s="1281"/>
      <c r="G162" s="1282">
        <v>3500</v>
      </c>
      <c r="H162" s="1283"/>
      <c r="I162" s="1284">
        <v>5000</v>
      </c>
      <c r="J162" s="1389">
        <v>5000</v>
      </c>
      <c r="K162" s="1668"/>
    </row>
    <row r="163" spans="1:11" ht="18" customHeight="1" x14ac:dyDescent="0.3">
      <c r="A163" s="1269">
        <v>156</v>
      </c>
      <c r="B163" s="1270"/>
      <c r="C163" s="1302">
        <v>10</v>
      </c>
      <c r="D163" s="1290" t="s">
        <v>447</v>
      </c>
      <c r="E163" s="1273"/>
      <c r="F163" s="1281">
        <v>667</v>
      </c>
      <c r="G163" s="1282">
        <v>1200</v>
      </c>
      <c r="H163" s="1283">
        <v>228</v>
      </c>
      <c r="I163" s="1284">
        <v>800</v>
      </c>
      <c r="J163" s="1389">
        <v>800</v>
      </c>
      <c r="K163" s="1668"/>
    </row>
    <row r="164" spans="1:11" ht="18" customHeight="1" x14ac:dyDescent="0.3">
      <c r="A164" s="1269">
        <v>157</v>
      </c>
      <c r="B164" s="1270"/>
      <c r="C164" s="1302">
        <v>11</v>
      </c>
      <c r="D164" s="1290" t="s">
        <v>448</v>
      </c>
      <c r="E164" s="1273"/>
      <c r="F164" s="1281">
        <v>2250</v>
      </c>
      <c r="G164" s="1282">
        <v>2500</v>
      </c>
      <c r="H164" s="1283">
        <v>704</v>
      </c>
      <c r="I164" s="1284">
        <v>3500</v>
      </c>
      <c r="J164" s="1389">
        <v>3500</v>
      </c>
      <c r="K164" s="1668">
        <v>1467</v>
      </c>
    </row>
    <row r="165" spans="1:11" ht="18" customHeight="1" x14ac:dyDescent="0.3">
      <c r="A165" s="1269">
        <v>158</v>
      </c>
      <c r="B165" s="1270"/>
      <c r="C165" s="1302">
        <v>12</v>
      </c>
      <c r="D165" s="1290" t="s">
        <v>519</v>
      </c>
      <c r="E165" s="1273"/>
      <c r="F165" s="1281">
        <v>600</v>
      </c>
      <c r="G165" s="1282">
        <v>7500</v>
      </c>
      <c r="H165" s="1283">
        <v>790</v>
      </c>
      <c r="I165" s="1284">
        <v>8500</v>
      </c>
      <c r="J165" s="1389">
        <v>54250</v>
      </c>
      <c r="K165" s="1668">
        <v>491</v>
      </c>
    </row>
    <row r="166" spans="1:11" ht="18" customHeight="1" x14ac:dyDescent="0.3">
      <c r="A166" s="1269">
        <v>159</v>
      </c>
      <c r="B166" s="1270"/>
      <c r="C166" s="1302">
        <v>17</v>
      </c>
      <c r="D166" s="1290" t="s">
        <v>764</v>
      </c>
      <c r="E166" s="1273"/>
      <c r="F166" s="1281"/>
      <c r="G166" s="1282"/>
      <c r="H166" s="1283"/>
      <c r="I166" s="1284">
        <v>10000</v>
      </c>
      <c r="J166" s="1389">
        <v>10000</v>
      </c>
      <c r="K166" s="1668"/>
    </row>
    <row r="167" spans="1:11" ht="18" customHeight="1" x14ac:dyDescent="0.3">
      <c r="A167" s="1269">
        <v>160</v>
      </c>
      <c r="B167" s="1270"/>
      <c r="C167" s="1302">
        <v>18</v>
      </c>
      <c r="D167" s="1290" t="s">
        <v>765</v>
      </c>
      <c r="E167" s="1273"/>
      <c r="F167" s="1281"/>
      <c r="G167" s="1282"/>
      <c r="H167" s="1283"/>
      <c r="I167" s="1284">
        <v>3000</v>
      </c>
      <c r="J167" s="1389">
        <v>5000</v>
      </c>
      <c r="K167" s="1668"/>
    </row>
    <row r="168" spans="1:11" ht="18" customHeight="1" x14ac:dyDescent="0.3">
      <c r="A168" s="1269">
        <v>161</v>
      </c>
      <c r="B168" s="1270"/>
      <c r="C168" s="1302">
        <v>19</v>
      </c>
      <c r="D168" s="1290" t="s">
        <v>932</v>
      </c>
      <c r="E168" s="1273"/>
      <c r="F168" s="1281"/>
      <c r="G168" s="1282"/>
      <c r="H168" s="1283"/>
      <c r="I168" s="1284"/>
      <c r="J168" s="1389">
        <v>35000</v>
      </c>
      <c r="K168" s="1668"/>
    </row>
    <row r="169" spans="1:11" ht="18" customHeight="1" x14ac:dyDescent="0.3">
      <c r="A169" s="1269">
        <v>162</v>
      </c>
      <c r="B169" s="1270"/>
      <c r="C169" s="1302">
        <v>4</v>
      </c>
      <c r="D169" s="1290" t="s">
        <v>766</v>
      </c>
      <c r="E169" s="1273"/>
      <c r="F169" s="1281"/>
      <c r="G169" s="1282"/>
      <c r="H169" s="1283">
        <v>1981</v>
      </c>
      <c r="I169" s="1284"/>
      <c r="J169" s="1389"/>
      <c r="K169" s="1668"/>
    </row>
    <row r="170" spans="1:11" ht="18" customHeight="1" x14ac:dyDescent="0.3">
      <c r="A170" s="1269">
        <v>163</v>
      </c>
      <c r="B170" s="1270"/>
      <c r="C170" s="1302">
        <v>7</v>
      </c>
      <c r="D170" s="1290" t="s">
        <v>446</v>
      </c>
      <c r="E170" s="1273"/>
      <c r="F170" s="1281"/>
      <c r="G170" s="1282">
        <v>1600</v>
      </c>
      <c r="H170" s="1283">
        <v>571</v>
      </c>
      <c r="I170" s="1284"/>
      <c r="J170" s="1389"/>
      <c r="K170" s="1668"/>
    </row>
    <row r="171" spans="1:11" ht="18" customHeight="1" x14ac:dyDescent="0.3">
      <c r="A171" s="1269">
        <v>164</v>
      </c>
      <c r="B171" s="1270"/>
      <c r="C171" s="1302">
        <v>13</v>
      </c>
      <c r="D171" s="1290" t="s">
        <v>489</v>
      </c>
      <c r="E171" s="1273"/>
      <c r="F171" s="1281">
        <v>2056</v>
      </c>
      <c r="G171" s="1282">
        <v>2300</v>
      </c>
      <c r="H171" s="1283">
        <v>2334</v>
      </c>
      <c r="I171" s="1284"/>
      <c r="J171" s="1389">
        <v>3000</v>
      </c>
      <c r="K171" s="1668">
        <f>253+898+236</f>
        <v>1387</v>
      </c>
    </row>
    <row r="172" spans="1:11" ht="18" customHeight="1" x14ac:dyDescent="0.3">
      <c r="A172" s="1269">
        <v>165</v>
      </c>
      <c r="B172" s="1270"/>
      <c r="C172" s="1302">
        <v>14</v>
      </c>
      <c r="D172" s="1290" t="s">
        <v>490</v>
      </c>
      <c r="E172" s="1273"/>
      <c r="F172" s="1281"/>
      <c r="G172" s="1282">
        <v>320</v>
      </c>
      <c r="H172" s="1283">
        <v>320</v>
      </c>
      <c r="I172" s="1284"/>
      <c r="J172" s="1389"/>
      <c r="K172" s="1668"/>
    </row>
    <row r="173" spans="1:11" ht="22.5" customHeight="1" x14ac:dyDescent="0.3">
      <c r="A173" s="1269">
        <v>166</v>
      </c>
      <c r="B173" s="1270"/>
      <c r="C173" s="1302"/>
      <c r="D173" s="1272" t="s">
        <v>376</v>
      </c>
      <c r="E173" s="1273"/>
      <c r="F173" s="1281">
        <v>7693</v>
      </c>
      <c r="G173" s="1282"/>
      <c r="H173" s="1283"/>
      <c r="I173" s="1284"/>
      <c r="J173" s="1389"/>
      <c r="K173" s="1668"/>
    </row>
    <row r="174" spans="1:11" ht="18" customHeight="1" x14ac:dyDescent="0.3">
      <c r="A174" s="1269">
        <v>167</v>
      </c>
      <c r="B174" s="1270"/>
      <c r="C174" s="1273">
        <v>15</v>
      </c>
      <c r="D174" s="1290" t="s">
        <v>31</v>
      </c>
      <c r="E174" s="1273"/>
      <c r="F174" s="1281"/>
      <c r="G174" s="1282">
        <v>16900</v>
      </c>
      <c r="H174" s="1283">
        <v>3375</v>
      </c>
      <c r="I174" s="1284">
        <v>25800</v>
      </c>
      <c r="J174" s="1389">
        <v>38800</v>
      </c>
      <c r="K174" s="1668">
        <v>11138</v>
      </c>
    </row>
    <row r="175" spans="1:11" s="1278" customFormat="1" ht="22.5" customHeight="1" x14ac:dyDescent="0.3">
      <c r="A175" s="1269">
        <v>168</v>
      </c>
      <c r="B175" s="1270"/>
      <c r="C175" s="1289"/>
      <c r="D175" s="1272" t="s">
        <v>512</v>
      </c>
      <c r="E175" s="1273"/>
      <c r="F175" s="1274">
        <v>6723</v>
      </c>
      <c r="G175" s="1275"/>
      <c r="H175" s="1276"/>
      <c r="I175" s="1277"/>
      <c r="J175" s="1388"/>
      <c r="K175" s="1669"/>
    </row>
    <row r="176" spans="1:11" s="1278" customFormat="1" ht="30" x14ac:dyDescent="0.3">
      <c r="A176" s="1269">
        <v>169</v>
      </c>
      <c r="B176" s="1270"/>
      <c r="C176" s="1289"/>
      <c r="D176" s="1272" t="s">
        <v>542</v>
      </c>
      <c r="E176" s="1273"/>
      <c r="F176" s="1274"/>
      <c r="G176" s="1275"/>
      <c r="H176" s="1276"/>
      <c r="I176" s="1277"/>
      <c r="J176" s="1388"/>
      <c r="K176" s="1669"/>
    </row>
    <row r="177" spans="1:247" ht="18" customHeight="1" thickBot="1" x14ac:dyDescent="0.35">
      <c r="A177" s="1269">
        <v>170</v>
      </c>
      <c r="B177" s="1270"/>
      <c r="C177" s="1273">
        <v>16</v>
      </c>
      <c r="D177" s="1290" t="s">
        <v>767</v>
      </c>
      <c r="E177" s="1273"/>
      <c r="F177" s="1281"/>
      <c r="G177" s="1282"/>
      <c r="H177" s="1283"/>
      <c r="I177" s="1284">
        <v>4550</v>
      </c>
      <c r="J177" s="1391">
        <v>4293</v>
      </c>
      <c r="K177" s="1671">
        <v>4293</v>
      </c>
    </row>
    <row r="178" spans="1:247" s="1309" customFormat="1" ht="36" customHeight="1" thickTop="1" thickBot="1" x14ac:dyDescent="0.25">
      <c r="A178" s="1269">
        <v>171</v>
      </c>
      <c r="B178" s="1894" t="s">
        <v>345</v>
      </c>
      <c r="C178" s="1895"/>
      <c r="D178" s="1896"/>
      <c r="E178" s="1304"/>
      <c r="F178" s="1305">
        <f t="shared" ref="F178:K178" si="0">SUM(F157:F177)</f>
        <v>35968</v>
      </c>
      <c r="G178" s="1306">
        <f t="shared" si="0"/>
        <v>71578</v>
      </c>
      <c r="H178" s="1307">
        <f t="shared" si="0"/>
        <v>10303</v>
      </c>
      <c r="I178" s="1308">
        <f t="shared" si="0"/>
        <v>98150</v>
      </c>
      <c r="J178" s="1392">
        <f t="shared" si="0"/>
        <v>196643</v>
      </c>
      <c r="K178" s="1672">
        <f t="shared" si="0"/>
        <v>18776</v>
      </c>
    </row>
    <row r="179" spans="1:247" s="1309" customFormat="1" ht="36" customHeight="1" thickBot="1" x14ac:dyDescent="0.25">
      <c r="A179" s="1269">
        <v>172</v>
      </c>
      <c r="B179" s="1876" t="s">
        <v>346</v>
      </c>
      <c r="C179" s="1877"/>
      <c r="D179" s="1878"/>
      <c r="E179" s="1311"/>
      <c r="F179" s="1312">
        <f t="shared" ref="F179:K179" si="1">SUM(F178,F156)</f>
        <v>321576</v>
      </c>
      <c r="G179" s="1313">
        <f t="shared" si="1"/>
        <v>285513</v>
      </c>
      <c r="H179" s="1314">
        <f t="shared" si="1"/>
        <v>460547</v>
      </c>
      <c r="I179" s="1315">
        <f t="shared" si="1"/>
        <v>374624</v>
      </c>
      <c r="J179" s="1393">
        <f t="shared" si="1"/>
        <v>600610</v>
      </c>
      <c r="K179" s="1673">
        <f t="shared" si="1"/>
        <v>230253</v>
      </c>
    </row>
    <row r="180" spans="1:247" s="1309" customFormat="1" ht="24.95" customHeight="1" x14ac:dyDescent="0.2">
      <c r="A180" s="1269">
        <v>173</v>
      </c>
      <c r="B180" s="1492"/>
      <c r="C180" s="1903" t="s">
        <v>130</v>
      </c>
      <c r="D180" s="1903"/>
      <c r="E180" s="1472"/>
      <c r="F180" s="1473"/>
      <c r="G180" s="1474"/>
      <c r="H180" s="1489"/>
      <c r="I180" s="1486"/>
      <c r="J180" s="1475"/>
      <c r="K180" s="1674"/>
    </row>
    <row r="181" spans="1:247" s="1309" customFormat="1" ht="20.100000000000001" customHeight="1" x14ac:dyDescent="0.3">
      <c r="A181" s="1269">
        <v>174</v>
      </c>
      <c r="B181" s="1493">
        <v>13</v>
      </c>
      <c r="C181" s="1476"/>
      <c r="D181" s="1477" t="s">
        <v>30</v>
      </c>
      <c r="E181" s="1476"/>
      <c r="F181" s="1478"/>
      <c r="G181" s="1479"/>
      <c r="H181" s="1490"/>
      <c r="I181" s="1487"/>
      <c r="J181" s="1480"/>
      <c r="K181" s="1675"/>
    </row>
    <row r="182" spans="1:247" s="1309" customFormat="1" ht="20.100000000000001" customHeight="1" thickBot="1" x14ac:dyDescent="0.35">
      <c r="A182" s="1269">
        <v>175</v>
      </c>
      <c r="B182" s="1494"/>
      <c r="C182" s="1273">
        <v>1</v>
      </c>
      <c r="D182" s="1482" t="s">
        <v>935</v>
      </c>
      <c r="E182" s="1481"/>
      <c r="F182" s="1483"/>
      <c r="G182" s="1484"/>
      <c r="H182" s="1491"/>
      <c r="I182" s="1488"/>
      <c r="J182" s="1485">
        <v>1973</v>
      </c>
      <c r="K182" s="1676"/>
    </row>
    <row r="183" spans="1:247" s="1309" customFormat="1" ht="36" customHeight="1" thickBot="1" x14ac:dyDescent="0.25">
      <c r="A183" s="1269">
        <v>176</v>
      </c>
      <c r="B183" s="1876" t="s">
        <v>936</v>
      </c>
      <c r="C183" s="1877"/>
      <c r="D183" s="1877"/>
      <c r="E183" s="1311"/>
      <c r="F183" s="1312">
        <f>F182+F179</f>
        <v>321576</v>
      </c>
      <c r="G183" s="1312">
        <f>G182+G179</f>
        <v>285513</v>
      </c>
      <c r="H183" s="1471">
        <f>H182+H179</f>
        <v>460547</v>
      </c>
      <c r="I183" s="1470">
        <f>I182+I179</f>
        <v>374624</v>
      </c>
      <c r="J183" s="1393">
        <f t="shared" ref="J183:K183" si="2">J182+J179</f>
        <v>602583</v>
      </c>
      <c r="K183" s="1673">
        <f t="shared" si="2"/>
        <v>230253</v>
      </c>
    </row>
    <row r="184" spans="1:247" ht="18" customHeight="1" x14ac:dyDescent="0.3">
      <c r="B184" s="1316"/>
      <c r="C184" s="1317" t="s">
        <v>25</v>
      </c>
      <c r="D184" s="1316"/>
      <c r="E184" s="1318"/>
      <c r="F184" s="1319"/>
      <c r="G184" s="1320"/>
      <c r="H184" s="1321"/>
      <c r="I184" s="1321"/>
      <c r="J184" s="1321"/>
    </row>
    <row r="185" spans="1:247" s="1323" customFormat="1" ht="18" customHeight="1" x14ac:dyDescent="0.3">
      <c r="A185" s="1245"/>
      <c r="B185" s="1316" t="s">
        <v>26</v>
      </c>
      <c r="C185" s="1316"/>
      <c r="D185" s="1316"/>
      <c r="E185" s="1318"/>
      <c r="F185" s="1322"/>
      <c r="G185" s="1320"/>
      <c r="H185" s="1321"/>
      <c r="I185" s="1321"/>
      <c r="J185" s="1321"/>
      <c r="K185" s="1263"/>
      <c r="L185" s="1246"/>
      <c r="M185" s="1246"/>
      <c r="N185" s="1246"/>
      <c r="O185" s="1246"/>
      <c r="P185" s="1246"/>
      <c r="Q185" s="1246"/>
      <c r="R185" s="1246"/>
      <c r="S185" s="1246"/>
      <c r="T185" s="1246"/>
      <c r="U185" s="1246"/>
      <c r="V185" s="1246"/>
      <c r="W185" s="1246"/>
      <c r="X185" s="1246"/>
      <c r="Y185" s="1246"/>
      <c r="Z185" s="1246"/>
      <c r="AA185" s="1246"/>
      <c r="AB185" s="1246"/>
      <c r="AC185" s="1246"/>
      <c r="AD185" s="1246"/>
      <c r="AE185" s="1246"/>
      <c r="AF185" s="1246"/>
      <c r="AG185" s="1246"/>
      <c r="AH185" s="1246"/>
      <c r="AI185" s="1246"/>
      <c r="AJ185" s="1246"/>
      <c r="AK185" s="1246"/>
      <c r="AL185" s="1246"/>
      <c r="AM185" s="1246"/>
      <c r="AN185" s="1246"/>
      <c r="AO185" s="1246"/>
      <c r="AP185" s="1246"/>
      <c r="AQ185" s="1246"/>
      <c r="AR185" s="1246"/>
      <c r="AS185" s="1246"/>
      <c r="AT185" s="1246"/>
      <c r="AU185" s="1246"/>
      <c r="AV185" s="1246"/>
      <c r="AW185" s="1246"/>
      <c r="AX185" s="1246"/>
      <c r="AY185" s="1246"/>
      <c r="AZ185" s="1246"/>
      <c r="BA185" s="1246"/>
      <c r="BB185" s="1246"/>
      <c r="BC185" s="1246"/>
      <c r="BD185" s="1246"/>
      <c r="BE185" s="1246"/>
      <c r="BF185" s="1246"/>
      <c r="BG185" s="1246"/>
      <c r="BH185" s="1246"/>
      <c r="BI185" s="1246"/>
      <c r="BJ185" s="1246"/>
      <c r="BK185" s="1246"/>
      <c r="BL185" s="1246"/>
      <c r="BM185" s="1246"/>
      <c r="BN185" s="1246"/>
      <c r="BO185" s="1246"/>
      <c r="BP185" s="1246"/>
      <c r="BQ185" s="1246"/>
      <c r="BR185" s="1246"/>
      <c r="BS185" s="1246"/>
      <c r="BT185" s="1246"/>
      <c r="BU185" s="1246"/>
      <c r="BV185" s="1246"/>
      <c r="BW185" s="1246"/>
      <c r="BX185" s="1246"/>
      <c r="BY185" s="1246"/>
      <c r="BZ185" s="1246"/>
      <c r="CA185" s="1246"/>
      <c r="CB185" s="1246"/>
      <c r="CC185" s="1246"/>
      <c r="CD185" s="1246"/>
      <c r="CE185" s="1246"/>
      <c r="CF185" s="1246"/>
      <c r="CG185" s="1246"/>
      <c r="CH185" s="1246"/>
      <c r="CI185" s="1246"/>
      <c r="CJ185" s="1246"/>
      <c r="CK185" s="1246"/>
      <c r="CL185" s="1246"/>
      <c r="CM185" s="1246"/>
      <c r="CN185" s="1246"/>
      <c r="CO185" s="1246"/>
      <c r="CP185" s="1246"/>
      <c r="CQ185" s="1246"/>
      <c r="CR185" s="1246"/>
      <c r="CS185" s="1246"/>
      <c r="CT185" s="1246"/>
      <c r="CU185" s="1246"/>
      <c r="CV185" s="1246"/>
      <c r="CW185" s="1246"/>
      <c r="CX185" s="1246"/>
      <c r="CY185" s="1246"/>
      <c r="CZ185" s="1246"/>
      <c r="DA185" s="1246"/>
      <c r="DB185" s="1246"/>
      <c r="DC185" s="1246"/>
      <c r="DD185" s="1246"/>
      <c r="DE185" s="1246"/>
      <c r="DF185" s="1246"/>
      <c r="DG185" s="1246"/>
      <c r="DH185" s="1246"/>
      <c r="DI185" s="1246"/>
      <c r="DJ185" s="1246"/>
      <c r="DK185" s="1246"/>
      <c r="DL185" s="1246"/>
      <c r="DM185" s="1246"/>
      <c r="DN185" s="1246"/>
      <c r="DO185" s="1246"/>
      <c r="DP185" s="1246"/>
      <c r="DQ185" s="1246"/>
      <c r="DR185" s="1246"/>
      <c r="DS185" s="1246"/>
      <c r="DT185" s="1246"/>
      <c r="DU185" s="1246"/>
      <c r="DV185" s="1246"/>
      <c r="DW185" s="1246"/>
      <c r="DX185" s="1246"/>
      <c r="DY185" s="1246"/>
      <c r="DZ185" s="1246"/>
      <c r="EA185" s="1246"/>
      <c r="EB185" s="1246"/>
      <c r="EC185" s="1246"/>
      <c r="ED185" s="1246"/>
      <c r="EE185" s="1246"/>
      <c r="EF185" s="1246"/>
      <c r="EG185" s="1246"/>
      <c r="EH185" s="1246"/>
      <c r="EI185" s="1246"/>
      <c r="EJ185" s="1246"/>
      <c r="EK185" s="1246"/>
      <c r="EL185" s="1246"/>
      <c r="EM185" s="1246"/>
      <c r="EN185" s="1246"/>
      <c r="EO185" s="1246"/>
      <c r="EP185" s="1246"/>
      <c r="EQ185" s="1246"/>
      <c r="ER185" s="1246"/>
      <c r="ES185" s="1246"/>
      <c r="ET185" s="1246"/>
      <c r="EU185" s="1246"/>
      <c r="EV185" s="1246"/>
      <c r="EW185" s="1246"/>
      <c r="EX185" s="1246"/>
      <c r="EY185" s="1246"/>
      <c r="EZ185" s="1246"/>
      <c r="FA185" s="1246"/>
      <c r="FB185" s="1246"/>
      <c r="FC185" s="1246"/>
      <c r="FD185" s="1246"/>
      <c r="FE185" s="1246"/>
      <c r="FF185" s="1246"/>
      <c r="FG185" s="1246"/>
      <c r="FH185" s="1246"/>
      <c r="FI185" s="1246"/>
      <c r="FJ185" s="1246"/>
      <c r="FK185" s="1246"/>
      <c r="FL185" s="1246"/>
      <c r="FM185" s="1246"/>
      <c r="FN185" s="1246"/>
      <c r="FO185" s="1246"/>
      <c r="FP185" s="1246"/>
      <c r="FQ185" s="1246"/>
      <c r="FR185" s="1246"/>
      <c r="FS185" s="1246"/>
      <c r="FT185" s="1246"/>
      <c r="FU185" s="1246"/>
      <c r="FV185" s="1246"/>
      <c r="FW185" s="1246"/>
      <c r="FX185" s="1246"/>
      <c r="FY185" s="1246"/>
      <c r="FZ185" s="1246"/>
      <c r="GA185" s="1246"/>
      <c r="GB185" s="1246"/>
      <c r="GC185" s="1246"/>
      <c r="GD185" s="1246"/>
      <c r="GE185" s="1246"/>
      <c r="GF185" s="1246"/>
      <c r="GG185" s="1246"/>
      <c r="GH185" s="1246"/>
      <c r="GI185" s="1246"/>
      <c r="GJ185" s="1246"/>
      <c r="GK185" s="1246"/>
      <c r="GL185" s="1246"/>
      <c r="GM185" s="1246"/>
      <c r="GN185" s="1246"/>
      <c r="GO185" s="1246"/>
      <c r="GP185" s="1246"/>
      <c r="GQ185" s="1246"/>
      <c r="GR185" s="1246"/>
      <c r="GS185" s="1246"/>
      <c r="GT185" s="1246"/>
      <c r="GU185" s="1246"/>
      <c r="GV185" s="1246"/>
      <c r="GW185" s="1246"/>
      <c r="GX185" s="1246"/>
      <c r="GY185" s="1246"/>
      <c r="GZ185" s="1246"/>
      <c r="HA185" s="1246"/>
      <c r="HB185" s="1246"/>
      <c r="HC185" s="1246"/>
      <c r="HD185" s="1246"/>
      <c r="HE185" s="1246"/>
      <c r="HF185" s="1246"/>
      <c r="HG185" s="1246"/>
      <c r="HH185" s="1246"/>
      <c r="HI185" s="1246"/>
      <c r="HJ185" s="1246"/>
      <c r="HK185" s="1246"/>
      <c r="HL185" s="1246"/>
      <c r="HM185" s="1246"/>
      <c r="HN185" s="1246"/>
      <c r="HO185" s="1246"/>
      <c r="HP185" s="1246"/>
      <c r="HQ185" s="1246"/>
      <c r="HR185" s="1246"/>
      <c r="HS185" s="1246"/>
      <c r="HT185" s="1246"/>
      <c r="HU185" s="1246"/>
      <c r="HV185" s="1246"/>
      <c r="HW185" s="1246"/>
      <c r="HX185" s="1246"/>
      <c r="HY185" s="1246"/>
      <c r="HZ185" s="1246"/>
      <c r="IA185" s="1246"/>
      <c r="IB185" s="1246"/>
      <c r="IC185" s="1246"/>
      <c r="ID185" s="1246"/>
      <c r="IE185" s="1246"/>
      <c r="IF185" s="1246"/>
      <c r="IG185" s="1246"/>
      <c r="IH185" s="1246"/>
      <c r="II185" s="1246"/>
      <c r="IJ185" s="1246"/>
      <c r="IK185" s="1246"/>
      <c r="IL185" s="1246"/>
      <c r="IM185" s="1246"/>
    </row>
    <row r="186" spans="1:247" s="1323" customFormat="1" ht="18" customHeight="1" x14ac:dyDescent="0.3">
      <c r="A186" s="1245"/>
      <c r="B186" s="1316" t="s">
        <v>27</v>
      </c>
      <c r="C186" s="1316"/>
      <c r="D186" s="1316"/>
      <c r="E186" s="1318"/>
      <c r="F186" s="1322"/>
      <c r="G186" s="1320"/>
      <c r="H186" s="1321"/>
      <c r="I186" s="1321"/>
      <c r="J186" s="1321"/>
      <c r="K186" s="1263"/>
      <c r="L186" s="1246"/>
      <c r="M186" s="1246"/>
      <c r="N186" s="1246"/>
      <c r="O186" s="1246"/>
      <c r="P186" s="1246"/>
      <c r="Q186" s="1246"/>
      <c r="R186" s="1246"/>
      <c r="S186" s="1246"/>
      <c r="T186" s="1246"/>
      <c r="U186" s="1246"/>
      <c r="V186" s="1246"/>
      <c r="W186" s="1246"/>
      <c r="X186" s="1246"/>
      <c r="Y186" s="1246"/>
      <c r="Z186" s="1246"/>
      <c r="AA186" s="1246"/>
      <c r="AB186" s="1246"/>
      <c r="AC186" s="1246"/>
      <c r="AD186" s="1246"/>
      <c r="AE186" s="1246"/>
      <c r="AF186" s="1246"/>
      <c r="AG186" s="1246"/>
      <c r="AH186" s="1246"/>
      <c r="AI186" s="1246"/>
      <c r="AJ186" s="1246"/>
      <c r="AK186" s="1246"/>
      <c r="AL186" s="1246"/>
      <c r="AM186" s="1246"/>
      <c r="AN186" s="1246"/>
      <c r="AO186" s="1246"/>
      <c r="AP186" s="1246"/>
      <c r="AQ186" s="1246"/>
      <c r="AR186" s="1246"/>
      <c r="AS186" s="1246"/>
      <c r="AT186" s="1246"/>
      <c r="AU186" s="1246"/>
      <c r="AV186" s="1246"/>
      <c r="AW186" s="1246"/>
      <c r="AX186" s="1246"/>
      <c r="AY186" s="1246"/>
      <c r="AZ186" s="1246"/>
      <c r="BA186" s="1246"/>
      <c r="BB186" s="1246"/>
      <c r="BC186" s="1246"/>
      <c r="BD186" s="1246"/>
      <c r="BE186" s="1246"/>
      <c r="BF186" s="1246"/>
      <c r="BG186" s="1246"/>
      <c r="BH186" s="1246"/>
      <c r="BI186" s="1246"/>
      <c r="BJ186" s="1246"/>
      <c r="BK186" s="1246"/>
      <c r="BL186" s="1246"/>
      <c r="BM186" s="1246"/>
      <c r="BN186" s="1246"/>
      <c r="BO186" s="1246"/>
      <c r="BP186" s="1246"/>
      <c r="BQ186" s="1246"/>
      <c r="BR186" s="1246"/>
      <c r="BS186" s="1246"/>
      <c r="BT186" s="1246"/>
      <c r="BU186" s="1246"/>
      <c r="BV186" s="1246"/>
      <c r="BW186" s="1246"/>
      <c r="BX186" s="1246"/>
      <c r="BY186" s="1246"/>
      <c r="BZ186" s="1246"/>
      <c r="CA186" s="1246"/>
      <c r="CB186" s="1246"/>
      <c r="CC186" s="1246"/>
      <c r="CD186" s="1246"/>
      <c r="CE186" s="1246"/>
      <c r="CF186" s="1246"/>
      <c r="CG186" s="1246"/>
      <c r="CH186" s="1246"/>
      <c r="CI186" s="1246"/>
      <c r="CJ186" s="1246"/>
      <c r="CK186" s="1246"/>
      <c r="CL186" s="1246"/>
      <c r="CM186" s="1246"/>
      <c r="CN186" s="1246"/>
      <c r="CO186" s="1246"/>
      <c r="CP186" s="1246"/>
      <c r="CQ186" s="1246"/>
      <c r="CR186" s="1246"/>
      <c r="CS186" s="1246"/>
      <c r="CT186" s="1246"/>
      <c r="CU186" s="1246"/>
      <c r="CV186" s="1246"/>
      <c r="CW186" s="1246"/>
      <c r="CX186" s="1246"/>
      <c r="CY186" s="1246"/>
      <c r="CZ186" s="1246"/>
      <c r="DA186" s="1246"/>
      <c r="DB186" s="1246"/>
      <c r="DC186" s="1246"/>
      <c r="DD186" s="1246"/>
      <c r="DE186" s="1246"/>
      <c r="DF186" s="1246"/>
      <c r="DG186" s="1246"/>
      <c r="DH186" s="1246"/>
      <c r="DI186" s="1246"/>
      <c r="DJ186" s="1246"/>
      <c r="DK186" s="1246"/>
      <c r="DL186" s="1246"/>
      <c r="DM186" s="1246"/>
      <c r="DN186" s="1246"/>
      <c r="DO186" s="1246"/>
      <c r="DP186" s="1246"/>
      <c r="DQ186" s="1246"/>
      <c r="DR186" s="1246"/>
      <c r="DS186" s="1246"/>
      <c r="DT186" s="1246"/>
      <c r="DU186" s="1246"/>
      <c r="DV186" s="1246"/>
      <c r="DW186" s="1246"/>
      <c r="DX186" s="1246"/>
      <c r="DY186" s="1246"/>
      <c r="DZ186" s="1246"/>
      <c r="EA186" s="1246"/>
      <c r="EB186" s="1246"/>
      <c r="EC186" s="1246"/>
      <c r="ED186" s="1246"/>
      <c r="EE186" s="1246"/>
      <c r="EF186" s="1246"/>
      <c r="EG186" s="1246"/>
      <c r="EH186" s="1246"/>
      <c r="EI186" s="1246"/>
      <c r="EJ186" s="1246"/>
      <c r="EK186" s="1246"/>
      <c r="EL186" s="1246"/>
      <c r="EM186" s="1246"/>
      <c r="EN186" s="1246"/>
      <c r="EO186" s="1246"/>
      <c r="EP186" s="1246"/>
      <c r="EQ186" s="1246"/>
      <c r="ER186" s="1246"/>
      <c r="ES186" s="1246"/>
      <c r="ET186" s="1246"/>
      <c r="EU186" s="1246"/>
      <c r="EV186" s="1246"/>
      <c r="EW186" s="1246"/>
      <c r="EX186" s="1246"/>
      <c r="EY186" s="1246"/>
      <c r="EZ186" s="1246"/>
      <c r="FA186" s="1246"/>
      <c r="FB186" s="1246"/>
      <c r="FC186" s="1246"/>
      <c r="FD186" s="1246"/>
      <c r="FE186" s="1246"/>
      <c r="FF186" s="1246"/>
      <c r="FG186" s="1246"/>
      <c r="FH186" s="1246"/>
      <c r="FI186" s="1246"/>
      <c r="FJ186" s="1246"/>
      <c r="FK186" s="1246"/>
      <c r="FL186" s="1246"/>
      <c r="FM186" s="1246"/>
      <c r="FN186" s="1246"/>
      <c r="FO186" s="1246"/>
      <c r="FP186" s="1246"/>
      <c r="FQ186" s="1246"/>
      <c r="FR186" s="1246"/>
      <c r="FS186" s="1246"/>
      <c r="FT186" s="1246"/>
      <c r="FU186" s="1246"/>
      <c r="FV186" s="1246"/>
      <c r="FW186" s="1246"/>
      <c r="FX186" s="1246"/>
      <c r="FY186" s="1246"/>
      <c r="FZ186" s="1246"/>
      <c r="GA186" s="1246"/>
      <c r="GB186" s="1246"/>
      <c r="GC186" s="1246"/>
      <c r="GD186" s="1246"/>
      <c r="GE186" s="1246"/>
      <c r="GF186" s="1246"/>
      <c r="GG186" s="1246"/>
      <c r="GH186" s="1246"/>
      <c r="GI186" s="1246"/>
      <c r="GJ186" s="1246"/>
      <c r="GK186" s="1246"/>
      <c r="GL186" s="1246"/>
      <c r="GM186" s="1246"/>
      <c r="GN186" s="1246"/>
      <c r="GO186" s="1246"/>
      <c r="GP186" s="1246"/>
      <c r="GQ186" s="1246"/>
      <c r="GR186" s="1246"/>
      <c r="GS186" s="1246"/>
      <c r="GT186" s="1246"/>
      <c r="GU186" s="1246"/>
      <c r="GV186" s="1246"/>
      <c r="GW186" s="1246"/>
      <c r="GX186" s="1246"/>
      <c r="GY186" s="1246"/>
      <c r="GZ186" s="1246"/>
      <c r="HA186" s="1246"/>
      <c r="HB186" s="1246"/>
      <c r="HC186" s="1246"/>
      <c r="HD186" s="1246"/>
      <c r="HE186" s="1246"/>
      <c r="HF186" s="1246"/>
      <c r="HG186" s="1246"/>
      <c r="HH186" s="1246"/>
      <c r="HI186" s="1246"/>
      <c r="HJ186" s="1246"/>
      <c r="HK186" s="1246"/>
      <c r="HL186" s="1246"/>
      <c r="HM186" s="1246"/>
      <c r="HN186" s="1246"/>
      <c r="HO186" s="1246"/>
      <c r="HP186" s="1246"/>
      <c r="HQ186" s="1246"/>
      <c r="HR186" s="1246"/>
      <c r="HS186" s="1246"/>
      <c r="HT186" s="1246"/>
      <c r="HU186" s="1246"/>
      <c r="HV186" s="1246"/>
      <c r="HW186" s="1246"/>
      <c r="HX186" s="1246"/>
      <c r="HY186" s="1246"/>
      <c r="HZ186" s="1246"/>
      <c r="IA186" s="1246"/>
      <c r="IB186" s="1246"/>
      <c r="IC186" s="1246"/>
      <c r="ID186" s="1246"/>
      <c r="IE186" s="1246"/>
      <c r="IF186" s="1246"/>
      <c r="IG186" s="1246"/>
      <c r="IH186" s="1246"/>
      <c r="II186" s="1246"/>
      <c r="IJ186" s="1246"/>
      <c r="IK186" s="1246"/>
      <c r="IL186" s="1246"/>
      <c r="IM186" s="1246"/>
    </row>
    <row r="187" spans="1:247" s="1323" customFormat="1" x14ac:dyDescent="0.3">
      <c r="A187" s="1245"/>
      <c r="B187" s="1256"/>
      <c r="C187" s="1257"/>
      <c r="D187" s="1258"/>
      <c r="E187" s="1259"/>
      <c r="F187" s="1260"/>
      <c r="G187" s="1260"/>
      <c r="H187" s="1261"/>
      <c r="I187" s="1261"/>
      <c r="J187" s="1261"/>
      <c r="K187" s="1263"/>
      <c r="L187" s="1246"/>
      <c r="M187" s="1246"/>
      <c r="N187" s="1246"/>
      <c r="O187" s="1246"/>
      <c r="P187" s="1246"/>
      <c r="Q187" s="1246"/>
      <c r="R187" s="1246"/>
      <c r="S187" s="1246"/>
      <c r="T187" s="1246"/>
      <c r="U187" s="1246"/>
      <c r="V187" s="1246"/>
      <c r="W187" s="1246"/>
      <c r="X187" s="1246"/>
      <c r="Y187" s="1246"/>
      <c r="Z187" s="1246"/>
      <c r="AA187" s="1246"/>
      <c r="AB187" s="1246"/>
      <c r="AC187" s="1246"/>
      <c r="AD187" s="1246"/>
      <c r="AE187" s="1246"/>
      <c r="AF187" s="1246"/>
      <c r="AG187" s="1246"/>
      <c r="AH187" s="1246"/>
      <c r="AI187" s="1246"/>
      <c r="AJ187" s="1246"/>
      <c r="AK187" s="1246"/>
      <c r="AL187" s="1246"/>
      <c r="AM187" s="1246"/>
      <c r="AN187" s="1246"/>
      <c r="AO187" s="1246"/>
      <c r="AP187" s="1246"/>
      <c r="AQ187" s="1246"/>
      <c r="AR187" s="1246"/>
      <c r="AS187" s="1246"/>
      <c r="AT187" s="1246"/>
      <c r="AU187" s="1246"/>
      <c r="AV187" s="1246"/>
      <c r="AW187" s="1246"/>
      <c r="AX187" s="1246"/>
      <c r="AY187" s="1246"/>
      <c r="AZ187" s="1246"/>
      <c r="BA187" s="1246"/>
      <c r="BB187" s="1246"/>
      <c r="BC187" s="1246"/>
      <c r="BD187" s="1246"/>
      <c r="BE187" s="1246"/>
      <c r="BF187" s="1246"/>
      <c r="BG187" s="1246"/>
      <c r="BH187" s="1246"/>
      <c r="BI187" s="1246"/>
      <c r="BJ187" s="1246"/>
      <c r="BK187" s="1246"/>
      <c r="BL187" s="1246"/>
      <c r="BM187" s="1246"/>
      <c r="BN187" s="1246"/>
      <c r="BO187" s="1246"/>
      <c r="BP187" s="1246"/>
      <c r="BQ187" s="1246"/>
      <c r="BR187" s="1246"/>
      <c r="BS187" s="1246"/>
      <c r="BT187" s="1246"/>
      <c r="BU187" s="1246"/>
      <c r="BV187" s="1246"/>
      <c r="BW187" s="1246"/>
      <c r="BX187" s="1246"/>
      <c r="BY187" s="1246"/>
      <c r="BZ187" s="1246"/>
      <c r="CA187" s="1246"/>
      <c r="CB187" s="1246"/>
      <c r="CC187" s="1246"/>
      <c r="CD187" s="1246"/>
      <c r="CE187" s="1246"/>
      <c r="CF187" s="1246"/>
      <c r="CG187" s="1246"/>
      <c r="CH187" s="1246"/>
      <c r="CI187" s="1246"/>
      <c r="CJ187" s="1246"/>
      <c r="CK187" s="1246"/>
      <c r="CL187" s="1246"/>
      <c r="CM187" s="1246"/>
      <c r="CN187" s="1246"/>
      <c r="CO187" s="1246"/>
      <c r="CP187" s="1246"/>
      <c r="CQ187" s="1246"/>
      <c r="CR187" s="1246"/>
      <c r="CS187" s="1246"/>
      <c r="CT187" s="1246"/>
      <c r="CU187" s="1246"/>
      <c r="CV187" s="1246"/>
      <c r="CW187" s="1246"/>
      <c r="CX187" s="1246"/>
      <c r="CY187" s="1246"/>
      <c r="CZ187" s="1246"/>
      <c r="DA187" s="1246"/>
      <c r="DB187" s="1246"/>
      <c r="DC187" s="1246"/>
      <c r="DD187" s="1246"/>
      <c r="DE187" s="1246"/>
      <c r="DF187" s="1246"/>
      <c r="DG187" s="1246"/>
      <c r="DH187" s="1246"/>
      <c r="DI187" s="1246"/>
      <c r="DJ187" s="1246"/>
      <c r="DK187" s="1246"/>
      <c r="DL187" s="1246"/>
      <c r="DM187" s="1246"/>
      <c r="DN187" s="1246"/>
      <c r="DO187" s="1246"/>
      <c r="DP187" s="1246"/>
      <c r="DQ187" s="1246"/>
      <c r="DR187" s="1246"/>
      <c r="DS187" s="1246"/>
      <c r="DT187" s="1246"/>
      <c r="DU187" s="1246"/>
      <c r="DV187" s="1246"/>
      <c r="DW187" s="1246"/>
      <c r="DX187" s="1246"/>
      <c r="DY187" s="1246"/>
      <c r="DZ187" s="1246"/>
      <c r="EA187" s="1246"/>
      <c r="EB187" s="1246"/>
      <c r="EC187" s="1246"/>
      <c r="ED187" s="1246"/>
      <c r="EE187" s="1246"/>
      <c r="EF187" s="1246"/>
      <c r="EG187" s="1246"/>
      <c r="EH187" s="1246"/>
      <c r="EI187" s="1246"/>
      <c r="EJ187" s="1246"/>
      <c r="EK187" s="1246"/>
      <c r="EL187" s="1246"/>
      <c r="EM187" s="1246"/>
      <c r="EN187" s="1246"/>
      <c r="EO187" s="1246"/>
      <c r="EP187" s="1246"/>
      <c r="EQ187" s="1246"/>
      <c r="ER187" s="1246"/>
      <c r="ES187" s="1246"/>
      <c r="ET187" s="1246"/>
      <c r="EU187" s="1246"/>
      <c r="EV187" s="1246"/>
      <c r="EW187" s="1246"/>
      <c r="EX187" s="1246"/>
      <c r="EY187" s="1246"/>
      <c r="EZ187" s="1246"/>
      <c r="FA187" s="1246"/>
      <c r="FB187" s="1246"/>
      <c r="FC187" s="1246"/>
      <c r="FD187" s="1246"/>
      <c r="FE187" s="1246"/>
      <c r="FF187" s="1246"/>
      <c r="FG187" s="1246"/>
      <c r="FH187" s="1246"/>
      <c r="FI187" s="1246"/>
      <c r="FJ187" s="1246"/>
      <c r="FK187" s="1246"/>
      <c r="FL187" s="1246"/>
      <c r="FM187" s="1246"/>
      <c r="FN187" s="1246"/>
      <c r="FO187" s="1246"/>
      <c r="FP187" s="1246"/>
      <c r="FQ187" s="1246"/>
      <c r="FR187" s="1246"/>
      <c r="FS187" s="1246"/>
      <c r="FT187" s="1246"/>
      <c r="FU187" s="1246"/>
      <c r="FV187" s="1246"/>
      <c r="FW187" s="1246"/>
      <c r="FX187" s="1246"/>
      <c r="FY187" s="1246"/>
      <c r="FZ187" s="1246"/>
      <c r="GA187" s="1246"/>
      <c r="GB187" s="1246"/>
      <c r="GC187" s="1246"/>
      <c r="GD187" s="1246"/>
      <c r="GE187" s="1246"/>
      <c r="GF187" s="1246"/>
      <c r="GG187" s="1246"/>
      <c r="GH187" s="1246"/>
      <c r="GI187" s="1246"/>
      <c r="GJ187" s="1246"/>
      <c r="GK187" s="1246"/>
      <c r="GL187" s="1246"/>
      <c r="GM187" s="1246"/>
      <c r="GN187" s="1246"/>
      <c r="GO187" s="1246"/>
      <c r="GP187" s="1246"/>
      <c r="GQ187" s="1246"/>
      <c r="GR187" s="1246"/>
      <c r="GS187" s="1246"/>
      <c r="GT187" s="1246"/>
      <c r="GU187" s="1246"/>
      <c r="GV187" s="1246"/>
      <c r="GW187" s="1246"/>
      <c r="GX187" s="1246"/>
      <c r="GY187" s="1246"/>
      <c r="GZ187" s="1246"/>
      <c r="HA187" s="1246"/>
      <c r="HB187" s="1246"/>
      <c r="HC187" s="1246"/>
      <c r="HD187" s="1246"/>
      <c r="HE187" s="1246"/>
      <c r="HF187" s="1246"/>
      <c r="HG187" s="1246"/>
      <c r="HH187" s="1246"/>
      <c r="HI187" s="1246"/>
      <c r="HJ187" s="1246"/>
      <c r="HK187" s="1246"/>
      <c r="HL187" s="1246"/>
      <c r="HM187" s="1246"/>
      <c r="HN187" s="1246"/>
      <c r="HO187" s="1246"/>
      <c r="HP187" s="1246"/>
      <c r="HQ187" s="1246"/>
      <c r="HR187" s="1246"/>
      <c r="HS187" s="1246"/>
      <c r="HT187" s="1246"/>
      <c r="HU187" s="1246"/>
      <c r="HV187" s="1246"/>
      <c r="HW187" s="1246"/>
      <c r="HX187" s="1246"/>
      <c r="HY187" s="1246"/>
      <c r="HZ187" s="1246"/>
      <c r="IA187" s="1246"/>
      <c r="IB187" s="1246"/>
      <c r="IC187" s="1246"/>
      <c r="ID187" s="1246"/>
      <c r="IE187" s="1246"/>
      <c r="IF187" s="1246"/>
      <c r="IG187" s="1246"/>
      <c r="IH187" s="1246"/>
      <c r="II187" s="1246"/>
      <c r="IJ187" s="1246"/>
      <c r="IK187" s="1246"/>
      <c r="IL187" s="1246"/>
      <c r="IM187" s="1246"/>
    </row>
  </sheetData>
  <mergeCells count="18">
    <mergeCell ref="K6:K7"/>
    <mergeCell ref="B2:K2"/>
    <mergeCell ref="B3:K3"/>
    <mergeCell ref="J6:J7"/>
    <mergeCell ref="C180:D180"/>
    <mergeCell ref="B183:D183"/>
    <mergeCell ref="B179:D179"/>
    <mergeCell ref="I6:I7"/>
    <mergeCell ref="B1:D1"/>
    <mergeCell ref="B6:B7"/>
    <mergeCell ref="C6:C7"/>
    <mergeCell ref="D6:D7"/>
    <mergeCell ref="E6:E7"/>
    <mergeCell ref="F6:F7"/>
    <mergeCell ref="G6:G7"/>
    <mergeCell ref="H6:H7"/>
    <mergeCell ref="B156:D156"/>
    <mergeCell ref="B178:D178"/>
  </mergeCells>
  <printOptions horizontalCentered="1"/>
  <pageMargins left="0.19685039370078741" right="0.19685039370078741" top="0.39370078740157483" bottom="0.39370078740157483" header="0.31496062992125984" footer="0.31496062992125984"/>
  <pageSetup paperSize="9" scale="60" fitToHeight="0" orientation="portrait" r:id="rId1"/>
  <headerFooter alignWithMargins="0">
    <oddFooter>&amp;C-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P962"/>
  <sheetViews>
    <sheetView tabSelected="1" view="pageBreakPreview" topLeftCell="A696" zoomScale="75" zoomScaleNormal="75" zoomScaleSheetLayoutView="75" workbookViewId="0">
      <selection activeCell="R719" sqref="R719"/>
    </sheetView>
  </sheetViews>
  <sheetFormatPr defaultColWidth="9.28515625" defaultRowHeight="17.25" x14ac:dyDescent="0.35"/>
  <cols>
    <col min="1" max="1" width="3.7109375" style="194" customWidth="1"/>
    <col min="2" max="3" width="5.7109375" style="3" customWidth="1"/>
    <col min="4" max="4" width="87.7109375" style="9" customWidth="1"/>
    <col min="5" max="7" width="11.7109375" style="745" customWidth="1"/>
    <col min="8" max="8" width="6.7109375" style="3" customWidth="1"/>
    <col min="9" max="9" width="12.7109375" style="5" customWidth="1"/>
    <col min="10" max="14" width="12.7109375" style="4" customWidth="1"/>
    <col min="15" max="15" width="9.28515625" style="4" bestFit="1" customWidth="1"/>
    <col min="16" max="16384" width="9.28515625" style="4"/>
  </cols>
  <sheetData>
    <row r="1" spans="1:16" ht="16.5" x14ac:dyDescent="0.3">
      <c r="A1" s="244"/>
      <c r="B1" s="1926" t="s">
        <v>1012</v>
      </c>
      <c r="C1" s="1926"/>
      <c r="D1" s="1926"/>
      <c r="E1" s="4"/>
      <c r="F1" s="4"/>
      <c r="G1" s="1927"/>
      <c r="H1" s="1927"/>
      <c r="I1" s="1927"/>
      <c r="J1" s="773"/>
      <c r="K1" s="773"/>
      <c r="L1" s="773"/>
      <c r="M1" s="773"/>
      <c r="N1" s="773"/>
    </row>
    <row r="2" spans="1:16" ht="24.75" customHeight="1" x14ac:dyDescent="0.35">
      <c r="A2" s="244"/>
      <c r="B2" s="1928" t="s">
        <v>14</v>
      </c>
      <c r="C2" s="1928"/>
      <c r="D2" s="1928"/>
      <c r="E2" s="1928"/>
      <c r="F2" s="1928"/>
      <c r="G2" s="1928"/>
      <c r="H2" s="1928"/>
      <c r="I2" s="1928"/>
      <c r="J2" s="1928"/>
      <c r="K2" s="1928"/>
      <c r="L2" s="1928"/>
      <c r="M2" s="1928"/>
      <c r="N2" s="1928"/>
    </row>
    <row r="3" spans="1:16" s="6" customFormat="1" ht="24.75" customHeight="1" x14ac:dyDescent="0.2">
      <c r="A3" s="244"/>
      <c r="B3" s="1929" t="s">
        <v>1013</v>
      </c>
      <c r="C3" s="1929"/>
      <c r="D3" s="1929"/>
      <c r="E3" s="1929"/>
      <c r="F3" s="1929"/>
      <c r="G3" s="1929"/>
      <c r="H3" s="1929"/>
      <c r="I3" s="1929"/>
      <c r="J3" s="1929"/>
      <c r="K3" s="1929"/>
      <c r="L3" s="1929"/>
      <c r="M3" s="1929"/>
      <c r="N3" s="1929"/>
    </row>
    <row r="4" spans="1:16" s="110" customFormat="1" ht="15" x14ac:dyDescent="0.3">
      <c r="A4" s="243"/>
      <c r="B4" s="774"/>
      <c r="C4" s="774"/>
      <c r="D4" s="775"/>
      <c r="H4" s="776"/>
      <c r="I4" s="777"/>
      <c r="J4" s="778"/>
      <c r="K4" s="778"/>
      <c r="L4" s="778"/>
      <c r="M4" s="1930" t="s">
        <v>0</v>
      </c>
      <c r="N4" s="1930"/>
    </row>
    <row r="5" spans="1:16" s="45" customFormat="1" ht="15" thickBot="1" x14ac:dyDescent="0.35">
      <c r="A5" s="245"/>
      <c r="B5" s="45" t="s">
        <v>1</v>
      </c>
      <c r="C5" s="780" t="s">
        <v>3</v>
      </c>
      <c r="D5" s="779" t="s">
        <v>2</v>
      </c>
      <c r="E5" s="45" t="s">
        <v>4</v>
      </c>
      <c r="F5" s="45" t="s">
        <v>5</v>
      </c>
      <c r="G5" s="45" t="s">
        <v>15</v>
      </c>
      <c r="H5" s="780" t="s">
        <v>16</v>
      </c>
      <c r="I5" s="45" t="s">
        <v>17</v>
      </c>
      <c r="J5" s="45" t="s">
        <v>32</v>
      </c>
      <c r="K5" s="45" t="s">
        <v>28</v>
      </c>
      <c r="L5" s="45" t="s">
        <v>23</v>
      </c>
      <c r="M5" s="45" t="s">
        <v>33</v>
      </c>
      <c r="N5" s="45" t="s">
        <v>34</v>
      </c>
    </row>
    <row r="6" spans="1:16" s="654" customFormat="1" ht="34.5" customHeight="1" x14ac:dyDescent="0.2">
      <c r="A6" s="194"/>
      <c r="B6" s="1911" t="s">
        <v>18</v>
      </c>
      <c r="C6" s="1913" t="s">
        <v>19</v>
      </c>
      <c r="D6" s="1917" t="s">
        <v>6</v>
      </c>
      <c r="E6" s="1909" t="s">
        <v>532</v>
      </c>
      <c r="F6" s="1909" t="s">
        <v>523</v>
      </c>
      <c r="G6" s="1915" t="s">
        <v>545</v>
      </c>
      <c r="H6" s="1919" t="s">
        <v>20</v>
      </c>
      <c r="I6" s="1905" t="s">
        <v>524</v>
      </c>
      <c r="J6" s="1907" t="s">
        <v>35</v>
      </c>
      <c r="K6" s="1907"/>
      <c r="L6" s="1907"/>
      <c r="M6" s="1907"/>
      <c r="N6" s="1908"/>
    </row>
    <row r="7" spans="1:16" s="654" customFormat="1" ht="45.75" thickBot="1" x14ac:dyDescent="0.25">
      <c r="A7" s="194"/>
      <c r="B7" s="1912"/>
      <c r="C7" s="1914"/>
      <c r="D7" s="1918"/>
      <c r="E7" s="1910"/>
      <c r="F7" s="1910"/>
      <c r="G7" s="1916"/>
      <c r="H7" s="1920"/>
      <c r="I7" s="1906"/>
      <c r="J7" s="772" t="s">
        <v>36</v>
      </c>
      <c r="K7" s="772" t="s">
        <v>37</v>
      </c>
      <c r="L7" s="772" t="s">
        <v>38</v>
      </c>
      <c r="M7" s="772" t="s">
        <v>186</v>
      </c>
      <c r="N7" s="781" t="s">
        <v>39</v>
      </c>
    </row>
    <row r="8" spans="1:16" s="654" customFormat="1" ht="23.25" customHeight="1" x14ac:dyDescent="0.3">
      <c r="A8" s="194">
        <v>1</v>
      </c>
      <c r="B8" s="782">
        <v>18</v>
      </c>
      <c r="C8" s="246" t="s">
        <v>343</v>
      </c>
      <c r="D8" s="783"/>
      <c r="E8" s="784"/>
      <c r="F8" s="784"/>
      <c r="G8" s="785"/>
      <c r="H8" s="786"/>
      <c r="I8" s="787"/>
      <c r="J8" s="788"/>
      <c r="K8" s="788"/>
      <c r="L8" s="788"/>
      <c r="M8" s="788"/>
      <c r="N8" s="789"/>
    </row>
    <row r="9" spans="1:16" s="3" customFormat="1" ht="22.5" customHeight="1" x14ac:dyDescent="0.3">
      <c r="A9" s="194">
        <v>2</v>
      </c>
      <c r="B9" s="72"/>
      <c r="C9" s="790">
        <v>1</v>
      </c>
      <c r="D9" s="189" t="s">
        <v>40</v>
      </c>
      <c r="E9" s="791">
        <v>88</v>
      </c>
      <c r="F9" s="791">
        <v>945</v>
      </c>
      <c r="G9" s="792">
        <v>833</v>
      </c>
      <c r="H9" s="1432" t="s">
        <v>23</v>
      </c>
      <c r="I9" s="1448"/>
      <c r="J9" s="793"/>
      <c r="K9" s="793"/>
      <c r="L9" s="793"/>
      <c r="M9" s="793"/>
      <c r="N9" s="794"/>
    </row>
    <row r="10" spans="1:16" s="7" customFormat="1" ht="18" customHeight="1" x14ac:dyDescent="0.3">
      <c r="A10" s="194">
        <v>3</v>
      </c>
      <c r="B10" s="61"/>
      <c r="C10" s="59"/>
      <c r="D10" s="316" t="s">
        <v>252</v>
      </c>
      <c r="E10" s="795"/>
      <c r="F10" s="795"/>
      <c r="G10" s="796"/>
      <c r="H10" s="1433"/>
      <c r="I10" s="317">
        <f>SUM(J10:N10)</f>
        <v>1412</v>
      </c>
      <c r="J10" s="352"/>
      <c r="K10" s="352"/>
      <c r="L10" s="312">
        <v>1412</v>
      </c>
      <c r="M10" s="352"/>
      <c r="N10" s="353"/>
    </row>
    <row r="11" spans="1:16" s="7" customFormat="1" ht="18" customHeight="1" x14ac:dyDescent="0.3">
      <c r="A11" s="194">
        <v>4</v>
      </c>
      <c r="B11" s="61"/>
      <c r="C11" s="59"/>
      <c r="D11" s="1003" t="s">
        <v>921</v>
      </c>
      <c r="E11" s="795"/>
      <c r="F11" s="795"/>
      <c r="G11" s="796"/>
      <c r="H11" s="1433"/>
      <c r="I11" s="1448">
        <f>SUM(J11:N11)</f>
        <v>1412</v>
      </c>
      <c r="J11" s="793">
        <v>145</v>
      </c>
      <c r="K11" s="793">
        <v>38</v>
      </c>
      <c r="L11" s="1091">
        <v>1229</v>
      </c>
      <c r="M11" s="793"/>
      <c r="N11" s="355"/>
    </row>
    <row r="12" spans="1:16" s="7" customFormat="1" ht="18" customHeight="1" x14ac:dyDescent="0.3">
      <c r="A12" s="194">
        <v>5</v>
      </c>
      <c r="B12" s="61"/>
      <c r="C12" s="59"/>
      <c r="D12" s="1002" t="s">
        <v>972</v>
      </c>
      <c r="E12" s="795"/>
      <c r="F12" s="795"/>
      <c r="G12" s="796"/>
      <c r="H12" s="1433"/>
      <c r="I12" s="1743">
        <f>SUM(J12:Q12)</f>
        <v>546</v>
      </c>
      <c r="J12" s="1097">
        <v>90</v>
      </c>
      <c r="K12" s="1097">
        <v>38</v>
      </c>
      <c r="L12" s="1097">
        <v>418</v>
      </c>
      <c r="M12" s="1097"/>
      <c r="N12" s="1099"/>
    </row>
    <row r="13" spans="1:16" s="3" customFormat="1" ht="22.5" customHeight="1" x14ac:dyDescent="0.3">
      <c r="A13" s="194">
        <v>6</v>
      </c>
      <c r="B13" s="58"/>
      <c r="C13" s="59">
        <v>2</v>
      </c>
      <c r="D13" s="190" t="s">
        <v>41</v>
      </c>
      <c r="E13" s="795">
        <v>20</v>
      </c>
      <c r="F13" s="795">
        <v>580</v>
      </c>
      <c r="G13" s="796">
        <v>101</v>
      </c>
      <c r="H13" s="1433" t="s">
        <v>24</v>
      </c>
      <c r="I13" s="806"/>
      <c r="J13" s="354"/>
      <c r="K13" s="354"/>
      <c r="L13" s="354"/>
      <c r="M13" s="354"/>
      <c r="N13" s="355"/>
      <c r="P13" s="7"/>
    </row>
    <row r="14" spans="1:16" s="7" customFormat="1" ht="18" customHeight="1" x14ac:dyDescent="0.3">
      <c r="A14" s="194">
        <v>7</v>
      </c>
      <c r="B14" s="61"/>
      <c r="C14" s="59"/>
      <c r="D14" s="316" t="s">
        <v>252</v>
      </c>
      <c r="E14" s="795"/>
      <c r="F14" s="795"/>
      <c r="G14" s="796"/>
      <c r="H14" s="1433"/>
      <c r="I14" s="317">
        <f>SUM(J14:N14)</f>
        <v>5479</v>
      </c>
      <c r="J14" s="352"/>
      <c r="K14" s="352"/>
      <c r="L14" s="312">
        <v>1479</v>
      </c>
      <c r="M14" s="352"/>
      <c r="N14" s="313">
        <v>4000</v>
      </c>
    </row>
    <row r="15" spans="1:16" s="7" customFormat="1" ht="18" customHeight="1" x14ac:dyDescent="0.3">
      <c r="A15" s="194">
        <v>8</v>
      </c>
      <c r="B15" s="61"/>
      <c r="C15" s="59"/>
      <c r="D15" s="1003" t="s">
        <v>921</v>
      </c>
      <c r="E15" s="795"/>
      <c r="F15" s="795"/>
      <c r="G15" s="796"/>
      <c r="H15" s="1433"/>
      <c r="I15" s="1448">
        <f>SUM(J15:N15)</f>
        <v>2479</v>
      </c>
      <c r="J15" s="1092"/>
      <c r="K15" s="1092"/>
      <c r="L15" s="1093">
        <v>1479</v>
      </c>
      <c r="M15" s="1092"/>
      <c r="N15" s="1104">
        <v>1000</v>
      </c>
    </row>
    <row r="16" spans="1:16" s="7" customFormat="1" ht="18" customHeight="1" x14ac:dyDescent="0.3">
      <c r="A16" s="194">
        <v>9</v>
      </c>
      <c r="B16" s="61"/>
      <c r="C16" s="59"/>
      <c r="D16" s="1002" t="s">
        <v>972</v>
      </c>
      <c r="E16" s="795"/>
      <c r="F16" s="795"/>
      <c r="G16" s="796"/>
      <c r="H16" s="1433"/>
      <c r="I16" s="1743">
        <f>SUM(J16:Q16)</f>
        <v>23</v>
      </c>
      <c r="J16" s="1736"/>
      <c r="K16" s="1736"/>
      <c r="L16" s="1095">
        <v>23</v>
      </c>
      <c r="M16" s="1094"/>
      <c r="N16" s="1102">
        <v>0</v>
      </c>
    </row>
    <row r="17" spans="1:16" s="3" customFormat="1" ht="22.5" customHeight="1" x14ac:dyDescent="0.3">
      <c r="A17" s="194">
        <v>10</v>
      </c>
      <c r="B17" s="58"/>
      <c r="C17" s="59">
        <v>3</v>
      </c>
      <c r="D17" s="190" t="s">
        <v>42</v>
      </c>
      <c r="E17" s="795">
        <v>242</v>
      </c>
      <c r="F17" s="795">
        <v>6103</v>
      </c>
      <c r="G17" s="796">
        <v>5580</v>
      </c>
      <c r="H17" s="1433" t="s">
        <v>24</v>
      </c>
      <c r="I17" s="1449"/>
      <c r="J17" s="356"/>
      <c r="K17" s="356"/>
      <c r="L17" s="356"/>
      <c r="M17" s="356"/>
      <c r="N17" s="357"/>
      <c r="P17" s="7"/>
    </row>
    <row r="18" spans="1:16" s="3" customFormat="1" ht="18" customHeight="1" x14ac:dyDescent="0.3">
      <c r="A18" s="194">
        <v>11</v>
      </c>
      <c r="B18" s="58"/>
      <c r="C18" s="59"/>
      <c r="D18" s="316" t="s">
        <v>252</v>
      </c>
      <c r="E18" s="795"/>
      <c r="F18" s="795"/>
      <c r="G18" s="796"/>
      <c r="H18" s="1433"/>
      <c r="I18" s="317">
        <f>SUM(J18:N18)</f>
        <v>41684</v>
      </c>
      <c r="J18" s="312">
        <v>3290</v>
      </c>
      <c r="K18" s="312">
        <v>1108</v>
      </c>
      <c r="L18" s="312">
        <f>35602+1684</f>
        <v>37286</v>
      </c>
      <c r="M18" s="356"/>
      <c r="N18" s="357"/>
      <c r="P18" s="7"/>
    </row>
    <row r="19" spans="1:16" s="3" customFormat="1" ht="18" customHeight="1" x14ac:dyDescent="0.3">
      <c r="A19" s="194">
        <v>12</v>
      </c>
      <c r="B19" s="58"/>
      <c r="C19" s="59"/>
      <c r="D19" s="1003" t="s">
        <v>921</v>
      </c>
      <c r="E19" s="795"/>
      <c r="F19" s="795"/>
      <c r="G19" s="796"/>
      <c r="H19" s="1433"/>
      <c r="I19" s="1448">
        <f>SUM(J19:N19)</f>
        <v>41684</v>
      </c>
      <c r="J19" s="1093">
        <v>3290</v>
      </c>
      <c r="K19" s="1093">
        <v>1108</v>
      </c>
      <c r="L19" s="1093">
        <v>37286</v>
      </c>
      <c r="M19" s="356"/>
      <c r="N19" s="357"/>
      <c r="P19" s="7"/>
    </row>
    <row r="20" spans="1:16" s="3" customFormat="1" ht="18" customHeight="1" x14ac:dyDescent="0.3">
      <c r="A20" s="194">
        <v>13</v>
      </c>
      <c r="B20" s="58"/>
      <c r="C20" s="59"/>
      <c r="D20" s="1002" t="s">
        <v>973</v>
      </c>
      <c r="E20" s="795"/>
      <c r="F20" s="795"/>
      <c r="G20" s="796"/>
      <c r="H20" s="1433"/>
      <c r="I20" s="1743">
        <f>SUM(J20:Q20)</f>
        <v>7845</v>
      </c>
      <c r="J20" s="1094">
        <v>586</v>
      </c>
      <c r="K20" s="1094">
        <v>311</v>
      </c>
      <c r="L20" s="1094">
        <v>6948</v>
      </c>
      <c r="M20" s="356"/>
      <c r="N20" s="357"/>
      <c r="P20" s="7"/>
    </row>
    <row r="21" spans="1:16" s="3" customFormat="1" ht="22.5" customHeight="1" x14ac:dyDescent="0.3">
      <c r="A21" s="194">
        <v>14</v>
      </c>
      <c r="B21" s="58"/>
      <c r="C21" s="59">
        <v>4</v>
      </c>
      <c r="D21" s="190" t="s">
        <v>43</v>
      </c>
      <c r="E21" s="795">
        <v>4210</v>
      </c>
      <c r="F21" s="795">
        <v>6138</v>
      </c>
      <c r="G21" s="796">
        <v>6857</v>
      </c>
      <c r="H21" s="1433" t="s">
        <v>24</v>
      </c>
      <c r="I21" s="317"/>
      <c r="J21" s="352"/>
      <c r="K21" s="352"/>
      <c r="L21" s="352"/>
      <c r="M21" s="352"/>
      <c r="N21" s="353"/>
      <c r="P21" s="7"/>
    </row>
    <row r="22" spans="1:16" s="7" customFormat="1" ht="18" customHeight="1" x14ac:dyDescent="0.3">
      <c r="A22" s="194">
        <v>15</v>
      </c>
      <c r="B22" s="61"/>
      <c r="C22" s="59"/>
      <c r="D22" s="316" t="s">
        <v>252</v>
      </c>
      <c r="F22" s="1100"/>
      <c r="H22" s="1433"/>
      <c r="I22" s="317">
        <f>SUM(J22:N22)</f>
        <v>74055</v>
      </c>
      <c r="J22" s="312">
        <v>4498</v>
      </c>
      <c r="K22" s="312">
        <v>982</v>
      </c>
      <c r="L22" s="312">
        <f>64794+3781</f>
        <v>68575</v>
      </c>
      <c r="M22" s="352"/>
      <c r="N22" s="353"/>
    </row>
    <row r="23" spans="1:16" s="7" customFormat="1" ht="18" customHeight="1" x14ac:dyDescent="0.3">
      <c r="A23" s="194">
        <v>16</v>
      </c>
      <c r="B23" s="61"/>
      <c r="C23" s="59"/>
      <c r="D23" s="1003" t="s">
        <v>921</v>
      </c>
      <c r="F23" s="1100"/>
      <c r="H23" s="1433"/>
      <c r="I23" s="1448">
        <f>SUM(J23:N23)</f>
        <v>79025</v>
      </c>
      <c r="J23" s="1093">
        <v>4498</v>
      </c>
      <c r="K23" s="1093">
        <v>982</v>
      </c>
      <c r="L23" s="1093">
        <v>73545</v>
      </c>
      <c r="M23" s="352"/>
      <c r="N23" s="353"/>
    </row>
    <row r="24" spans="1:16" s="7" customFormat="1" ht="18" customHeight="1" x14ac:dyDescent="0.3">
      <c r="A24" s="194">
        <v>17</v>
      </c>
      <c r="B24" s="61"/>
      <c r="C24" s="59"/>
      <c r="D24" s="1002" t="s">
        <v>972</v>
      </c>
      <c r="E24" s="797"/>
      <c r="F24" s="797"/>
      <c r="G24" s="1101"/>
      <c r="H24" s="1433"/>
      <c r="I24" s="1743">
        <f>SUM(J24:Q24)</f>
        <v>23118</v>
      </c>
      <c r="J24" s="1094">
        <v>1553</v>
      </c>
      <c r="K24" s="1094">
        <v>182</v>
      </c>
      <c r="L24" s="1094">
        <v>21383</v>
      </c>
      <c r="M24" s="352"/>
      <c r="N24" s="353"/>
    </row>
    <row r="25" spans="1:16" s="3" customFormat="1" ht="22.5" customHeight="1" x14ac:dyDescent="0.3">
      <c r="A25" s="194">
        <v>18</v>
      </c>
      <c r="B25" s="58"/>
      <c r="C25" s="59">
        <v>5</v>
      </c>
      <c r="D25" s="190" t="s">
        <v>12</v>
      </c>
      <c r="E25" s="795">
        <v>13273</v>
      </c>
      <c r="F25" s="795">
        <v>12853</v>
      </c>
      <c r="G25" s="796">
        <v>18833</v>
      </c>
      <c r="H25" s="1433" t="s">
        <v>24</v>
      </c>
      <c r="I25" s="1449"/>
      <c r="J25" s="356"/>
      <c r="K25" s="356"/>
      <c r="L25" s="356"/>
      <c r="M25" s="356"/>
      <c r="N25" s="357"/>
      <c r="O25" s="7"/>
      <c r="P25" s="7"/>
    </row>
    <row r="26" spans="1:16" s="318" customFormat="1" ht="18" customHeight="1" x14ac:dyDescent="0.3">
      <c r="A26" s="194">
        <v>19</v>
      </c>
      <c r="B26" s="315"/>
      <c r="C26" s="332"/>
      <c r="D26" s="316" t="s">
        <v>252</v>
      </c>
      <c r="E26" s="317"/>
      <c r="F26" s="317"/>
      <c r="G26" s="798"/>
      <c r="H26" s="1434"/>
      <c r="I26" s="317">
        <f>SUM(J26:N26)</f>
        <v>32429</v>
      </c>
      <c r="J26" s="312">
        <f>7345+1101</f>
        <v>8446</v>
      </c>
      <c r="K26" s="312">
        <f>3447+143</f>
        <v>3590</v>
      </c>
      <c r="L26" s="312">
        <f>15216+4827</f>
        <v>20043</v>
      </c>
      <c r="M26" s="312"/>
      <c r="N26" s="313">
        <v>350</v>
      </c>
    </row>
    <row r="27" spans="1:16" s="318" customFormat="1" ht="18" customHeight="1" x14ac:dyDescent="0.3">
      <c r="A27" s="194">
        <v>20</v>
      </c>
      <c r="B27" s="315"/>
      <c r="C27" s="332"/>
      <c r="D27" s="1003" t="s">
        <v>921</v>
      </c>
      <c r="E27" s="317"/>
      <c r="F27" s="317"/>
      <c r="G27" s="798"/>
      <c r="H27" s="1434"/>
      <c r="I27" s="1448">
        <f>SUM(J27:N27)</f>
        <v>32429</v>
      </c>
      <c r="J27" s="1093">
        <v>8446</v>
      </c>
      <c r="K27" s="1093">
        <v>3590</v>
      </c>
      <c r="L27" s="1093">
        <v>20043</v>
      </c>
      <c r="M27" s="1093"/>
      <c r="N27" s="1104">
        <v>350</v>
      </c>
    </row>
    <row r="28" spans="1:16" s="318" customFormat="1" ht="18" customHeight="1" x14ac:dyDescent="0.3">
      <c r="A28" s="194">
        <v>21</v>
      </c>
      <c r="B28" s="315"/>
      <c r="C28" s="332"/>
      <c r="D28" s="1002" t="s">
        <v>973</v>
      </c>
      <c r="E28" s="317"/>
      <c r="F28" s="317"/>
      <c r="G28" s="798"/>
      <c r="H28" s="1434"/>
      <c r="I28" s="1743">
        <f>SUM(J28:Q28)</f>
        <v>20925</v>
      </c>
      <c r="J28" s="1094">
        <v>10045</v>
      </c>
      <c r="K28" s="1094">
        <v>1726</v>
      </c>
      <c r="L28" s="1094">
        <v>8828</v>
      </c>
      <c r="M28" s="1094"/>
      <c r="N28" s="1102">
        <v>326</v>
      </c>
    </row>
    <row r="29" spans="1:16" s="318" customFormat="1" ht="22.5" customHeight="1" x14ac:dyDescent="0.3">
      <c r="A29" s="194">
        <v>22</v>
      </c>
      <c r="B29" s="315"/>
      <c r="C29" s="59">
        <v>6</v>
      </c>
      <c r="D29" s="190" t="s">
        <v>426</v>
      </c>
      <c r="E29" s="795">
        <f>SUM(E33:E57)</f>
        <v>0</v>
      </c>
      <c r="F29" s="795">
        <f>SUM(F33:F57)</f>
        <v>0</v>
      </c>
      <c r="G29" s="795">
        <f>SUM(G33:G57)</f>
        <v>0</v>
      </c>
      <c r="H29" s="1434"/>
      <c r="I29" s="317"/>
      <c r="J29" s="312"/>
      <c r="K29" s="312"/>
      <c r="L29" s="312"/>
      <c r="M29" s="312"/>
      <c r="N29" s="313"/>
    </row>
    <row r="30" spans="1:16" s="318" customFormat="1" ht="18" customHeight="1" x14ac:dyDescent="0.3">
      <c r="A30" s="194">
        <v>23</v>
      </c>
      <c r="B30" s="315"/>
      <c r="C30" s="59"/>
      <c r="D30" s="316" t="s">
        <v>252</v>
      </c>
      <c r="E30" s="795"/>
      <c r="F30" s="795"/>
      <c r="G30" s="796"/>
      <c r="H30" s="1434"/>
      <c r="I30" s="317">
        <f>SUM(J30:N30)</f>
        <v>34500</v>
      </c>
      <c r="J30" s="312">
        <f>J34+J38+J42+J46+J50+J54+J58+J62+J66</f>
        <v>0</v>
      </c>
      <c r="K30" s="312">
        <f>K34+K38+K42+K46+K50+K54+K58+K62+K66</f>
        <v>0</v>
      </c>
      <c r="L30" s="312">
        <f>L34+L38+L42+L46+L50+L54+L58+L62+L66</f>
        <v>34500</v>
      </c>
      <c r="M30" s="312">
        <f>M34+M38+M42+M46+M50+M54+M58+M62+M66</f>
        <v>0</v>
      </c>
      <c r="N30" s="313">
        <f>N34+N38+N42+N46+N50+N54+N58+N62+N66</f>
        <v>0</v>
      </c>
    </row>
    <row r="31" spans="1:16" s="318" customFormat="1" ht="18" customHeight="1" x14ac:dyDescent="0.3">
      <c r="A31" s="194">
        <v>24</v>
      </c>
      <c r="B31" s="315"/>
      <c r="C31" s="59"/>
      <c r="D31" s="1003" t="s">
        <v>921</v>
      </c>
      <c r="E31" s="795"/>
      <c r="F31" s="795"/>
      <c r="G31" s="796"/>
      <c r="H31" s="1434"/>
      <c r="I31" s="1448">
        <f>SUM(J31:N31)</f>
        <v>34500</v>
      </c>
      <c r="J31" s="1093">
        <f t="shared" ref="J31:N32" si="0">J35+J39+J43+J47+J51+J55+J59+J63+J67+J70</f>
        <v>0</v>
      </c>
      <c r="K31" s="1093">
        <f t="shared" si="0"/>
        <v>0</v>
      </c>
      <c r="L31" s="1093">
        <f t="shared" si="0"/>
        <v>34500</v>
      </c>
      <c r="M31" s="1093">
        <f t="shared" si="0"/>
        <v>0</v>
      </c>
      <c r="N31" s="1104">
        <f t="shared" si="0"/>
        <v>0</v>
      </c>
    </row>
    <row r="32" spans="1:16" s="318" customFormat="1" ht="18" customHeight="1" x14ac:dyDescent="0.3">
      <c r="A32" s="194">
        <v>25</v>
      </c>
      <c r="B32" s="315"/>
      <c r="C32" s="59"/>
      <c r="D32" s="1002" t="s">
        <v>973</v>
      </c>
      <c r="E32" s="795"/>
      <c r="F32" s="795"/>
      <c r="G32" s="796"/>
      <c r="H32" s="1434"/>
      <c r="I32" s="1743">
        <f>SUM(J32:Q32)</f>
        <v>15710</v>
      </c>
      <c r="J32" s="1094">
        <f t="shared" si="0"/>
        <v>0</v>
      </c>
      <c r="K32" s="1094">
        <f t="shared" si="0"/>
        <v>0</v>
      </c>
      <c r="L32" s="1094">
        <f t="shared" si="0"/>
        <v>15710</v>
      </c>
      <c r="M32" s="1094">
        <f t="shared" si="0"/>
        <v>0</v>
      </c>
      <c r="N32" s="1102">
        <f t="shared" si="0"/>
        <v>0</v>
      </c>
    </row>
    <row r="33" spans="1:14" s="318" customFormat="1" ht="18" customHeight="1" x14ac:dyDescent="0.3">
      <c r="A33" s="194">
        <v>26</v>
      </c>
      <c r="B33" s="315"/>
      <c r="C33" s="332"/>
      <c r="D33" s="155" t="s">
        <v>589</v>
      </c>
      <c r="E33" s="799"/>
      <c r="F33" s="799"/>
      <c r="G33" s="800"/>
      <c r="H33" s="1433" t="s">
        <v>24</v>
      </c>
      <c r="I33" s="317"/>
      <c r="J33" s="312"/>
      <c r="K33" s="312"/>
      <c r="L33" s="312"/>
      <c r="M33" s="312"/>
      <c r="N33" s="313"/>
    </row>
    <row r="34" spans="1:14" s="318" customFormat="1" ht="18" customHeight="1" x14ac:dyDescent="0.3">
      <c r="A34" s="194">
        <v>27</v>
      </c>
      <c r="B34" s="315"/>
      <c r="C34" s="332"/>
      <c r="D34" s="368" t="s">
        <v>252</v>
      </c>
      <c r="E34" s="799"/>
      <c r="F34" s="799"/>
      <c r="G34" s="800"/>
      <c r="H34" s="1433"/>
      <c r="I34" s="1450">
        <f>SUM(J34:N34)</f>
        <v>1500</v>
      </c>
      <c r="J34" s="312"/>
      <c r="K34" s="312"/>
      <c r="L34" s="358">
        <v>1500</v>
      </c>
      <c r="M34" s="312"/>
      <c r="N34" s="313"/>
    </row>
    <row r="35" spans="1:14" s="318" customFormat="1" ht="18" customHeight="1" x14ac:dyDescent="0.3">
      <c r="A35" s="194">
        <v>28</v>
      </c>
      <c r="B35" s="315"/>
      <c r="C35" s="332"/>
      <c r="D35" s="1022" t="s">
        <v>921</v>
      </c>
      <c r="E35" s="799"/>
      <c r="F35" s="799"/>
      <c r="G35" s="800"/>
      <c r="H35" s="1433"/>
      <c r="I35" s="799">
        <f>SUM(J35:N35)</f>
        <v>1500</v>
      </c>
      <c r="J35" s="1093"/>
      <c r="K35" s="1093"/>
      <c r="L35" s="1094">
        <v>1500</v>
      </c>
      <c r="M35" s="312"/>
      <c r="N35" s="313"/>
    </row>
    <row r="36" spans="1:14" s="318" customFormat="1" ht="18" customHeight="1" x14ac:dyDescent="0.3">
      <c r="A36" s="194">
        <v>29</v>
      </c>
      <c r="B36" s="315"/>
      <c r="C36" s="332"/>
      <c r="D36" s="1022" t="s">
        <v>973</v>
      </c>
      <c r="E36" s="799"/>
      <c r="F36" s="799"/>
      <c r="G36" s="800"/>
      <c r="H36" s="1433"/>
      <c r="I36" s="1743">
        <f>SUM(J36:Q36)</f>
        <v>1500</v>
      </c>
      <c r="J36" s="1738"/>
      <c r="K36" s="1738"/>
      <c r="L36" s="1094">
        <v>1500</v>
      </c>
      <c r="M36" s="312"/>
      <c r="N36" s="313"/>
    </row>
    <row r="37" spans="1:14" s="318" customFormat="1" ht="18" customHeight="1" x14ac:dyDescent="0.3">
      <c r="A37" s="194">
        <v>30</v>
      </c>
      <c r="B37" s="315"/>
      <c r="C37" s="332"/>
      <c r="D37" s="155" t="s">
        <v>590</v>
      </c>
      <c r="E37" s="799"/>
      <c r="F37" s="799"/>
      <c r="G37" s="800"/>
      <c r="H37" s="1433" t="s">
        <v>23</v>
      </c>
      <c r="I37" s="317"/>
      <c r="J37" s="312"/>
      <c r="K37" s="312"/>
      <c r="L37" s="358"/>
      <c r="M37" s="312"/>
      <c r="N37" s="313"/>
    </row>
    <row r="38" spans="1:14" s="318" customFormat="1" ht="18" customHeight="1" x14ac:dyDescent="0.3">
      <c r="A38" s="194">
        <v>31</v>
      </c>
      <c r="B38" s="315"/>
      <c r="C38" s="332"/>
      <c r="D38" s="368" t="s">
        <v>252</v>
      </c>
      <c r="E38" s="799"/>
      <c r="F38" s="799"/>
      <c r="G38" s="800"/>
      <c r="H38" s="1433"/>
      <c r="I38" s="1450">
        <f>SUM(J38:N38)</f>
        <v>3500</v>
      </c>
      <c r="J38" s="312"/>
      <c r="K38" s="312"/>
      <c r="L38" s="358">
        <v>3500</v>
      </c>
      <c r="M38" s="312"/>
      <c r="N38" s="313"/>
    </row>
    <row r="39" spans="1:14" s="318" customFormat="1" ht="18" customHeight="1" x14ac:dyDescent="0.3">
      <c r="A39" s="194">
        <v>32</v>
      </c>
      <c r="B39" s="315"/>
      <c r="C39" s="332"/>
      <c r="D39" s="1022" t="s">
        <v>921</v>
      </c>
      <c r="E39" s="799"/>
      <c r="F39" s="799"/>
      <c r="G39" s="800"/>
      <c r="H39" s="1433"/>
      <c r="I39" s="799">
        <f>SUM(J39:N39)</f>
        <v>2850</v>
      </c>
      <c r="J39" s="1093"/>
      <c r="K39" s="1093"/>
      <c r="L39" s="1094">
        <v>2850</v>
      </c>
      <c r="M39" s="312"/>
      <c r="N39" s="313"/>
    </row>
    <row r="40" spans="1:14" s="318" customFormat="1" ht="18" customHeight="1" x14ac:dyDescent="0.3">
      <c r="A40" s="194">
        <v>33</v>
      </c>
      <c r="B40" s="315"/>
      <c r="C40" s="332"/>
      <c r="D40" s="1022" t="s">
        <v>972</v>
      </c>
      <c r="E40" s="799"/>
      <c r="F40" s="799"/>
      <c r="G40" s="800"/>
      <c r="H40" s="1433"/>
      <c r="I40" s="1743">
        <f>SUM(J40:Q40)</f>
        <v>2850</v>
      </c>
      <c r="J40" s="1738"/>
      <c r="K40" s="1738"/>
      <c r="L40" s="1094">
        <v>2850</v>
      </c>
      <c r="M40" s="312"/>
      <c r="N40" s="313"/>
    </row>
    <row r="41" spans="1:14" s="318" customFormat="1" ht="18" customHeight="1" x14ac:dyDescent="0.3">
      <c r="A41" s="194">
        <v>34</v>
      </c>
      <c r="B41" s="315"/>
      <c r="C41" s="332"/>
      <c r="D41" s="155" t="s">
        <v>591</v>
      </c>
      <c r="E41" s="799"/>
      <c r="F41" s="799"/>
      <c r="G41" s="800"/>
      <c r="H41" s="1433" t="s">
        <v>24</v>
      </c>
      <c r="I41" s="317"/>
      <c r="J41" s="312"/>
      <c r="K41" s="312"/>
      <c r="L41" s="358"/>
      <c r="M41" s="312"/>
      <c r="N41" s="313"/>
    </row>
    <row r="42" spans="1:14" s="318" customFormat="1" ht="18" customHeight="1" x14ac:dyDescent="0.3">
      <c r="A42" s="194">
        <v>35</v>
      </c>
      <c r="B42" s="315"/>
      <c r="C42" s="332"/>
      <c r="D42" s="368" t="s">
        <v>252</v>
      </c>
      <c r="E42" s="799"/>
      <c r="F42" s="799"/>
      <c r="G42" s="800"/>
      <c r="H42" s="1433"/>
      <c r="I42" s="1450">
        <f>SUM(J42:N42)</f>
        <v>1500</v>
      </c>
      <c r="J42" s="312"/>
      <c r="K42" s="312"/>
      <c r="L42" s="358">
        <v>1500</v>
      </c>
      <c r="M42" s="312"/>
      <c r="N42" s="313"/>
    </row>
    <row r="43" spans="1:14" s="318" customFormat="1" ht="18" customHeight="1" x14ac:dyDescent="0.3">
      <c r="A43" s="194">
        <v>36</v>
      </c>
      <c r="B43" s="315"/>
      <c r="C43" s="332"/>
      <c r="D43" s="1022" t="s">
        <v>921</v>
      </c>
      <c r="E43" s="799"/>
      <c r="F43" s="799"/>
      <c r="G43" s="800"/>
      <c r="H43" s="1433"/>
      <c r="I43" s="799">
        <f>SUM(J43:N43)</f>
        <v>2600</v>
      </c>
      <c r="J43" s="1093"/>
      <c r="K43" s="1093"/>
      <c r="L43" s="1094">
        <v>2600</v>
      </c>
      <c r="M43" s="312"/>
      <c r="N43" s="313"/>
    </row>
    <row r="44" spans="1:14" s="318" customFormat="1" ht="18" customHeight="1" x14ac:dyDescent="0.3">
      <c r="A44" s="194">
        <v>37</v>
      </c>
      <c r="B44" s="315"/>
      <c r="C44" s="332"/>
      <c r="D44" s="1022" t="s">
        <v>972</v>
      </c>
      <c r="E44" s="799"/>
      <c r="F44" s="799"/>
      <c r="G44" s="800"/>
      <c r="H44" s="1433"/>
      <c r="I44" s="415">
        <f>SUM(J44:Q44)</f>
        <v>2600</v>
      </c>
      <c r="J44" s="312"/>
      <c r="K44" s="312"/>
      <c r="L44" s="1094">
        <v>2600</v>
      </c>
      <c r="M44" s="312"/>
      <c r="N44" s="313"/>
    </row>
    <row r="45" spans="1:14" s="318" customFormat="1" ht="18" customHeight="1" x14ac:dyDescent="0.3">
      <c r="A45" s="194">
        <v>38</v>
      </c>
      <c r="B45" s="315"/>
      <c r="C45" s="332"/>
      <c r="D45" s="155" t="s">
        <v>592</v>
      </c>
      <c r="E45" s="799"/>
      <c r="F45" s="799"/>
      <c r="G45" s="800"/>
      <c r="H45" s="1433" t="s">
        <v>24</v>
      </c>
      <c r="I45" s="317"/>
      <c r="J45" s="312"/>
      <c r="K45" s="312"/>
      <c r="L45" s="358"/>
      <c r="M45" s="312"/>
      <c r="N45" s="313"/>
    </row>
    <row r="46" spans="1:14" s="318" customFormat="1" ht="18" customHeight="1" x14ac:dyDescent="0.3">
      <c r="A46" s="194">
        <v>39</v>
      </c>
      <c r="B46" s="315"/>
      <c r="C46" s="332"/>
      <c r="D46" s="368" t="s">
        <v>252</v>
      </c>
      <c r="E46" s="799"/>
      <c r="F46" s="799"/>
      <c r="G46" s="800"/>
      <c r="H46" s="1433"/>
      <c r="I46" s="1450">
        <f>SUM(J46:N46)</f>
        <v>5500</v>
      </c>
      <c r="J46" s="312"/>
      <c r="K46" s="312"/>
      <c r="L46" s="358">
        <v>5500</v>
      </c>
      <c r="M46" s="312"/>
      <c r="N46" s="313"/>
    </row>
    <row r="47" spans="1:14" s="318" customFormat="1" ht="18" customHeight="1" x14ac:dyDescent="0.3">
      <c r="A47" s="194">
        <v>40</v>
      </c>
      <c r="B47" s="315"/>
      <c r="C47" s="332"/>
      <c r="D47" s="1022" t="s">
        <v>921</v>
      </c>
      <c r="E47" s="799"/>
      <c r="F47" s="799"/>
      <c r="G47" s="800"/>
      <c r="H47" s="1433"/>
      <c r="I47" s="799">
        <f>SUM(J47:N47)</f>
        <v>5500</v>
      </c>
      <c r="J47" s="1093"/>
      <c r="K47" s="1093"/>
      <c r="L47" s="1094">
        <v>5500</v>
      </c>
      <c r="M47" s="312"/>
      <c r="N47" s="313"/>
    </row>
    <row r="48" spans="1:14" s="318" customFormat="1" ht="18" customHeight="1" x14ac:dyDescent="0.3">
      <c r="A48" s="194">
        <v>41</v>
      </c>
      <c r="B48" s="315"/>
      <c r="C48" s="332"/>
      <c r="D48" s="1022" t="s">
        <v>973</v>
      </c>
      <c r="E48" s="799"/>
      <c r="F48" s="799"/>
      <c r="G48" s="800"/>
      <c r="H48" s="1433"/>
      <c r="I48" s="415">
        <f>SUM(J48:Q48)</f>
        <v>5260</v>
      </c>
      <c r="J48" s="312"/>
      <c r="K48" s="312"/>
      <c r="L48" s="1094">
        <v>5260</v>
      </c>
      <c r="M48" s="312"/>
      <c r="N48" s="313"/>
    </row>
    <row r="49" spans="1:14" s="318" customFormat="1" ht="18" customHeight="1" x14ac:dyDescent="0.3">
      <c r="A49" s="194">
        <v>42</v>
      </c>
      <c r="B49" s="315"/>
      <c r="C49" s="332"/>
      <c r="D49" s="155" t="s">
        <v>427</v>
      </c>
      <c r="E49" s="799"/>
      <c r="F49" s="799"/>
      <c r="G49" s="800"/>
      <c r="H49" s="1433" t="s">
        <v>23</v>
      </c>
      <c r="I49" s="317"/>
      <c r="J49" s="312"/>
      <c r="K49" s="312"/>
      <c r="L49" s="358"/>
      <c r="M49" s="312"/>
      <c r="N49" s="313"/>
    </row>
    <row r="50" spans="1:14" s="318" customFormat="1" ht="18" customHeight="1" x14ac:dyDescent="0.3">
      <c r="A50" s="194">
        <v>43</v>
      </c>
      <c r="B50" s="315"/>
      <c r="C50" s="332"/>
      <c r="D50" s="368" t="s">
        <v>252</v>
      </c>
      <c r="E50" s="799"/>
      <c r="F50" s="799"/>
      <c r="G50" s="800"/>
      <c r="H50" s="1433"/>
      <c r="I50" s="1450">
        <f>SUM(J50:N50)</f>
        <v>8500</v>
      </c>
      <c r="J50" s="312"/>
      <c r="K50" s="312"/>
      <c r="L50" s="358">
        <v>8500</v>
      </c>
      <c r="M50" s="312"/>
      <c r="N50" s="313"/>
    </row>
    <row r="51" spans="1:14" s="318" customFormat="1" ht="18" customHeight="1" x14ac:dyDescent="0.3">
      <c r="A51" s="194">
        <v>44</v>
      </c>
      <c r="B51" s="315"/>
      <c r="C51" s="332"/>
      <c r="D51" s="1022" t="s">
        <v>921</v>
      </c>
      <c r="E51" s="799"/>
      <c r="F51" s="799"/>
      <c r="G51" s="800"/>
      <c r="H51" s="1433"/>
      <c r="I51" s="799">
        <f>SUM(J51:N51)</f>
        <v>8500</v>
      </c>
      <c r="J51" s="1093"/>
      <c r="K51" s="1093"/>
      <c r="L51" s="1094">
        <v>8500</v>
      </c>
      <c r="M51" s="312"/>
      <c r="N51" s="313"/>
    </row>
    <row r="52" spans="1:14" s="318" customFormat="1" ht="18" customHeight="1" x14ac:dyDescent="0.3">
      <c r="A52" s="194">
        <v>45</v>
      </c>
      <c r="B52" s="315"/>
      <c r="C52" s="332"/>
      <c r="D52" s="1022" t="s">
        <v>973</v>
      </c>
      <c r="E52" s="799"/>
      <c r="F52" s="799"/>
      <c r="G52" s="800"/>
      <c r="H52" s="1433"/>
      <c r="I52" s="415">
        <f>SUM(J52:Q52)</f>
        <v>0</v>
      </c>
      <c r="J52" s="312"/>
      <c r="K52" s="312"/>
      <c r="L52" s="1094">
        <v>0</v>
      </c>
      <c r="M52" s="312"/>
      <c r="N52" s="313"/>
    </row>
    <row r="53" spans="1:14" s="318" customFormat="1" ht="18" customHeight="1" x14ac:dyDescent="0.3">
      <c r="A53" s="194">
        <v>46</v>
      </c>
      <c r="B53" s="315"/>
      <c r="C53" s="332"/>
      <c r="D53" s="155" t="s">
        <v>429</v>
      </c>
      <c r="E53" s="799"/>
      <c r="F53" s="799"/>
      <c r="G53" s="800"/>
      <c r="H53" s="1433" t="s">
        <v>24</v>
      </c>
      <c r="I53" s="317"/>
      <c r="J53" s="312"/>
      <c r="K53" s="312"/>
      <c r="L53" s="358"/>
      <c r="M53" s="312"/>
      <c r="N53" s="313"/>
    </row>
    <row r="54" spans="1:14" s="318" customFormat="1" ht="18" customHeight="1" x14ac:dyDescent="0.3">
      <c r="A54" s="194">
        <v>47</v>
      </c>
      <c r="B54" s="315"/>
      <c r="C54" s="332"/>
      <c r="D54" s="368" t="s">
        <v>252</v>
      </c>
      <c r="E54" s="799"/>
      <c r="F54" s="799"/>
      <c r="G54" s="800"/>
      <c r="H54" s="1433"/>
      <c r="I54" s="1450">
        <f>SUM(J54:N54)</f>
        <v>4000</v>
      </c>
      <c r="J54" s="312"/>
      <c r="K54" s="312"/>
      <c r="L54" s="358">
        <v>4000</v>
      </c>
      <c r="M54" s="312"/>
      <c r="N54" s="313"/>
    </row>
    <row r="55" spans="1:14" s="318" customFormat="1" ht="18" customHeight="1" x14ac:dyDescent="0.3">
      <c r="A55" s="194">
        <v>48</v>
      </c>
      <c r="B55" s="315"/>
      <c r="C55" s="332"/>
      <c r="D55" s="1022" t="s">
        <v>921</v>
      </c>
      <c r="E55" s="799"/>
      <c r="F55" s="799"/>
      <c r="G55" s="800"/>
      <c r="H55" s="1433"/>
      <c r="I55" s="799">
        <f>SUM(J55:N55)</f>
        <v>3775</v>
      </c>
      <c r="J55" s="1093"/>
      <c r="K55" s="1093"/>
      <c r="L55" s="1094">
        <v>3775</v>
      </c>
      <c r="M55" s="312"/>
      <c r="N55" s="313"/>
    </row>
    <row r="56" spans="1:14" s="318" customFormat="1" ht="18" customHeight="1" x14ac:dyDescent="0.3">
      <c r="A56" s="194">
        <v>49</v>
      </c>
      <c r="B56" s="315"/>
      <c r="C56" s="332"/>
      <c r="D56" s="1022" t="s">
        <v>972</v>
      </c>
      <c r="E56" s="799"/>
      <c r="F56" s="799"/>
      <c r="G56" s="800"/>
      <c r="H56" s="1433"/>
      <c r="I56" s="415">
        <f>SUM(J56:Q56)</f>
        <v>0</v>
      </c>
      <c r="J56" s="312"/>
      <c r="K56" s="312"/>
      <c r="L56" s="1094">
        <v>0</v>
      </c>
      <c r="M56" s="312"/>
      <c r="N56" s="313"/>
    </row>
    <row r="57" spans="1:14" s="318" customFormat="1" ht="18" customHeight="1" x14ac:dyDescent="0.3">
      <c r="A57" s="194">
        <v>50</v>
      </c>
      <c r="B57" s="315"/>
      <c r="C57" s="332"/>
      <c r="D57" s="155" t="s">
        <v>428</v>
      </c>
      <c r="E57" s="799"/>
      <c r="F57" s="799"/>
      <c r="G57" s="800"/>
      <c r="H57" s="1433" t="s">
        <v>23</v>
      </c>
      <c r="I57" s="317"/>
      <c r="J57" s="312"/>
      <c r="K57" s="312"/>
      <c r="L57" s="358"/>
      <c r="M57" s="312"/>
      <c r="N57" s="313"/>
    </row>
    <row r="58" spans="1:14" s="318" customFormat="1" ht="18" customHeight="1" x14ac:dyDescent="0.3">
      <c r="A58" s="194">
        <v>51</v>
      </c>
      <c r="B58" s="315"/>
      <c r="C58" s="332"/>
      <c r="D58" s="368" t="s">
        <v>252</v>
      </c>
      <c r="E58" s="799"/>
      <c r="F58" s="799"/>
      <c r="G58" s="800"/>
      <c r="H58" s="1433"/>
      <c r="I58" s="1450">
        <f>SUM(J58:N58)</f>
        <v>2500</v>
      </c>
      <c r="J58" s="312"/>
      <c r="K58" s="312"/>
      <c r="L58" s="358">
        <v>2500</v>
      </c>
      <c r="M58" s="312"/>
      <c r="N58" s="313"/>
    </row>
    <row r="59" spans="1:14" s="318" customFormat="1" ht="18" customHeight="1" x14ac:dyDescent="0.3">
      <c r="A59" s="194">
        <v>52</v>
      </c>
      <c r="B59" s="315"/>
      <c r="C59" s="332"/>
      <c r="D59" s="1022" t="s">
        <v>921</v>
      </c>
      <c r="E59" s="799"/>
      <c r="F59" s="799"/>
      <c r="G59" s="800"/>
      <c r="H59" s="1433"/>
      <c r="I59" s="799">
        <f>SUM(J59:N59)</f>
        <v>2500</v>
      </c>
      <c r="J59" s="1093"/>
      <c r="K59" s="1093"/>
      <c r="L59" s="1094">
        <v>2500</v>
      </c>
      <c r="M59" s="312"/>
      <c r="N59" s="313"/>
    </row>
    <row r="60" spans="1:14" s="318" customFormat="1" ht="18" customHeight="1" x14ac:dyDescent="0.3">
      <c r="A60" s="194">
        <v>53</v>
      </c>
      <c r="B60" s="315"/>
      <c r="C60" s="332"/>
      <c r="D60" s="1022" t="s">
        <v>973</v>
      </c>
      <c r="E60" s="799"/>
      <c r="F60" s="799"/>
      <c r="G60" s="800"/>
      <c r="H60" s="1433"/>
      <c r="I60" s="415">
        <f>SUM(J60:Q60)</f>
        <v>0</v>
      </c>
      <c r="J60" s="312"/>
      <c r="K60" s="312"/>
      <c r="L60" s="1094">
        <v>0</v>
      </c>
      <c r="M60" s="312"/>
      <c r="N60" s="313"/>
    </row>
    <row r="61" spans="1:14" s="318" customFormat="1" ht="18" customHeight="1" x14ac:dyDescent="0.3">
      <c r="A61" s="194">
        <v>54</v>
      </c>
      <c r="B61" s="315"/>
      <c r="C61" s="332"/>
      <c r="D61" s="155" t="s">
        <v>593</v>
      </c>
      <c r="E61" s="799"/>
      <c r="F61" s="799"/>
      <c r="G61" s="800"/>
      <c r="H61" s="1433" t="s">
        <v>24</v>
      </c>
      <c r="I61" s="317"/>
      <c r="J61" s="312"/>
      <c r="K61" s="312"/>
      <c r="L61" s="358"/>
      <c r="M61" s="312"/>
      <c r="N61" s="313"/>
    </row>
    <row r="62" spans="1:14" s="318" customFormat="1" ht="18" customHeight="1" x14ac:dyDescent="0.3">
      <c r="A62" s="194">
        <v>55</v>
      </c>
      <c r="B62" s="315"/>
      <c r="C62" s="332"/>
      <c r="D62" s="368" t="s">
        <v>252</v>
      </c>
      <c r="E62" s="799"/>
      <c r="F62" s="799"/>
      <c r="G62" s="800"/>
      <c r="H62" s="1433"/>
      <c r="I62" s="1450">
        <f>SUM(J62:N62)</f>
        <v>4000</v>
      </c>
      <c r="J62" s="312"/>
      <c r="K62" s="312"/>
      <c r="L62" s="358">
        <v>4000</v>
      </c>
      <c r="M62" s="312"/>
      <c r="N62" s="313"/>
    </row>
    <row r="63" spans="1:14" s="318" customFormat="1" ht="18" customHeight="1" x14ac:dyDescent="0.3">
      <c r="A63" s="194">
        <v>56</v>
      </c>
      <c r="B63" s="315"/>
      <c r="C63" s="332"/>
      <c r="D63" s="1022" t="s">
        <v>921</v>
      </c>
      <c r="E63" s="799"/>
      <c r="F63" s="799"/>
      <c r="G63" s="800"/>
      <c r="H63" s="1433"/>
      <c r="I63" s="799">
        <f>SUM(J63:N63)</f>
        <v>3775</v>
      </c>
      <c r="J63" s="1093"/>
      <c r="K63" s="1093"/>
      <c r="L63" s="1094">
        <v>3775</v>
      </c>
      <c r="M63" s="312"/>
      <c r="N63" s="313"/>
    </row>
    <row r="64" spans="1:14" s="318" customFormat="1" ht="18" customHeight="1" x14ac:dyDescent="0.3">
      <c r="A64" s="194">
        <v>57</v>
      </c>
      <c r="B64" s="315"/>
      <c r="C64" s="332"/>
      <c r="D64" s="1022" t="s">
        <v>972</v>
      </c>
      <c r="E64" s="799"/>
      <c r="F64" s="799"/>
      <c r="G64" s="800"/>
      <c r="H64" s="1433"/>
      <c r="I64" s="415">
        <f>SUM(J64:Q64)</f>
        <v>0</v>
      </c>
      <c r="J64" s="312"/>
      <c r="K64" s="312"/>
      <c r="L64" s="1094">
        <v>0</v>
      </c>
      <c r="M64" s="312"/>
      <c r="N64" s="313"/>
    </row>
    <row r="65" spans="1:16" s="318" customFormat="1" ht="18" customHeight="1" x14ac:dyDescent="0.3">
      <c r="A65" s="194">
        <v>58</v>
      </c>
      <c r="B65" s="315"/>
      <c r="C65" s="332"/>
      <c r="D65" s="155" t="s">
        <v>594</v>
      </c>
      <c r="E65" s="799"/>
      <c r="F65" s="799"/>
      <c r="G65" s="800"/>
      <c r="H65" s="1433" t="s">
        <v>24</v>
      </c>
      <c r="I65" s="317"/>
      <c r="J65" s="312"/>
      <c r="K65" s="312"/>
      <c r="L65" s="358"/>
      <c r="M65" s="312"/>
      <c r="N65" s="313"/>
    </row>
    <row r="66" spans="1:16" s="318" customFormat="1" ht="18" customHeight="1" x14ac:dyDescent="0.3">
      <c r="A66" s="194">
        <v>59</v>
      </c>
      <c r="B66" s="315"/>
      <c r="C66" s="332"/>
      <c r="D66" s="368" t="s">
        <v>252</v>
      </c>
      <c r="E66" s="799"/>
      <c r="F66" s="799"/>
      <c r="G66" s="800"/>
      <c r="H66" s="1433"/>
      <c r="I66" s="1450">
        <f>SUM(J66:N66)</f>
        <v>3500</v>
      </c>
      <c r="J66" s="312"/>
      <c r="K66" s="312"/>
      <c r="L66" s="358">
        <v>3500</v>
      </c>
      <c r="M66" s="312"/>
      <c r="N66" s="313"/>
    </row>
    <row r="67" spans="1:16" s="318" customFormat="1" ht="18" customHeight="1" x14ac:dyDescent="0.3">
      <c r="A67" s="194">
        <v>60</v>
      </c>
      <c r="B67" s="315"/>
      <c r="C67" s="332"/>
      <c r="D67" s="1022" t="s">
        <v>921</v>
      </c>
      <c r="E67" s="799"/>
      <c r="F67" s="799"/>
      <c r="G67" s="800"/>
      <c r="H67" s="1433"/>
      <c r="I67" s="799">
        <f>SUM(J67:N67)</f>
        <v>0</v>
      </c>
      <c r="J67" s="1093"/>
      <c r="K67" s="1093"/>
      <c r="L67" s="1094">
        <v>0</v>
      </c>
      <c r="M67" s="312"/>
      <c r="N67" s="313"/>
    </row>
    <row r="68" spans="1:16" s="318" customFormat="1" ht="18" customHeight="1" x14ac:dyDescent="0.3">
      <c r="A68" s="194">
        <v>61</v>
      </c>
      <c r="B68" s="315"/>
      <c r="C68" s="332"/>
      <c r="D68" s="1022" t="s">
        <v>972</v>
      </c>
      <c r="E68" s="799"/>
      <c r="F68" s="799"/>
      <c r="G68" s="800"/>
      <c r="H68" s="1433"/>
      <c r="I68" s="415">
        <f>SUM(J68:Q68)</f>
        <v>0</v>
      </c>
      <c r="J68" s="312"/>
      <c r="K68" s="312"/>
      <c r="L68" s="1094">
        <v>0</v>
      </c>
      <c r="M68" s="312"/>
      <c r="N68" s="313"/>
    </row>
    <row r="69" spans="1:16" s="318" customFormat="1" ht="18" customHeight="1" x14ac:dyDescent="0.3">
      <c r="A69" s="194">
        <v>62</v>
      </c>
      <c r="B69" s="315"/>
      <c r="C69" s="332"/>
      <c r="D69" s="155" t="s">
        <v>912</v>
      </c>
      <c r="E69" s="799"/>
      <c r="F69" s="799"/>
      <c r="G69" s="800"/>
      <c r="H69" s="1433" t="s">
        <v>24</v>
      </c>
      <c r="I69" s="412"/>
      <c r="J69" s="1093"/>
      <c r="K69" s="1093"/>
      <c r="L69" s="1094"/>
      <c r="M69" s="312"/>
      <c r="N69" s="313"/>
    </row>
    <row r="70" spans="1:16" s="318" customFormat="1" ht="18" customHeight="1" x14ac:dyDescent="0.3">
      <c r="A70" s="194">
        <v>63</v>
      </c>
      <c r="B70" s="315"/>
      <c r="C70" s="332"/>
      <c r="D70" s="1022" t="s">
        <v>921</v>
      </c>
      <c r="E70" s="799"/>
      <c r="F70" s="799"/>
      <c r="G70" s="800"/>
      <c r="H70" s="1433"/>
      <c r="I70" s="799">
        <f>SUM(J70:N70)</f>
        <v>3500</v>
      </c>
      <c r="J70" s="1093"/>
      <c r="K70" s="1093"/>
      <c r="L70" s="1094">
        <v>3500</v>
      </c>
      <c r="M70" s="312"/>
      <c r="N70" s="313"/>
    </row>
    <row r="71" spans="1:16" s="318" customFormat="1" ht="18" customHeight="1" x14ac:dyDescent="0.3">
      <c r="A71" s="194">
        <v>64</v>
      </c>
      <c r="B71" s="315"/>
      <c r="C71" s="332"/>
      <c r="D71" s="1022" t="s">
        <v>972</v>
      </c>
      <c r="E71" s="799"/>
      <c r="F71" s="799"/>
      <c r="G71" s="800"/>
      <c r="H71" s="1433"/>
      <c r="I71" s="415">
        <f>SUM(J71:Q71)</f>
        <v>3500</v>
      </c>
      <c r="J71" s="1093"/>
      <c r="K71" s="1093"/>
      <c r="L71" s="1094">
        <v>3500</v>
      </c>
      <c r="M71" s="312"/>
      <c r="N71" s="313"/>
    </row>
    <row r="72" spans="1:16" s="3" customFormat="1" ht="22.5" customHeight="1" x14ac:dyDescent="0.3">
      <c r="A72" s="194">
        <v>65</v>
      </c>
      <c r="B72" s="58"/>
      <c r="C72" s="59">
        <v>7</v>
      </c>
      <c r="D72" s="190" t="s">
        <v>10</v>
      </c>
      <c r="E72" s="795">
        <f>SUM(E76,E80,E84,E88,E92)+E96+E100</f>
        <v>78500</v>
      </c>
      <c r="F72" s="795">
        <f>SUM(F76,F80,F84,F88,F92,F96,F100)</f>
        <v>40000</v>
      </c>
      <c r="G72" s="795">
        <f>SUM(G76,G80,G84,G88,G92,G96,G100)</f>
        <v>122000</v>
      </c>
      <c r="H72" s="1433" t="s">
        <v>24</v>
      </c>
      <c r="I72" s="1449"/>
      <c r="J72" s="356"/>
      <c r="K72" s="356"/>
      <c r="L72" s="356"/>
      <c r="M72" s="356"/>
      <c r="N72" s="357"/>
      <c r="O72" s="7"/>
      <c r="P72" s="7"/>
    </row>
    <row r="73" spans="1:16" s="7" customFormat="1" ht="18" customHeight="1" x14ac:dyDescent="0.3">
      <c r="A73" s="194">
        <v>66</v>
      </c>
      <c r="B73" s="61"/>
      <c r="C73" s="59"/>
      <c r="D73" s="316" t="s">
        <v>252</v>
      </c>
      <c r="E73" s="795"/>
      <c r="F73" s="795"/>
      <c r="G73" s="796"/>
      <c r="H73" s="1433"/>
      <c r="I73" s="317">
        <f>SUM(J73:N73)</f>
        <v>203000</v>
      </c>
      <c r="J73" s="312">
        <f>SUM(J81,J97,)+J77+J85+J89+J93+J101+J105+J109+J113</f>
        <v>0</v>
      </c>
      <c r="K73" s="312">
        <f>SUM(K81,K97,)+K77+K85+K89+K93+K101+K105+K109+K113</f>
        <v>0</v>
      </c>
      <c r="L73" s="312">
        <f>SUM(L81,L97,)+L77+L85+L89+L93+L101+L105+L109+L113</f>
        <v>0</v>
      </c>
      <c r="M73" s="312">
        <f>SUM(M81,M97,)+M77+M85+M89+M93+M101+M105+M109+M113</f>
        <v>0</v>
      </c>
      <c r="N73" s="313">
        <f>SUM(N81,N97,)+N77+N85+N89+N93+N101+N105+N109+N113</f>
        <v>203000</v>
      </c>
    </row>
    <row r="74" spans="1:16" s="7" customFormat="1" ht="18" customHeight="1" x14ac:dyDescent="0.3">
      <c r="A74" s="194">
        <v>67</v>
      </c>
      <c r="B74" s="61"/>
      <c r="C74" s="59"/>
      <c r="D74" s="1003" t="s">
        <v>921</v>
      </c>
      <c r="E74" s="795"/>
      <c r="F74" s="795"/>
      <c r="G74" s="796"/>
      <c r="H74" s="1433"/>
      <c r="I74" s="1448">
        <f>SUM(J74:N74)</f>
        <v>195000</v>
      </c>
      <c r="J74" s="1093">
        <f>SUM(J82,J98,)+J78+J86+J90+J94+J102+J106+J110+J114+J117</f>
        <v>0</v>
      </c>
      <c r="K74" s="1093">
        <f>SUM(K82,K98,)+K78+K86+K90+K94+K102+K106+K110+K114+K117</f>
        <v>0</v>
      </c>
      <c r="L74" s="1093">
        <f>SUM(L82,L98,)+L78+L86+L90+L94+L102+L106+L110+L114+L117</f>
        <v>0</v>
      </c>
      <c r="M74" s="1093">
        <f>SUM(M82,M98,)+M78+M86+M90+M94+M102+M106+M110+M114+M117</f>
        <v>0</v>
      </c>
      <c r="N74" s="1104">
        <f>SUM(N82,N98,)+N78+N86+N90+N94+N102+N106+N110+N114+N117</f>
        <v>195000</v>
      </c>
    </row>
    <row r="75" spans="1:16" s="7" customFormat="1" ht="18" customHeight="1" x14ac:dyDescent="0.3">
      <c r="A75" s="194">
        <v>68</v>
      </c>
      <c r="B75" s="61"/>
      <c r="C75" s="59"/>
      <c r="D75" s="1002" t="s">
        <v>972</v>
      </c>
      <c r="E75" s="795"/>
      <c r="F75" s="795"/>
      <c r="G75" s="796"/>
      <c r="H75" s="1433"/>
      <c r="I75" s="415">
        <f>SUM(J75:Q75)</f>
        <v>160000</v>
      </c>
      <c r="J75" s="1094">
        <f>J79+J83+J87+J91+J95+J99+J103+J107+J111+J115+J118</f>
        <v>0</v>
      </c>
      <c r="K75" s="1094">
        <f>K79+K83+K87+K91+K95+K99+K103+K107+K111+K115+K118</f>
        <v>0</v>
      </c>
      <c r="L75" s="1094">
        <f>L79+L83+L87+L91+L95+L99+L103+L107+L111+L115+L118</f>
        <v>0</v>
      </c>
      <c r="M75" s="1094">
        <f>M79+M83+M87+M91+M95+M99+M103+M107+M111+M115+M118</f>
        <v>0</v>
      </c>
      <c r="N75" s="1102">
        <v>160000</v>
      </c>
    </row>
    <row r="76" spans="1:16" s="8" customFormat="1" ht="18" customHeight="1" x14ac:dyDescent="0.3">
      <c r="A76" s="194">
        <v>69</v>
      </c>
      <c r="B76" s="63"/>
      <c r="C76" s="59"/>
      <c r="D76" s="155" t="s">
        <v>595</v>
      </c>
      <c r="E76" s="799">
        <v>15000</v>
      </c>
      <c r="F76" s="799"/>
      <c r="G76" s="800">
        <v>40000</v>
      </c>
      <c r="H76" s="1435"/>
      <c r="I76" s="801"/>
      <c r="J76" s="358"/>
      <c r="K76" s="358"/>
      <c r="L76" s="358"/>
      <c r="M76" s="358"/>
      <c r="N76" s="359"/>
      <c r="P76" s="7"/>
    </row>
    <row r="77" spans="1:16" s="8" customFormat="1" ht="18" customHeight="1" x14ac:dyDescent="0.3">
      <c r="A77" s="194">
        <v>70</v>
      </c>
      <c r="B77" s="63"/>
      <c r="C77" s="59"/>
      <c r="D77" s="368" t="s">
        <v>252</v>
      </c>
      <c r="E77" s="799"/>
      <c r="F77" s="799"/>
      <c r="G77" s="800"/>
      <c r="H77" s="1435"/>
      <c r="I77" s="1450">
        <f>SUM(J77:N77)</f>
        <v>40000</v>
      </c>
      <c r="J77" s="358"/>
      <c r="K77" s="358"/>
      <c r="L77" s="358"/>
      <c r="M77" s="358"/>
      <c r="N77" s="359">
        <v>40000</v>
      </c>
      <c r="P77" s="7"/>
    </row>
    <row r="78" spans="1:16" s="8" customFormat="1" ht="18" customHeight="1" x14ac:dyDescent="0.3">
      <c r="A78" s="194">
        <v>71</v>
      </c>
      <c r="B78" s="63"/>
      <c r="C78" s="59"/>
      <c r="D78" s="1022" t="s">
        <v>921</v>
      </c>
      <c r="E78" s="799"/>
      <c r="F78" s="799"/>
      <c r="G78" s="800"/>
      <c r="H78" s="1435"/>
      <c r="I78" s="799">
        <f>SUM(J78:N78)</f>
        <v>40000</v>
      </c>
      <c r="J78" s="1094"/>
      <c r="K78" s="1094"/>
      <c r="L78" s="1094"/>
      <c r="M78" s="1094"/>
      <c r="N78" s="1102">
        <v>40000</v>
      </c>
      <c r="P78" s="7"/>
    </row>
    <row r="79" spans="1:16" s="8" customFormat="1" ht="18" customHeight="1" x14ac:dyDescent="0.3">
      <c r="A79" s="194">
        <v>72</v>
      </c>
      <c r="B79" s="63"/>
      <c r="C79" s="59"/>
      <c r="D79" s="1022" t="s">
        <v>973</v>
      </c>
      <c r="E79" s="799"/>
      <c r="F79" s="799"/>
      <c r="G79" s="800"/>
      <c r="H79" s="1435"/>
      <c r="I79" s="415">
        <f>SUM(J79:Q79)</f>
        <v>40000</v>
      </c>
      <c r="J79" s="358"/>
      <c r="K79" s="358"/>
      <c r="L79" s="358"/>
      <c r="M79" s="358"/>
      <c r="N79" s="1102">
        <v>40000</v>
      </c>
      <c r="P79" s="7"/>
    </row>
    <row r="80" spans="1:16" s="8" customFormat="1" ht="18" customHeight="1" x14ac:dyDescent="0.3">
      <c r="A80" s="194">
        <v>73</v>
      </c>
      <c r="B80" s="63"/>
      <c r="C80" s="59"/>
      <c r="D80" s="155" t="s">
        <v>44</v>
      </c>
      <c r="E80" s="799">
        <v>20000</v>
      </c>
      <c r="F80" s="799">
        <v>20000</v>
      </c>
      <c r="G80" s="800">
        <v>20000</v>
      </c>
      <c r="H80" s="1435"/>
      <c r="I80" s="1451"/>
      <c r="J80" s="360"/>
      <c r="K80" s="360"/>
      <c r="L80" s="360"/>
      <c r="M80" s="360"/>
      <c r="N80" s="361"/>
      <c r="P80" s="7"/>
    </row>
    <row r="81" spans="1:16" s="8" customFormat="1" ht="18" customHeight="1" x14ac:dyDescent="0.3">
      <c r="A81" s="194">
        <v>74</v>
      </c>
      <c r="B81" s="63"/>
      <c r="C81" s="59"/>
      <c r="D81" s="368" t="s">
        <v>252</v>
      </c>
      <c r="E81" s="799"/>
      <c r="F81" s="799"/>
      <c r="G81" s="800"/>
      <c r="H81" s="1435"/>
      <c r="I81" s="1450">
        <f>SUM(J81:N81)</f>
        <v>0</v>
      </c>
      <c r="J81" s="358"/>
      <c r="K81" s="358"/>
      <c r="L81" s="358"/>
      <c r="M81" s="358"/>
      <c r="N81" s="359"/>
      <c r="P81" s="7"/>
    </row>
    <row r="82" spans="1:16" s="8" customFormat="1" ht="18" customHeight="1" x14ac:dyDescent="0.3">
      <c r="A82" s="194">
        <v>75</v>
      </c>
      <c r="B82" s="63"/>
      <c r="C82" s="59"/>
      <c r="D82" s="1022" t="s">
        <v>921</v>
      </c>
      <c r="E82" s="799"/>
      <c r="F82" s="799"/>
      <c r="G82" s="800"/>
      <c r="H82" s="1435"/>
      <c r="I82" s="1450">
        <f>SUM(J82:N82)</f>
        <v>0</v>
      </c>
      <c r="J82" s="358"/>
      <c r="K82" s="358"/>
      <c r="L82" s="358"/>
      <c r="M82" s="358"/>
      <c r="N82" s="359"/>
      <c r="P82" s="7"/>
    </row>
    <row r="83" spans="1:16" s="8" customFormat="1" ht="18" customHeight="1" x14ac:dyDescent="0.3">
      <c r="A83" s="194">
        <v>76</v>
      </c>
      <c r="B83" s="63"/>
      <c r="C83" s="59"/>
      <c r="D83" s="1022" t="s">
        <v>973</v>
      </c>
      <c r="E83" s="799"/>
      <c r="F83" s="799"/>
      <c r="G83" s="800"/>
      <c r="H83" s="1435"/>
      <c r="I83" s="415">
        <f>SUM(J83:Q83)</f>
        <v>0</v>
      </c>
      <c r="J83" s="358"/>
      <c r="K83" s="358"/>
      <c r="L83" s="358"/>
      <c r="M83" s="358"/>
      <c r="N83" s="359"/>
      <c r="P83" s="7"/>
    </row>
    <row r="84" spans="1:16" s="8" customFormat="1" ht="18" customHeight="1" x14ac:dyDescent="0.3">
      <c r="A84" s="194">
        <v>77</v>
      </c>
      <c r="B84" s="63"/>
      <c r="C84" s="59"/>
      <c r="D84" s="155" t="s">
        <v>45</v>
      </c>
      <c r="E84" s="799">
        <v>1000</v>
      </c>
      <c r="F84" s="799"/>
      <c r="G84" s="800">
        <v>5000</v>
      </c>
      <c r="H84" s="1435"/>
      <c r="I84" s="1451"/>
      <c r="J84" s="360"/>
      <c r="K84" s="360"/>
      <c r="L84" s="360"/>
      <c r="M84" s="360"/>
      <c r="N84" s="361"/>
      <c r="P84" s="7"/>
    </row>
    <row r="85" spans="1:16" s="8" customFormat="1" ht="18" customHeight="1" x14ac:dyDescent="0.3">
      <c r="A85" s="194">
        <v>78</v>
      </c>
      <c r="B85" s="63"/>
      <c r="C85" s="59"/>
      <c r="D85" s="368" t="s">
        <v>252</v>
      </c>
      <c r="E85" s="799"/>
      <c r="F85" s="799"/>
      <c r="G85" s="800"/>
      <c r="H85" s="1435"/>
      <c r="I85" s="1450">
        <f>SUM(J85:N85)</f>
        <v>20000</v>
      </c>
      <c r="J85" s="360"/>
      <c r="K85" s="360"/>
      <c r="L85" s="360"/>
      <c r="M85" s="360"/>
      <c r="N85" s="361">
        <v>20000</v>
      </c>
      <c r="P85" s="7"/>
    </row>
    <row r="86" spans="1:16" s="8" customFormat="1" ht="18" customHeight="1" x14ac:dyDescent="0.3">
      <c r="A86" s="194">
        <v>79</v>
      </c>
      <c r="B86" s="63"/>
      <c r="C86" s="59"/>
      <c r="D86" s="1022" t="s">
        <v>921</v>
      </c>
      <c r="E86" s="799"/>
      <c r="F86" s="799"/>
      <c r="G86" s="800"/>
      <c r="H86" s="1435"/>
      <c r="I86" s="799">
        <f>SUM(J86:N86)</f>
        <v>20000</v>
      </c>
      <c r="J86" s="1107"/>
      <c r="K86" s="1107"/>
      <c r="L86" s="1107"/>
      <c r="M86" s="1107"/>
      <c r="N86" s="1103">
        <v>20000</v>
      </c>
      <c r="P86" s="7"/>
    </row>
    <row r="87" spans="1:16" s="8" customFormat="1" ht="18" customHeight="1" x14ac:dyDescent="0.3">
      <c r="A87" s="194">
        <v>80</v>
      </c>
      <c r="B87" s="63"/>
      <c r="C87" s="59"/>
      <c r="D87" s="1022" t="s">
        <v>973</v>
      </c>
      <c r="E87" s="799"/>
      <c r="F87" s="799"/>
      <c r="G87" s="800"/>
      <c r="H87" s="1435"/>
      <c r="I87" s="415">
        <f>SUM(J87:Q87)</f>
        <v>20000</v>
      </c>
      <c r="J87" s="360"/>
      <c r="K87" s="360"/>
      <c r="L87" s="360"/>
      <c r="M87" s="360"/>
      <c r="N87" s="1103">
        <v>20000</v>
      </c>
      <c r="P87" s="7"/>
    </row>
    <row r="88" spans="1:16" s="8" customFormat="1" ht="18" customHeight="1" x14ac:dyDescent="0.3">
      <c r="A88" s="194">
        <v>81</v>
      </c>
      <c r="B88" s="63"/>
      <c r="C88" s="59"/>
      <c r="D88" s="155" t="s">
        <v>46</v>
      </c>
      <c r="E88" s="799">
        <v>7500</v>
      </c>
      <c r="F88" s="799"/>
      <c r="G88" s="800">
        <v>15000</v>
      </c>
      <c r="H88" s="1435"/>
      <c r="I88" s="1451"/>
      <c r="J88" s="360"/>
      <c r="K88" s="360"/>
      <c r="L88" s="360"/>
      <c r="M88" s="360"/>
      <c r="N88" s="361"/>
      <c r="P88" s="7"/>
    </row>
    <row r="89" spans="1:16" s="8" customFormat="1" ht="18" customHeight="1" x14ac:dyDescent="0.3">
      <c r="A89" s="194">
        <v>82</v>
      </c>
      <c r="B89" s="63"/>
      <c r="C89" s="59"/>
      <c r="D89" s="368" t="s">
        <v>252</v>
      </c>
      <c r="E89" s="799"/>
      <c r="F89" s="799"/>
      <c r="G89" s="800"/>
      <c r="H89" s="1435"/>
      <c r="I89" s="1450">
        <f>SUM(J89:N89)</f>
        <v>30000</v>
      </c>
      <c r="J89" s="360"/>
      <c r="K89" s="360"/>
      <c r="L89" s="360"/>
      <c r="M89" s="360"/>
      <c r="N89" s="361">
        <v>30000</v>
      </c>
      <c r="P89" s="7"/>
    </row>
    <row r="90" spans="1:16" s="8" customFormat="1" ht="18" customHeight="1" x14ac:dyDescent="0.3">
      <c r="A90" s="194">
        <v>83</v>
      </c>
      <c r="B90" s="63"/>
      <c r="C90" s="59"/>
      <c r="D90" s="1022" t="s">
        <v>921</v>
      </c>
      <c r="E90" s="799"/>
      <c r="F90" s="799"/>
      <c r="G90" s="800"/>
      <c r="H90" s="1435"/>
      <c r="I90" s="799">
        <f>SUM(J90:N90)</f>
        <v>65000</v>
      </c>
      <c r="J90" s="1107"/>
      <c r="K90" s="1107"/>
      <c r="L90" s="1107"/>
      <c r="M90" s="1107"/>
      <c r="N90" s="1103">
        <v>65000</v>
      </c>
      <c r="P90" s="7"/>
    </row>
    <row r="91" spans="1:16" s="8" customFormat="1" ht="18" customHeight="1" x14ac:dyDescent="0.3">
      <c r="A91" s="194">
        <v>84</v>
      </c>
      <c r="B91" s="63"/>
      <c r="C91" s="59"/>
      <c r="D91" s="1022" t="s">
        <v>973</v>
      </c>
      <c r="E91" s="799"/>
      <c r="F91" s="799"/>
      <c r="G91" s="800"/>
      <c r="H91" s="1435"/>
      <c r="I91" s="415">
        <f>SUM(J91:Q91)</f>
        <v>30000</v>
      </c>
      <c r="J91" s="360"/>
      <c r="K91" s="360"/>
      <c r="L91" s="360"/>
      <c r="M91" s="360"/>
      <c r="N91" s="1103">
        <v>30000</v>
      </c>
      <c r="P91" s="7"/>
    </row>
    <row r="92" spans="1:16" s="8" customFormat="1" ht="18" customHeight="1" x14ac:dyDescent="0.3">
      <c r="A92" s="194">
        <v>85</v>
      </c>
      <c r="B92" s="63"/>
      <c r="C92" s="59"/>
      <c r="D92" s="155" t="s">
        <v>47</v>
      </c>
      <c r="E92" s="799">
        <v>5000</v>
      </c>
      <c r="F92" s="799"/>
      <c r="G92" s="800">
        <v>10000</v>
      </c>
      <c r="H92" s="1435"/>
      <c r="I92" s="1451"/>
      <c r="J92" s="360"/>
      <c r="K92" s="360"/>
      <c r="L92" s="360"/>
      <c r="M92" s="360"/>
      <c r="N92" s="361"/>
    </row>
    <row r="93" spans="1:16" s="8" customFormat="1" ht="18" customHeight="1" x14ac:dyDescent="0.3">
      <c r="A93" s="194">
        <v>86</v>
      </c>
      <c r="B93" s="63"/>
      <c r="C93" s="59"/>
      <c r="D93" s="368" t="s">
        <v>252</v>
      </c>
      <c r="E93" s="799"/>
      <c r="F93" s="799"/>
      <c r="G93" s="800"/>
      <c r="H93" s="1435"/>
      <c r="I93" s="1450">
        <f>SUM(J93:N93)</f>
        <v>40000</v>
      </c>
      <c r="J93" s="360"/>
      <c r="K93" s="360"/>
      <c r="L93" s="360"/>
      <c r="M93" s="360"/>
      <c r="N93" s="361">
        <v>40000</v>
      </c>
    </row>
    <row r="94" spans="1:16" s="8" customFormat="1" ht="18" customHeight="1" x14ac:dyDescent="0.3">
      <c r="A94" s="194">
        <v>87</v>
      </c>
      <c r="B94" s="63"/>
      <c r="C94" s="59"/>
      <c r="D94" s="1022" t="s">
        <v>921</v>
      </c>
      <c r="E94" s="799"/>
      <c r="F94" s="799"/>
      <c r="G94" s="800"/>
      <c r="H94" s="1435"/>
      <c r="I94" s="799">
        <f>SUM(J94:N94)</f>
        <v>40000</v>
      </c>
      <c r="J94" s="1107"/>
      <c r="K94" s="1107"/>
      <c r="L94" s="1107"/>
      <c r="M94" s="1107"/>
      <c r="N94" s="1103">
        <v>40000</v>
      </c>
    </row>
    <row r="95" spans="1:16" s="8" customFormat="1" ht="18" customHeight="1" x14ac:dyDescent="0.3">
      <c r="A95" s="194">
        <v>88</v>
      </c>
      <c r="B95" s="63"/>
      <c r="C95" s="59"/>
      <c r="D95" s="1022" t="s">
        <v>973</v>
      </c>
      <c r="E95" s="799"/>
      <c r="F95" s="799"/>
      <c r="G95" s="800"/>
      <c r="H95" s="1435"/>
      <c r="I95" s="415">
        <f>SUM(J95:Q95)</f>
        <v>40000</v>
      </c>
      <c r="J95" s="360"/>
      <c r="K95" s="360"/>
      <c r="L95" s="360"/>
      <c r="M95" s="360"/>
      <c r="N95" s="1103">
        <v>40000</v>
      </c>
    </row>
    <row r="96" spans="1:16" s="8" customFormat="1" ht="18" customHeight="1" x14ac:dyDescent="0.3">
      <c r="A96" s="194">
        <v>89</v>
      </c>
      <c r="B96" s="63"/>
      <c r="C96" s="59"/>
      <c r="D96" s="155" t="s">
        <v>421</v>
      </c>
      <c r="E96" s="799">
        <v>20000</v>
      </c>
      <c r="F96" s="799">
        <v>20000</v>
      </c>
      <c r="G96" s="800">
        <v>20000</v>
      </c>
      <c r="H96" s="1435"/>
      <c r="I96" s="801"/>
      <c r="J96" s="358"/>
      <c r="K96" s="358"/>
      <c r="L96" s="358"/>
      <c r="M96" s="358"/>
      <c r="N96" s="359"/>
    </row>
    <row r="97" spans="1:14" s="8" customFormat="1" ht="18" customHeight="1" x14ac:dyDescent="0.3">
      <c r="A97" s="194">
        <v>90</v>
      </c>
      <c r="B97" s="63"/>
      <c r="C97" s="59"/>
      <c r="D97" s="368" t="s">
        <v>252</v>
      </c>
      <c r="E97" s="799"/>
      <c r="F97" s="799"/>
      <c r="G97" s="800"/>
      <c r="H97" s="1435"/>
      <c r="I97" s="1450">
        <f>SUM(J97:N97)</f>
        <v>20000</v>
      </c>
      <c r="J97" s="358"/>
      <c r="K97" s="358"/>
      <c r="L97" s="358"/>
      <c r="M97" s="358"/>
      <c r="N97" s="359">
        <v>20000</v>
      </c>
    </row>
    <row r="98" spans="1:14" s="8" customFormat="1" ht="18" customHeight="1" x14ac:dyDescent="0.3">
      <c r="A98" s="194">
        <v>91</v>
      </c>
      <c r="B98" s="63"/>
      <c r="C98" s="59"/>
      <c r="D98" s="1022" t="s">
        <v>921</v>
      </c>
      <c r="E98" s="799"/>
      <c r="F98" s="799"/>
      <c r="G98" s="800"/>
      <c r="H98" s="1435"/>
      <c r="I98" s="799">
        <f>SUM(J98:N98)</f>
        <v>20000</v>
      </c>
      <c r="J98" s="1094"/>
      <c r="K98" s="1094"/>
      <c r="L98" s="1094"/>
      <c r="M98" s="1094"/>
      <c r="N98" s="1102">
        <v>20000</v>
      </c>
    </row>
    <row r="99" spans="1:14" s="8" customFormat="1" ht="18" customHeight="1" x14ac:dyDescent="0.3">
      <c r="A99" s="194">
        <v>92</v>
      </c>
      <c r="B99" s="63"/>
      <c r="C99" s="59"/>
      <c r="D99" s="1022" t="s">
        <v>973</v>
      </c>
      <c r="E99" s="799"/>
      <c r="F99" s="799"/>
      <c r="G99" s="800"/>
      <c r="H99" s="1435"/>
      <c r="I99" s="415">
        <f>SUM(J99:Q99)</f>
        <v>20000</v>
      </c>
      <c r="J99" s="358"/>
      <c r="K99" s="358"/>
      <c r="L99" s="358"/>
      <c r="M99" s="358"/>
      <c r="N99" s="1102">
        <v>20000</v>
      </c>
    </row>
    <row r="100" spans="1:14" s="8" customFormat="1" ht="18" customHeight="1" x14ac:dyDescent="0.3">
      <c r="A100" s="194">
        <v>93</v>
      </c>
      <c r="B100" s="63"/>
      <c r="C100" s="59"/>
      <c r="D100" s="155" t="s">
        <v>422</v>
      </c>
      <c r="E100" s="799">
        <v>10000</v>
      </c>
      <c r="F100" s="799"/>
      <c r="G100" s="800">
        <v>12000</v>
      </c>
      <c r="H100" s="1435"/>
      <c r="I100" s="801"/>
      <c r="J100" s="358"/>
      <c r="K100" s="358"/>
      <c r="L100" s="358"/>
      <c r="M100" s="358"/>
      <c r="N100" s="359"/>
    </row>
    <row r="101" spans="1:14" s="8" customFormat="1" ht="18" customHeight="1" x14ac:dyDescent="0.3">
      <c r="A101" s="194">
        <v>94</v>
      </c>
      <c r="B101" s="63"/>
      <c r="C101" s="59"/>
      <c r="D101" s="368" t="s">
        <v>252</v>
      </c>
      <c r="E101" s="799"/>
      <c r="F101" s="799"/>
      <c r="G101" s="800"/>
      <c r="H101" s="1435"/>
      <c r="I101" s="1450">
        <f>SUM(J101:N101)</f>
        <v>10000</v>
      </c>
      <c r="J101" s="358"/>
      <c r="K101" s="358"/>
      <c r="L101" s="358"/>
      <c r="M101" s="358"/>
      <c r="N101" s="359">
        <v>10000</v>
      </c>
    </row>
    <row r="102" spans="1:14" s="8" customFormat="1" ht="18" customHeight="1" x14ac:dyDescent="0.3">
      <c r="A102" s="194">
        <v>95</v>
      </c>
      <c r="B102" s="63"/>
      <c r="C102" s="59"/>
      <c r="D102" s="1022" t="s">
        <v>921</v>
      </c>
      <c r="E102" s="799"/>
      <c r="F102" s="799"/>
      <c r="G102" s="800"/>
      <c r="H102" s="1435"/>
      <c r="I102" s="799">
        <f>SUM(J102:N102)</f>
        <v>10000</v>
      </c>
      <c r="J102" s="1094"/>
      <c r="K102" s="1094"/>
      <c r="L102" s="1094"/>
      <c r="M102" s="1094"/>
      <c r="N102" s="1102">
        <v>10000</v>
      </c>
    </row>
    <row r="103" spans="1:14" s="8" customFormat="1" ht="18" customHeight="1" x14ac:dyDescent="0.3">
      <c r="A103" s="194">
        <v>96</v>
      </c>
      <c r="B103" s="63"/>
      <c r="C103" s="59"/>
      <c r="D103" s="1022" t="s">
        <v>973</v>
      </c>
      <c r="E103" s="799"/>
      <c r="F103" s="799"/>
      <c r="G103" s="800"/>
      <c r="H103" s="1435"/>
      <c r="I103" s="415">
        <f>SUM(J103:Q103)</f>
        <v>10000</v>
      </c>
      <c r="J103" s="358"/>
      <c r="K103" s="358"/>
      <c r="L103" s="358"/>
      <c r="M103" s="358"/>
      <c r="N103" s="1102">
        <v>10000</v>
      </c>
    </row>
    <row r="104" spans="1:14" s="8" customFormat="1" ht="18" customHeight="1" x14ac:dyDescent="0.3">
      <c r="A104" s="194">
        <v>97</v>
      </c>
      <c r="B104" s="63"/>
      <c r="C104" s="59"/>
      <c r="D104" s="155" t="s">
        <v>596</v>
      </c>
      <c r="E104" s="799"/>
      <c r="F104" s="799"/>
      <c r="G104" s="800"/>
      <c r="H104" s="1435"/>
      <c r="I104" s="1450"/>
      <c r="J104" s="358"/>
      <c r="K104" s="358"/>
      <c r="L104" s="358"/>
      <c r="M104" s="358"/>
      <c r="N104" s="359"/>
    </row>
    <row r="105" spans="1:14" s="8" customFormat="1" ht="18" customHeight="1" x14ac:dyDescent="0.3">
      <c r="A105" s="194">
        <v>98</v>
      </c>
      <c r="B105" s="63"/>
      <c r="C105" s="59"/>
      <c r="D105" s="368" t="s">
        <v>252</v>
      </c>
      <c r="E105" s="799"/>
      <c r="F105" s="799"/>
      <c r="G105" s="800"/>
      <c r="H105" s="1435"/>
      <c r="I105" s="1450">
        <f>SUM(J105:N105)</f>
        <v>10000</v>
      </c>
      <c r="J105" s="358"/>
      <c r="K105" s="358"/>
      <c r="L105" s="358"/>
      <c r="M105" s="358"/>
      <c r="N105" s="359">
        <v>10000</v>
      </c>
    </row>
    <row r="106" spans="1:14" s="8" customFormat="1" ht="18" customHeight="1" x14ac:dyDescent="0.3">
      <c r="A106" s="194">
        <v>99</v>
      </c>
      <c r="B106" s="63"/>
      <c r="C106" s="59"/>
      <c r="D106" s="1022" t="s">
        <v>921</v>
      </c>
      <c r="E106" s="799"/>
      <c r="F106" s="799"/>
      <c r="G106" s="800"/>
      <c r="H106" s="1435"/>
      <c r="I106" s="799">
        <f>SUM(J106:N106)</f>
        <v>0</v>
      </c>
      <c r="J106" s="1094"/>
      <c r="K106" s="1094"/>
      <c r="L106" s="1094"/>
      <c r="M106" s="1094"/>
      <c r="N106" s="1102">
        <v>0</v>
      </c>
    </row>
    <row r="107" spans="1:14" s="8" customFormat="1" ht="18" customHeight="1" x14ac:dyDescent="0.3">
      <c r="A107" s="194">
        <v>100</v>
      </c>
      <c r="B107" s="63"/>
      <c r="C107" s="59"/>
      <c r="D107" s="1022" t="s">
        <v>972</v>
      </c>
      <c r="E107" s="799"/>
      <c r="F107" s="799"/>
      <c r="G107" s="800"/>
      <c r="H107" s="1435"/>
      <c r="I107" s="415">
        <f>SUM(J107:Q107)</f>
        <v>0</v>
      </c>
      <c r="J107" s="358"/>
      <c r="K107" s="358"/>
      <c r="L107" s="358"/>
      <c r="M107" s="358"/>
      <c r="N107" s="1102">
        <v>0</v>
      </c>
    </row>
    <row r="108" spans="1:14" s="8" customFormat="1" ht="18" customHeight="1" x14ac:dyDescent="0.3">
      <c r="A108" s="194">
        <v>101</v>
      </c>
      <c r="B108" s="63"/>
      <c r="C108" s="59"/>
      <c r="D108" s="155" t="s">
        <v>597</v>
      </c>
      <c r="E108" s="799"/>
      <c r="F108" s="799"/>
      <c r="G108" s="800"/>
      <c r="H108" s="1435"/>
      <c r="I108" s="1450"/>
      <c r="J108" s="358"/>
      <c r="K108" s="358"/>
      <c r="L108" s="358"/>
      <c r="M108" s="358"/>
      <c r="N108" s="359"/>
    </row>
    <row r="109" spans="1:14" s="8" customFormat="1" ht="18" customHeight="1" x14ac:dyDescent="0.3">
      <c r="A109" s="194">
        <v>102</v>
      </c>
      <c r="B109" s="63"/>
      <c r="C109" s="59"/>
      <c r="D109" s="368" t="s">
        <v>252</v>
      </c>
      <c r="E109" s="799"/>
      <c r="F109" s="799"/>
      <c r="G109" s="800"/>
      <c r="H109" s="1435"/>
      <c r="I109" s="1450">
        <f>SUM(J109:N109)</f>
        <v>22000</v>
      </c>
      <c r="J109" s="358"/>
      <c r="K109" s="358"/>
      <c r="L109" s="358"/>
      <c r="M109" s="358"/>
      <c r="N109" s="359">
        <v>22000</v>
      </c>
    </row>
    <row r="110" spans="1:14" s="8" customFormat="1" ht="18" customHeight="1" x14ac:dyDescent="0.3">
      <c r="A110" s="194">
        <v>103</v>
      </c>
      <c r="B110" s="63"/>
      <c r="C110" s="59"/>
      <c r="D110" s="1022" t="s">
        <v>921</v>
      </c>
      <c r="E110" s="799"/>
      <c r="F110" s="799"/>
      <c r="G110" s="800"/>
      <c r="H110" s="1435"/>
      <c r="I110" s="799">
        <f>SUM(J110:N110)</f>
        <v>0</v>
      </c>
      <c r="J110" s="1094"/>
      <c r="K110" s="1094"/>
      <c r="L110" s="1094"/>
      <c r="M110" s="1094"/>
      <c r="N110" s="1102">
        <v>0</v>
      </c>
    </row>
    <row r="111" spans="1:14" s="8" customFormat="1" ht="18" customHeight="1" x14ac:dyDescent="0.3">
      <c r="A111" s="194">
        <v>104</v>
      </c>
      <c r="B111" s="63"/>
      <c r="C111" s="59"/>
      <c r="D111" s="1022" t="s">
        <v>972</v>
      </c>
      <c r="E111" s="799"/>
      <c r="F111" s="799"/>
      <c r="G111" s="800"/>
      <c r="H111" s="1435"/>
      <c r="I111" s="415">
        <f>SUM(J111:Q111)</f>
        <v>0</v>
      </c>
      <c r="J111" s="358"/>
      <c r="K111" s="358"/>
      <c r="L111" s="358"/>
      <c r="M111" s="358"/>
      <c r="N111" s="1102">
        <v>0</v>
      </c>
    </row>
    <row r="112" spans="1:14" s="8" customFormat="1" ht="18" customHeight="1" x14ac:dyDescent="0.3">
      <c r="A112" s="194">
        <v>105</v>
      </c>
      <c r="B112" s="63"/>
      <c r="C112" s="59"/>
      <c r="D112" s="155" t="s">
        <v>598</v>
      </c>
      <c r="E112" s="799"/>
      <c r="F112" s="799"/>
      <c r="G112" s="800"/>
      <c r="H112" s="1435"/>
      <c r="I112" s="1450"/>
      <c r="J112" s="358"/>
      <c r="K112" s="358"/>
      <c r="L112" s="358"/>
      <c r="M112" s="358"/>
      <c r="N112" s="359"/>
    </row>
    <row r="113" spans="1:16" s="8" customFormat="1" ht="18" customHeight="1" x14ac:dyDescent="0.3">
      <c r="A113" s="194">
        <v>106</v>
      </c>
      <c r="B113" s="63"/>
      <c r="C113" s="59"/>
      <c r="D113" s="368" t="s">
        <v>252</v>
      </c>
      <c r="E113" s="799"/>
      <c r="F113" s="799"/>
      <c r="G113" s="800"/>
      <c r="H113" s="1435"/>
      <c r="I113" s="1450">
        <f>SUM(J113:N113)</f>
        <v>11000</v>
      </c>
      <c r="J113" s="358"/>
      <c r="K113" s="358"/>
      <c r="L113" s="358"/>
      <c r="M113" s="358"/>
      <c r="N113" s="359">
        <v>11000</v>
      </c>
    </row>
    <row r="114" spans="1:16" s="8" customFormat="1" ht="18" customHeight="1" x14ac:dyDescent="0.3">
      <c r="A114" s="194">
        <v>107</v>
      </c>
      <c r="B114" s="63"/>
      <c r="C114" s="59"/>
      <c r="D114" s="1022" t="s">
        <v>921</v>
      </c>
      <c r="E114" s="799"/>
      <c r="F114" s="799"/>
      <c r="G114" s="800"/>
      <c r="H114" s="1435"/>
      <c r="I114" s="799">
        <f>SUM(J114:N114)</f>
        <v>0</v>
      </c>
      <c r="J114" s="1094"/>
      <c r="K114" s="1094"/>
      <c r="L114" s="1094"/>
      <c r="M114" s="1094"/>
      <c r="N114" s="1102">
        <v>0</v>
      </c>
    </row>
    <row r="115" spans="1:16" s="8" customFormat="1" ht="18" customHeight="1" x14ac:dyDescent="0.3">
      <c r="A115" s="194">
        <v>108</v>
      </c>
      <c r="B115" s="63"/>
      <c r="C115" s="59"/>
      <c r="D115" s="1022" t="s">
        <v>972</v>
      </c>
      <c r="E115" s="799"/>
      <c r="F115" s="799"/>
      <c r="G115" s="800"/>
      <c r="H115" s="1435"/>
      <c r="I115" s="415">
        <f>SUM(J115:Q115)</f>
        <v>0</v>
      </c>
      <c r="J115" s="358"/>
      <c r="K115" s="358"/>
      <c r="L115" s="358"/>
      <c r="M115" s="358"/>
      <c r="N115" s="1102">
        <v>0</v>
      </c>
    </row>
    <row r="116" spans="1:16" s="8" customFormat="1" ht="18" customHeight="1" x14ac:dyDescent="0.3">
      <c r="A116" s="194">
        <v>109</v>
      </c>
      <c r="B116" s="63"/>
      <c r="C116" s="59"/>
      <c r="D116" s="155" t="s">
        <v>916</v>
      </c>
      <c r="E116" s="799"/>
      <c r="F116" s="799"/>
      <c r="G116" s="800"/>
      <c r="H116" s="1435"/>
      <c r="I116" s="412"/>
      <c r="J116" s="358"/>
      <c r="K116" s="358"/>
      <c r="L116" s="358"/>
      <c r="M116" s="358"/>
      <c r="N116" s="1102"/>
    </row>
    <row r="117" spans="1:16" s="8" customFormat="1" ht="18" customHeight="1" x14ac:dyDescent="0.3">
      <c r="A117" s="194">
        <v>110</v>
      </c>
      <c r="B117" s="63"/>
      <c r="C117" s="59"/>
      <c r="D117" s="1022" t="s">
        <v>921</v>
      </c>
      <c r="E117" s="799"/>
      <c r="F117" s="799"/>
      <c r="G117" s="800"/>
      <c r="H117" s="1435"/>
      <c r="I117" s="799">
        <f>SUM(J117:N117)</f>
        <v>0</v>
      </c>
      <c r="J117" s="358"/>
      <c r="K117" s="358"/>
      <c r="L117" s="358"/>
      <c r="M117" s="358"/>
      <c r="N117" s="1102">
        <v>0</v>
      </c>
    </row>
    <row r="118" spans="1:16" s="8" customFormat="1" ht="18" customHeight="1" x14ac:dyDescent="0.3">
      <c r="A118" s="194">
        <v>111</v>
      </c>
      <c r="B118" s="63"/>
      <c r="C118" s="59"/>
      <c r="D118" s="1022" t="s">
        <v>972</v>
      </c>
      <c r="E118" s="799"/>
      <c r="F118" s="799"/>
      <c r="G118" s="800"/>
      <c r="H118" s="1435"/>
      <c r="I118" s="415">
        <f>SUM(J118:Q118)</f>
        <v>0</v>
      </c>
      <c r="J118" s="358"/>
      <c r="K118" s="358"/>
      <c r="L118" s="358"/>
      <c r="M118" s="358"/>
      <c r="N118" s="1102">
        <v>0</v>
      </c>
    </row>
    <row r="119" spans="1:16" s="8" customFormat="1" ht="22.5" customHeight="1" x14ac:dyDescent="0.3">
      <c r="A119" s="194">
        <v>112</v>
      </c>
      <c r="B119" s="63"/>
      <c r="C119" s="59">
        <v>8</v>
      </c>
      <c r="D119" s="190" t="s">
        <v>606</v>
      </c>
      <c r="E119" s="799"/>
      <c r="F119" s="799"/>
      <c r="G119" s="800"/>
      <c r="H119" s="1433" t="s">
        <v>24</v>
      </c>
      <c r="I119" s="1450"/>
      <c r="J119" s="358"/>
      <c r="K119" s="358"/>
      <c r="L119" s="358"/>
      <c r="M119" s="358"/>
      <c r="N119" s="359"/>
    </row>
    <row r="120" spans="1:16" s="8" customFormat="1" ht="18" customHeight="1" x14ac:dyDescent="0.3">
      <c r="A120" s="194">
        <v>113</v>
      </c>
      <c r="B120" s="63"/>
      <c r="C120" s="59"/>
      <c r="D120" s="316" t="s">
        <v>252</v>
      </c>
      <c r="E120" s="799"/>
      <c r="F120" s="799"/>
      <c r="G120" s="800"/>
      <c r="H120" s="1435"/>
      <c r="I120" s="317">
        <f>SUM(J120:N120)</f>
        <v>9300</v>
      </c>
      <c r="J120" s="358"/>
      <c r="K120" s="358"/>
      <c r="L120" s="358"/>
      <c r="M120" s="358"/>
      <c r="N120" s="313">
        <v>9300</v>
      </c>
    </row>
    <row r="121" spans="1:16" s="8" customFormat="1" ht="18" customHeight="1" x14ac:dyDescent="0.3">
      <c r="A121" s="194">
        <v>114</v>
      </c>
      <c r="B121" s="63"/>
      <c r="C121" s="59"/>
      <c r="D121" s="1003" t="s">
        <v>921</v>
      </c>
      <c r="E121" s="799"/>
      <c r="F121" s="799"/>
      <c r="G121" s="800"/>
      <c r="H121" s="1435"/>
      <c r="I121" s="1448">
        <f>SUM(J121:N121)</f>
        <v>9300</v>
      </c>
      <c r="J121" s="1094"/>
      <c r="K121" s="1094"/>
      <c r="L121" s="1094"/>
      <c r="M121" s="1094"/>
      <c r="N121" s="1104">
        <v>9300</v>
      </c>
    </row>
    <row r="122" spans="1:16" s="8" customFormat="1" ht="18" customHeight="1" x14ac:dyDescent="0.3">
      <c r="A122" s="194">
        <v>115</v>
      </c>
      <c r="B122" s="63"/>
      <c r="C122" s="59"/>
      <c r="D122" s="1002" t="s">
        <v>973</v>
      </c>
      <c r="E122" s="799"/>
      <c r="F122" s="799"/>
      <c r="G122" s="800"/>
      <c r="H122" s="1435"/>
      <c r="I122" s="415">
        <f>SUM(J122:Q122)</f>
        <v>9300</v>
      </c>
      <c r="J122" s="358"/>
      <c r="K122" s="358"/>
      <c r="L122" s="358"/>
      <c r="M122" s="358"/>
      <c r="N122" s="1102">
        <v>9300</v>
      </c>
    </row>
    <row r="123" spans="1:16" s="3" customFormat="1" ht="22.5" customHeight="1" x14ac:dyDescent="0.3">
      <c r="A123" s="194">
        <v>116</v>
      </c>
      <c r="B123" s="58"/>
      <c r="C123" s="59">
        <v>9</v>
      </c>
      <c r="D123" s="190" t="s">
        <v>230</v>
      </c>
      <c r="E123" s="795"/>
      <c r="F123" s="795">
        <v>11300</v>
      </c>
      <c r="G123" s="796">
        <v>7547</v>
      </c>
      <c r="H123" s="1433" t="s">
        <v>24</v>
      </c>
      <c r="I123" s="317"/>
      <c r="J123" s="352"/>
      <c r="K123" s="352"/>
      <c r="L123" s="352"/>
      <c r="M123" s="352"/>
      <c r="N123" s="353"/>
      <c r="P123" s="7"/>
    </row>
    <row r="124" spans="1:16" s="7" customFormat="1" ht="18" customHeight="1" x14ac:dyDescent="0.3">
      <c r="A124" s="194">
        <v>117</v>
      </c>
      <c r="B124" s="61"/>
      <c r="C124" s="59"/>
      <c r="D124" s="316" t="s">
        <v>252</v>
      </c>
      <c r="F124" s="1100"/>
      <c r="H124" s="1433"/>
      <c r="I124" s="317">
        <f>SUM(J124:N124)</f>
        <v>35253</v>
      </c>
      <c r="J124" s="352"/>
      <c r="K124" s="352"/>
      <c r="L124" s="312">
        <f>18000+9253+8000</f>
        <v>35253</v>
      </c>
      <c r="M124" s="352"/>
      <c r="N124" s="353"/>
    </row>
    <row r="125" spans="1:16" s="7" customFormat="1" ht="18" customHeight="1" x14ac:dyDescent="0.3">
      <c r="A125" s="194">
        <v>118</v>
      </c>
      <c r="B125" s="61"/>
      <c r="C125" s="59"/>
      <c r="D125" s="1003" t="s">
        <v>921</v>
      </c>
      <c r="E125" s="797"/>
      <c r="F125" s="1100"/>
      <c r="G125" s="1454"/>
      <c r="H125" s="1433"/>
      <c r="I125" s="1448">
        <f>SUM(J125:N125)</f>
        <v>35253</v>
      </c>
      <c r="J125" s="1092">
        <v>1142</v>
      </c>
      <c r="K125" s="1092">
        <v>1429</v>
      </c>
      <c r="L125" s="1093">
        <v>32682</v>
      </c>
      <c r="M125" s="352"/>
      <c r="N125" s="353"/>
    </row>
    <row r="126" spans="1:16" s="7" customFormat="1" ht="18" customHeight="1" x14ac:dyDescent="0.3">
      <c r="A126" s="194">
        <v>119</v>
      </c>
      <c r="B126" s="61"/>
      <c r="C126" s="59"/>
      <c r="D126" s="1002" t="s">
        <v>972</v>
      </c>
      <c r="E126" s="797"/>
      <c r="F126" s="797"/>
      <c r="G126" s="1101"/>
      <c r="H126" s="1433"/>
      <c r="I126" s="415">
        <f>SUM(J126:Q126)</f>
        <v>9229</v>
      </c>
      <c r="J126" s="1094">
        <v>1142</v>
      </c>
      <c r="K126" s="1094">
        <v>1429</v>
      </c>
      <c r="L126" s="1094">
        <v>6658</v>
      </c>
      <c r="M126" s="352"/>
      <c r="N126" s="353"/>
    </row>
    <row r="127" spans="1:16" s="3" customFormat="1" ht="22.5" customHeight="1" x14ac:dyDescent="0.3">
      <c r="A127" s="194">
        <v>120</v>
      </c>
      <c r="B127" s="58"/>
      <c r="C127" s="59">
        <v>10</v>
      </c>
      <c r="D127" s="190" t="s">
        <v>48</v>
      </c>
      <c r="E127" s="795">
        <v>10545</v>
      </c>
      <c r="F127" s="795">
        <v>7344</v>
      </c>
      <c r="G127" s="796">
        <v>7988</v>
      </c>
      <c r="H127" s="1433" t="s">
        <v>24</v>
      </c>
      <c r="I127" s="317"/>
      <c r="J127" s="352"/>
      <c r="K127" s="352"/>
      <c r="L127" s="352"/>
      <c r="M127" s="352"/>
      <c r="N127" s="353"/>
      <c r="P127" s="7"/>
    </row>
    <row r="128" spans="1:16" s="7" customFormat="1" ht="18" customHeight="1" x14ac:dyDescent="0.3">
      <c r="A128" s="194">
        <v>121</v>
      </c>
      <c r="B128" s="61"/>
      <c r="C128" s="59"/>
      <c r="D128" s="316" t="s">
        <v>252</v>
      </c>
      <c r="E128" s="795"/>
      <c r="F128" s="795"/>
      <c r="G128" s="796"/>
      <c r="H128" s="1433"/>
      <c r="I128" s="317">
        <f>SUM(J128:N128)</f>
        <v>16516</v>
      </c>
      <c r="J128" s="312">
        <v>3006</v>
      </c>
      <c r="K128" s="312">
        <v>1242</v>
      </c>
      <c r="L128" s="312">
        <f>10752+1516</f>
        <v>12268</v>
      </c>
      <c r="M128" s="352"/>
      <c r="N128" s="353"/>
    </row>
    <row r="129" spans="1:16" s="7" customFormat="1" ht="18" customHeight="1" x14ac:dyDescent="0.3">
      <c r="A129" s="194">
        <v>122</v>
      </c>
      <c r="B129" s="61"/>
      <c r="C129" s="59"/>
      <c r="D129" s="1003" t="s">
        <v>921</v>
      </c>
      <c r="E129" s="795"/>
      <c r="F129" s="795"/>
      <c r="G129" s="796"/>
      <c r="H129" s="1432"/>
      <c r="I129" s="1448">
        <f>SUM(J129:N129)</f>
        <v>13166</v>
      </c>
      <c r="J129" s="1093">
        <v>3006</v>
      </c>
      <c r="K129" s="1093">
        <v>1242</v>
      </c>
      <c r="L129" s="1093">
        <v>8918</v>
      </c>
      <c r="M129" s="352"/>
      <c r="N129" s="353"/>
    </row>
    <row r="130" spans="1:16" s="7" customFormat="1" ht="18" customHeight="1" x14ac:dyDescent="0.3">
      <c r="A130" s="194">
        <v>123</v>
      </c>
      <c r="B130" s="61"/>
      <c r="C130" s="59"/>
      <c r="D130" s="1002" t="s">
        <v>972</v>
      </c>
      <c r="E130" s="795"/>
      <c r="F130" s="795"/>
      <c r="G130" s="796"/>
      <c r="H130" s="1432"/>
      <c r="I130" s="415">
        <f>SUM(J130:Q130)</f>
        <v>3499</v>
      </c>
      <c r="J130" s="1094">
        <v>268</v>
      </c>
      <c r="K130" s="1094">
        <v>139</v>
      </c>
      <c r="L130" s="1094">
        <v>3092</v>
      </c>
      <c r="M130" s="352"/>
      <c r="N130" s="353"/>
    </row>
    <row r="131" spans="1:16" s="3" customFormat="1" ht="22.5" customHeight="1" x14ac:dyDescent="0.3">
      <c r="A131" s="194">
        <v>124</v>
      </c>
      <c r="B131" s="58"/>
      <c r="C131" s="59">
        <v>11</v>
      </c>
      <c r="D131" s="190" t="s">
        <v>49</v>
      </c>
      <c r="E131" s="795">
        <v>254</v>
      </c>
      <c r="F131" s="795">
        <v>2127</v>
      </c>
      <c r="G131" s="796">
        <v>536</v>
      </c>
      <c r="H131" s="1432" t="s">
        <v>24</v>
      </c>
      <c r="I131" s="317"/>
      <c r="J131" s="352"/>
      <c r="K131" s="352"/>
      <c r="L131" s="352"/>
      <c r="M131" s="352"/>
      <c r="N131" s="353"/>
      <c r="P131" s="7"/>
    </row>
    <row r="132" spans="1:16" s="3" customFormat="1" ht="18" customHeight="1" x14ac:dyDescent="0.3">
      <c r="A132" s="194">
        <v>125</v>
      </c>
      <c r="B132" s="58"/>
      <c r="C132" s="59"/>
      <c r="D132" s="316" t="s">
        <v>252</v>
      </c>
      <c r="E132" s="795"/>
      <c r="F132" s="795"/>
      <c r="G132" s="796"/>
      <c r="H132" s="1432"/>
      <c r="I132" s="317">
        <f>SUM(J132:N132)</f>
        <v>15441</v>
      </c>
      <c r="J132" s="352"/>
      <c r="K132" s="352"/>
      <c r="L132" s="312">
        <f>10700+1591</f>
        <v>12291</v>
      </c>
      <c r="M132" s="352"/>
      <c r="N132" s="313">
        <v>3150</v>
      </c>
      <c r="P132" s="7"/>
    </row>
    <row r="133" spans="1:16" s="3" customFormat="1" ht="18" customHeight="1" x14ac:dyDescent="0.3">
      <c r="A133" s="194">
        <v>126</v>
      </c>
      <c r="B133" s="58"/>
      <c r="C133" s="59"/>
      <c r="D133" s="1003" t="s">
        <v>921</v>
      </c>
      <c r="E133" s="795"/>
      <c r="F133" s="795"/>
      <c r="G133" s="796"/>
      <c r="H133" s="1432"/>
      <c r="I133" s="1448">
        <f>SUM(J133:N133)</f>
        <v>15441</v>
      </c>
      <c r="J133" s="1092"/>
      <c r="K133" s="1092"/>
      <c r="L133" s="1093">
        <v>12291</v>
      </c>
      <c r="M133" s="1092"/>
      <c r="N133" s="1104">
        <v>3150</v>
      </c>
      <c r="P133" s="7"/>
    </row>
    <row r="134" spans="1:16" s="3" customFormat="1" ht="18" customHeight="1" x14ac:dyDescent="0.3">
      <c r="A134" s="194">
        <v>127</v>
      </c>
      <c r="B134" s="58"/>
      <c r="C134" s="59"/>
      <c r="D134" s="1002" t="s">
        <v>973</v>
      </c>
      <c r="E134" s="795"/>
      <c r="F134" s="795"/>
      <c r="G134" s="796"/>
      <c r="H134" s="1432"/>
      <c r="I134" s="415">
        <f>SUM(J134:Q134)</f>
        <v>0</v>
      </c>
      <c r="J134" s="352"/>
      <c r="K134" s="352"/>
      <c r="L134" s="1094">
        <v>0</v>
      </c>
      <c r="M134" s="1094"/>
      <c r="N134" s="1102">
        <v>0</v>
      </c>
      <c r="P134" s="7"/>
    </row>
    <row r="135" spans="1:16" s="3" customFormat="1" ht="22.5" customHeight="1" x14ac:dyDescent="0.3">
      <c r="A135" s="194">
        <v>128</v>
      </c>
      <c r="B135" s="58"/>
      <c r="C135" s="59">
        <v>13</v>
      </c>
      <c r="D135" s="190" t="s">
        <v>50</v>
      </c>
      <c r="E135" s="795">
        <f>SUM(E139,E143,E155,E156)</f>
        <v>3500</v>
      </c>
      <c r="F135" s="795">
        <f>SUM(F139,F143,F155,F156)</f>
        <v>2000</v>
      </c>
      <c r="G135" s="796">
        <f>SUM(G139,G143,G155,G156)+5199</f>
        <v>9199</v>
      </c>
      <c r="H135" s="1433" t="s">
        <v>24</v>
      </c>
      <c r="I135" s="317"/>
      <c r="J135" s="352"/>
      <c r="K135" s="352"/>
      <c r="L135" s="352"/>
      <c r="M135" s="352"/>
      <c r="N135" s="353"/>
      <c r="P135" s="7"/>
    </row>
    <row r="136" spans="1:16" s="3" customFormat="1" ht="18" customHeight="1" x14ac:dyDescent="0.3">
      <c r="A136" s="194">
        <v>129</v>
      </c>
      <c r="B136" s="58"/>
      <c r="C136" s="59"/>
      <c r="D136" s="316" t="s">
        <v>252</v>
      </c>
      <c r="E136" s="795"/>
      <c r="F136" s="795"/>
      <c r="G136" s="796"/>
      <c r="H136" s="1433"/>
      <c r="I136" s="317">
        <f>SUM(J136:N136)</f>
        <v>29241</v>
      </c>
      <c r="J136" s="312">
        <f t="shared" ref="J136:N137" si="1">J144+J140+J158+J166+J170+J174+J178+J182+J162+J148+J152</f>
        <v>0</v>
      </c>
      <c r="K136" s="312">
        <f t="shared" si="1"/>
        <v>0</v>
      </c>
      <c r="L136" s="312">
        <f t="shared" si="1"/>
        <v>1441</v>
      </c>
      <c r="M136" s="312">
        <f t="shared" si="1"/>
        <v>0</v>
      </c>
      <c r="N136" s="313">
        <f t="shared" si="1"/>
        <v>27800</v>
      </c>
      <c r="P136" s="7"/>
    </row>
    <row r="137" spans="1:16" s="3" customFormat="1" ht="18" customHeight="1" x14ac:dyDescent="0.3">
      <c r="A137" s="194">
        <v>130</v>
      </c>
      <c r="B137" s="58"/>
      <c r="C137" s="59"/>
      <c r="D137" s="1003" t="s">
        <v>921</v>
      </c>
      <c r="E137" s="795"/>
      <c r="F137" s="795"/>
      <c r="G137" s="796"/>
      <c r="H137" s="1433"/>
      <c r="I137" s="1448">
        <f>SUM(J137:N137)</f>
        <v>16741</v>
      </c>
      <c r="J137" s="1093">
        <f t="shared" si="1"/>
        <v>0</v>
      </c>
      <c r="K137" s="1093">
        <f t="shared" si="1"/>
        <v>0</v>
      </c>
      <c r="L137" s="1093">
        <f t="shared" si="1"/>
        <v>1441</v>
      </c>
      <c r="M137" s="1093">
        <f t="shared" si="1"/>
        <v>0</v>
      </c>
      <c r="N137" s="1104">
        <f t="shared" si="1"/>
        <v>15300</v>
      </c>
      <c r="P137" s="7"/>
    </row>
    <row r="138" spans="1:16" s="3" customFormat="1" ht="18" customHeight="1" x14ac:dyDescent="0.3">
      <c r="A138" s="194">
        <v>131</v>
      </c>
      <c r="B138" s="58"/>
      <c r="C138" s="59"/>
      <c r="D138" s="1002" t="s">
        <v>973</v>
      </c>
      <c r="E138" s="795"/>
      <c r="F138" s="795"/>
      <c r="G138" s="796"/>
      <c r="H138" s="1433"/>
      <c r="I138" s="415">
        <f>SUM(J138:Q138)</f>
        <v>11541</v>
      </c>
      <c r="J138" s="1094">
        <f>J142+J146+J150+J154+J160+J164+J168+J172+J176+J180+J184</f>
        <v>0</v>
      </c>
      <c r="K138" s="1094">
        <f>K142+K146+K150+K154+K160+K164+K168+K172+K176+K180+K184</f>
        <v>0</v>
      </c>
      <c r="L138" s="1094">
        <v>441</v>
      </c>
      <c r="M138" s="1094">
        <f>M142+M146+M150+M154+M160+M164+M168+M172+M176+M180+M184</f>
        <v>0</v>
      </c>
      <c r="N138" s="1102">
        <v>11100</v>
      </c>
      <c r="P138" s="7"/>
    </row>
    <row r="139" spans="1:16" s="8" customFormat="1" ht="18" customHeight="1" x14ac:dyDescent="0.3">
      <c r="A139" s="194">
        <v>132</v>
      </c>
      <c r="B139" s="63"/>
      <c r="C139" s="59"/>
      <c r="D139" s="64" t="s">
        <v>520</v>
      </c>
      <c r="E139" s="799"/>
      <c r="F139" s="799"/>
      <c r="G139" s="800"/>
      <c r="H139" s="1435"/>
      <c r="I139" s="801"/>
      <c r="J139" s="358"/>
      <c r="K139" s="358"/>
      <c r="L139" s="358"/>
      <c r="M139" s="358"/>
      <c r="N139" s="359"/>
    </row>
    <row r="140" spans="1:16" s="8" customFormat="1" ht="18" customHeight="1" x14ac:dyDescent="0.3">
      <c r="A140" s="194">
        <v>133</v>
      </c>
      <c r="B140" s="63"/>
      <c r="C140" s="59"/>
      <c r="D140" s="327" t="s">
        <v>252</v>
      </c>
      <c r="E140" s="799"/>
      <c r="F140" s="799"/>
      <c r="G140" s="800"/>
      <c r="H140" s="1435"/>
      <c r="I140" s="1450">
        <f>SUM(J140:N140)</f>
        <v>2500</v>
      </c>
      <c r="J140" s="358"/>
      <c r="K140" s="358"/>
      <c r="L140" s="358"/>
      <c r="M140" s="358"/>
      <c r="N140" s="359">
        <v>2500</v>
      </c>
    </row>
    <row r="141" spans="1:16" s="8" customFormat="1" ht="18" customHeight="1" x14ac:dyDescent="0.3">
      <c r="A141" s="194">
        <v>134</v>
      </c>
      <c r="B141" s="63"/>
      <c r="C141" s="59"/>
      <c r="D141" s="1022" t="s">
        <v>921</v>
      </c>
      <c r="E141" s="799"/>
      <c r="F141" s="799"/>
      <c r="G141" s="800"/>
      <c r="H141" s="1435"/>
      <c r="I141" s="799">
        <f>SUM(J141:N141)</f>
        <v>0</v>
      </c>
      <c r="J141" s="1094"/>
      <c r="K141" s="1094"/>
      <c r="L141" s="1094"/>
      <c r="M141" s="1094"/>
      <c r="N141" s="1102">
        <v>0</v>
      </c>
    </row>
    <row r="142" spans="1:16" s="8" customFormat="1" ht="18" customHeight="1" x14ac:dyDescent="0.3">
      <c r="A142" s="194">
        <v>135</v>
      </c>
      <c r="B142" s="63"/>
      <c r="C142" s="59"/>
      <c r="D142" s="1022" t="s">
        <v>972</v>
      </c>
      <c r="E142" s="799"/>
      <c r="F142" s="799"/>
      <c r="G142" s="800"/>
      <c r="H142" s="1435"/>
      <c r="I142" s="415">
        <f>SUM(J142:Q142)</f>
        <v>0</v>
      </c>
      <c r="J142" s="358"/>
      <c r="K142" s="358"/>
      <c r="L142" s="358"/>
      <c r="M142" s="358"/>
      <c r="N142" s="1102">
        <v>0</v>
      </c>
    </row>
    <row r="143" spans="1:16" s="8" customFormat="1" ht="18" customHeight="1" x14ac:dyDescent="0.3">
      <c r="A143" s="194">
        <v>136</v>
      </c>
      <c r="B143" s="63"/>
      <c r="C143" s="59"/>
      <c r="D143" s="64" t="s">
        <v>773</v>
      </c>
      <c r="E143" s="799">
        <v>2000</v>
      </c>
      <c r="F143" s="799">
        <v>1500</v>
      </c>
      <c r="G143" s="800">
        <v>4000</v>
      </c>
      <c r="H143" s="1435"/>
      <c r="I143" s="1451"/>
      <c r="J143" s="360"/>
      <c r="K143" s="360"/>
      <c r="L143" s="360"/>
      <c r="M143" s="360"/>
      <c r="N143" s="361"/>
    </row>
    <row r="144" spans="1:16" s="8" customFormat="1" ht="18" customHeight="1" x14ac:dyDescent="0.3">
      <c r="A144" s="194">
        <v>137</v>
      </c>
      <c r="B144" s="63"/>
      <c r="C144" s="59"/>
      <c r="D144" s="327" t="s">
        <v>252</v>
      </c>
      <c r="E144" s="799"/>
      <c r="F144" s="799"/>
      <c r="G144" s="800"/>
      <c r="H144" s="1435"/>
      <c r="I144" s="1450">
        <f>SUM(J144:N144)</f>
        <v>4000</v>
      </c>
      <c r="J144" s="360"/>
      <c r="K144" s="360"/>
      <c r="L144" s="360"/>
      <c r="M144" s="360"/>
      <c r="N144" s="361">
        <v>4000</v>
      </c>
    </row>
    <row r="145" spans="1:14" s="8" customFormat="1" ht="18" customHeight="1" x14ac:dyDescent="0.3">
      <c r="A145" s="194">
        <v>138</v>
      </c>
      <c r="B145" s="63"/>
      <c r="C145" s="59"/>
      <c r="D145" s="1022" t="s">
        <v>921</v>
      </c>
      <c r="E145" s="799"/>
      <c r="F145" s="799"/>
      <c r="G145" s="800"/>
      <c r="H145" s="1435"/>
      <c r="I145" s="799">
        <f>SUM(J145:N145)</f>
        <v>4000</v>
      </c>
      <c r="J145" s="1107"/>
      <c r="K145" s="1107"/>
      <c r="L145" s="1107"/>
      <c r="M145" s="1107"/>
      <c r="N145" s="1103">
        <v>4000</v>
      </c>
    </row>
    <row r="146" spans="1:14" s="8" customFormat="1" ht="18" customHeight="1" x14ac:dyDescent="0.3">
      <c r="A146" s="194">
        <v>139</v>
      </c>
      <c r="B146" s="63"/>
      <c r="C146" s="59"/>
      <c r="D146" s="1022" t="s">
        <v>973</v>
      </c>
      <c r="E146" s="799"/>
      <c r="F146" s="799"/>
      <c r="G146" s="800"/>
      <c r="H146" s="1435"/>
      <c r="I146" s="415">
        <f>SUM(J146:Q146)</f>
        <v>4000</v>
      </c>
      <c r="J146" s="360"/>
      <c r="K146" s="360"/>
      <c r="L146" s="360"/>
      <c r="M146" s="360"/>
      <c r="N146" s="1103">
        <v>4000</v>
      </c>
    </row>
    <row r="147" spans="1:14" s="8" customFormat="1" ht="18" customHeight="1" x14ac:dyDescent="0.3">
      <c r="A147" s="194">
        <v>140</v>
      </c>
      <c r="B147" s="63"/>
      <c r="C147" s="59"/>
      <c r="D147" s="64" t="s">
        <v>818</v>
      </c>
      <c r="E147" s="799"/>
      <c r="F147" s="799"/>
      <c r="G147" s="800"/>
      <c r="H147" s="1435"/>
      <c r="I147" s="1450"/>
      <c r="J147" s="360"/>
      <c r="K147" s="360"/>
      <c r="L147" s="360"/>
      <c r="M147" s="360"/>
      <c r="N147" s="361"/>
    </row>
    <row r="148" spans="1:14" s="8" customFormat="1" ht="18" customHeight="1" x14ac:dyDescent="0.3">
      <c r="A148" s="194">
        <v>141</v>
      </c>
      <c r="B148" s="63"/>
      <c r="C148" s="59"/>
      <c r="D148" s="327" t="s">
        <v>252</v>
      </c>
      <c r="E148" s="799"/>
      <c r="F148" s="799"/>
      <c r="G148" s="800"/>
      <c r="H148" s="1435"/>
      <c r="I148" s="1450">
        <f>SUM(J148:N148)</f>
        <v>1500</v>
      </c>
      <c r="J148" s="360"/>
      <c r="K148" s="360"/>
      <c r="L148" s="360"/>
      <c r="M148" s="360"/>
      <c r="N148" s="361">
        <v>1500</v>
      </c>
    </row>
    <row r="149" spans="1:14" s="8" customFormat="1" ht="18" customHeight="1" x14ac:dyDescent="0.3">
      <c r="A149" s="194">
        <v>142</v>
      </c>
      <c r="B149" s="63"/>
      <c r="C149" s="59"/>
      <c r="D149" s="1022" t="s">
        <v>921</v>
      </c>
      <c r="E149" s="799"/>
      <c r="F149" s="799"/>
      <c r="G149" s="800"/>
      <c r="H149" s="1435"/>
      <c r="I149" s="799">
        <f>SUM(J149:N149)</f>
        <v>1500</v>
      </c>
      <c r="J149" s="1107"/>
      <c r="K149" s="1107"/>
      <c r="L149" s="1107"/>
      <c r="M149" s="1107"/>
      <c r="N149" s="1103">
        <v>1500</v>
      </c>
    </row>
    <row r="150" spans="1:14" s="8" customFormat="1" ht="18" customHeight="1" x14ac:dyDescent="0.3">
      <c r="A150" s="194">
        <v>143</v>
      </c>
      <c r="B150" s="63"/>
      <c r="C150" s="59"/>
      <c r="D150" s="1022" t="s">
        <v>973</v>
      </c>
      <c r="E150" s="799"/>
      <c r="F150" s="799"/>
      <c r="G150" s="800"/>
      <c r="H150" s="1435"/>
      <c r="I150" s="415">
        <f>SUM(J150:Q150)</f>
        <v>1500</v>
      </c>
      <c r="J150" s="360"/>
      <c r="K150" s="360"/>
      <c r="L150" s="360"/>
      <c r="M150" s="360"/>
      <c r="N150" s="1103">
        <v>1500</v>
      </c>
    </row>
    <row r="151" spans="1:14" s="8" customFormat="1" ht="18" customHeight="1" x14ac:dyDescent="0.3">
      <c r="A151" s="194">
        <v>144</v>
      </c>
      <c r="B151" s="63"/>
      <c r="C151" s="59"/>
      <c r="D151" s="64" t="s">
        <v>774</v>
      </c>
      <c r="E151" s="799"/>
      <c r="F151" s="799"/>
      <c r="G151" s="800"/>
      <c r="H151" s="1435"/>
      <c r="I151" s="1450"/>
      <c r="J151" s="360"/>
      <c r="K151" s="360"/>
      <c r="L151" s="360"/>
      <c r="M151" s="360"/>
      <c r="N151" s="361"/>
    </row>
    <row r="152" spans="1:14" s="8" customFormat="1" ht="18" customHeight="1" x14ac:dyDescent="0.3">
      <c r="A152" s="194">
        <v>145</v>
      </c>
      <c r="B152" s="63"/>
      <c r="C152" s="59"/>
      <c r="D152" s="327" t="s">
        <v>252</v>
      </c>
      <c r="E152" s="799"/>
      <c r="F152" s="799"/>
      <c r="G152" s="800"/>
      <c r="H152" s="1435"/>
      <c r="I152" s="1450">
        <f>SUM(J152:N152)</f>
        <v>2200</v>
      </c>
      <c r="J152" s="360"/>
      <c r="K152" s="360"/>
      <c r="L152" s="360"/>
      <c r="M152" s="360"/>
      <c r="N152" s="361">
        <v>2200</v>
      </c>
    </row>
    <row r="153" spans="1:14" s="8" customFormat="1" ht="18" customHeight="1" x14ac:dyDescent="0.3">
      <c r="A153" s="194">
        <v>146</v>
      </c>
      <c r="B153" s="63"/>
      <c r="C153" s="59"/>
      <c r="D153" s="1022" t="s">
        <v>921</v>
      </c>
      <c r="E153" s="799"/>
      <c r="F153" s="799"/>
      <c r="G153" s="800"/>
      <c r="H153" s="1435"/>
      <c r="I153" s="799">
        <f>SUM(J153:N153)</f>
        <v>2200</v>
      </c>
      <c r="J153" s="1107"/>
      <c r="K153" s="1107"/>
      <c r="L153" s="1107"/>
      <c r="M153" s="1107"/>
      <c r="N153" s="1103">
        <v>2200</v>
      </c>
    </row>
    <row r="154" spans="1:14" s="8" customFormat="1" ht="18" customHeight="1" x14ac:dyDescent="0.3">
      <c r="A154" s="194">
        <v>147</v>
      </c>
      <c r="B154" s="63"/>
      <c r="C154" s="59"/>
      <c r="D154" s="1022" t="s">
        <v>973</v>
      </c>
      <c r="E154" s="799"/>
      <c r="F154" s="799"/>
      <c r="G154" s="800"/>
      <c r="H154" s="1435"/>
      <c r="I154" s="415">
        <f>SUM(J154:Q154)</f>
        <v>2200</v>
      </c>
      <c r="J154" s="360"/>
      <c r="K154" s="360"/>
      <c r="L154" s="360"/>
      <c r="M154" s="360"/>
      <c r="N154" s="1103">
        <v>2200</v>
      </c>
    </row>
    <row r="155" spans="1:14" s="8" customFormat="1" ht="18" customHeight="1" x14ac:dyDescent="0.3">
      <c r="A155" s="194">
        <v>148</v>
      </c>
      <c r="B155" s="63"/>
      <c r="C155" s="59"/>
      <c r="D155" s="64" t="s">
        <v>373</v>
      </c>
      <c r="E155" s="799">
        <v>500</v>
      </c>
      <c r="F155" s="799">
        <v>500</v>
      </c>
      <c r="G155" s="800"/>
      <c r="H155" s="1435"/>
      <c r="I155" s="1450"/>
      <c r="J155" s="358"/>
      <c r="K155" s="358"/>
      <c r="L155" s="358"/>
      <c r="M155" s="358"/>
      <c r="N155" s="359"/>
    </row>
    <row r="156" spans="1:14" s="8" customFormat="1" ht="18" customHeight="1" x14ac:dyDescent="0.3">
      <c r="A156" s="194">
        <v>149</v>
      </c>
      <c r="B156" s="63"/>
      <c r="C156" s="59"/>
      <c r="D156" s="64" t="s">
        <v>392</v>
      </c>
      <c r="E156" s="799">
        <v>1000</v>
      </c>
      <c r="F156" s="799"/>
      <c r="G156" s="800"/>
      <c r="H156" s="1435"/>
      <c r="I156" s="801"/>
      <c r="J156" s="358"/>
      <c r="K156" s="358"/>
      <c r="L156" s="358"/>
      <c r="M156" s="358"/>
      <c r="N156" s="359"/>
    </row>
    <row r="157" spans="1:14" s="8" customFormat="1" ht="18" customHeight="1" x14ac:dyDescent="0.3">
      <c r="A157" s="194">
        <v>150</v>
      </c>
      <c r="B157" s="63"/>
      <c r="C157" s="59"/>
      <c r="D157" s="64" t="s">
        <v>599</v>
      </c>
      <c r="E157" s="799"/>
      <c r="F157" s="799"/>
      <c r="G157" s="800"/>
      <c r="H157" s="1435"/>
      <c r="I157" s="1450"/>
      <c r="J157" s="358"/>
      <c r="K157" s="358"/>
      <c r="L157" s="358"/>
      <c r="M157" s="358"/>
      <c r="N157" s="359"/>
    </row>
    <row r="158" spans="1:14" s="8" customFormat="1" ht="18" customHeight="1" x14ac:dyDescent="0.3">
      <c r="A158" s="194">
        <v>151</v>
      </c>
      <c r="B158" s="63"/>
      <c r="C158" s="59"/>
      <c r="D158" s="327" t="s">
        <v>252</v>
      </c>
      <c r="E158" s="799"/>
      <c r="F158" s="799"/>
      <c r="G158" s="800"/>
      <c r="H158" s="1435"/>
      <c r="I158" s="1450">
        <f>SUM(J158:N158)</f>
        <v>1500</v>
      </c>
      <c r="J158" s="358"/>
      <c r="K158" s="358"/>
      <c r="L158" s="358"/>
      <c r="M158" s="358"/>
      <c r="N158" s="359">
        <v>1500</v>
      </c>
    </row>
    <row r="159" spans="1:14" s="8" customFormat="1" ht="18" customHeight="1" x14ac:dyDescent="0.3">
      <c r="A159" s="194">
        <v>152</v>
      </c>
      <c r="B159" s="63"/>
      <c r="C159" s="59"/>
      <c r="D159" s="1022" t="s">
        <v>921</v>
      </c>
      <c r="E159" s="799"/>
      <c r="F159" s="799"/>
      <c r="G159" s="800"/>
      <c r="H159" s="1435"/>
      <c r="I159" s="799">
        <f>SUM(J159:N159)</f>
        <v>1500</v>
      </c>
      <c r="J159" s="1094"/>
      <c r="K159" s="1094"/>
      <c r="L159" s="1094"/>
      <c r="M159" s="1094"/>
      <c r="N159" s="1102">
        <v>1500</v>
      </c>
    </row>
    <row r="160" spans="1:14" s="8" customFormat="1" ht="18" customHeight="1" x14ac:dyDescent="0.3">
      <c r="A160" s="194">
        <v>153</v>
      </c>
      <c r="B160" s="63"/>
      <c r="C160" s="59"/>
      <c r="D160" s="1022" t="s">
        <v>973</v>
      </c>
      <c r="E160" s="799"/>
      <c r="F160" s="799"/>
      <c r="G160" s="800"/>
      <c r="H160" s="1435"/>
      <c r="I160" s="415">
        <f>SUM(J160:Q160)</f>
        <v>1500</v>
      </c>
      <c r="J160" s="358"/>
      <c r="K160" s="358"/>
      <c r="L160" s="358"/>
      <c r="M160" s="358"/>
      <c r="N160" s="1102">
        <v>1500</v>
      </c>
    </row>
    <row r="161" spans="1:14" s="8" customFormat="1" ht="18" customHeight="1" x14ac:dyDescent="0.3">
      <c r="A161" s="194">
        <v>154</v>
      </c>
      <c r="B161" s="63"/>
      <c r="C161" s="59"/>
      <c r="D161" s="64" t="s">
        <v>604</v>
      </c>
      <c r="E161" s="799"/>
      <c r="F161" s="799"/>
      <c r="G161" s="800"/>
      <c r="H161" s="1435"/>
      <c r="I161" s="801"/>
      <c r="J161" s="358"/>
      <c r="K161" s="358"/>
      <c r="L161" s="358"/>
      <c r="M161" s="358"/>
      <c r="N161" s="359"/>
    </row>
    <row r="162" spans="1:14" s="8" customFormat="1" ht="18" customHeight="1" x14ac:dyDescent="0.3">
      <c r="A162" s="194">
        <v>155</v>
      </c>
      <c r="B162" s="63"/>
      <c r="C162" s="59"/>
      <c r="D162" s="327" t="s">
        <v>252</v>
      </c>
      <c r="E162" s="799"/>
      <c r="F162" s="799"/>
      <c r="G162" s="800"/>
      <c r="H162" s="1435"/>
      <c r="I162" s="1450">
        <f>SUM(J162:N162)</f>
        <v>1400</v>
      </c>
      <c r="J162" s="358"/>
      <c r="K162" s="358"/>
      <c r="L162" s="358"/>
      <c r="M162" s="358"/>
      <c r="N162" s="359">
        <v>1400</v>
      </c>
    </row>
    <row r="163" spans="1:14" s="8" customFormat="1" ht="18" customHeight="1" x14ac:dyDescent="0.3">
      <c r="A163" s="194">
        <v>156</v>
      </c>
      <c r="B163" s="63"/>
      <c r="C163" s="59"/>
      <c r="D163" s="1022" t="s">
        <v>921</v>
      </c>
      <c r="E163" s="799"/>
      <c r="F163" s="799"/>
      <c r="G163" s="800"/>
      <c r="H163" s="1435"/>
      <c r="I163" s="799">
        <f>SUM(J163:N163)</f>
        <v>1400</v>
      </c>
      <c r="J163" s="1094"/>
      <c r="K163" s="1094"/>
      <c r="L163" s="1094"/>
      <c r="M163" s="1094"/>
      <c r="N163" s="1102">
        <v>1400</v>
      </c>
    </row>
    <row r="164" spans="1:14" s="8" customFormat="1" ht="18" customHeight="1" x14ac:dyDescent="0.3">
      <c r="A164" s="194">
        <v>157</v>
      </c>
      <c r="B164" s="63"/>
      <c r="C164" s="59"/>
      <c r="D164" s="1022" t="s">
        <v>973</v>
      </c>
      <c r="E164" s="799"/>
      <c r="F164" s="799"/>
      <c r="G164" s="800"/>
      <c r="H164" s="1435"/>
      <c r="I164" s="415">
        <f>SUM(J164:Q164)</f>
        <v>1400</v>
      </c>
      <c r="J164" s="358"/>
      <c r="K164" s="358"/>
      <c r="L164" s="358"/>
      <c r="M164" s="358"/>
      <c r="N164" s="1102">
        <v>1400</v>
      </c>
    </row>
    <row r="165" spans="1:14" s="8" customFormat="1" ht="18" customHeight="1" x14ac:dyDescent="0.3">
      <c r="A165" s="194">
        <v>158</v>
      </c>
      <c r="B165" s="63"/>
      <c r="C165" s="59"/>
      <c r="D165" s="64" t="s">
        <v>600</v>
      </c>
      <c r="E165" s="799"/>
      <c r="F165" s="799"/>
      <c r="G165" s="800"/>
      <c r="H165" s="1435"/>
      <c r="I165" s="801"/>
      <c r="J165" s="358"/>
      <c r="K165" s="358"/>
      <c r="L165" s="358"/>
      <c r="M165" s="358"/>
      <c r="N165" s="359"/>
    </row>
    <row r="166" spans="1:14" s="8" customFormat="1" ht="18" customHeight="1" x14ac:dyDescent="0.3">
      <c r="A166" s="194">
        <v>159</v>
      </c>
      <c r="B166" s="63"/>
      <c r="C166" s="59"/>
      <c r="D166" s="327" t="s">
        <v>252</v>
      </c>
      <c r="E166" s="799"/>
      <c r="F166" s="799"/>
      <c r="G166" s="800"/>
      <c r="H166" s="1435"/>
      <c r="I166" s="1450">
        <f>SUM(J166:N166)</f>
        <v>10000</v>
      </c>
      <c r="J166" s="358"/>
      <c r="K166" s="358"/>
      <c r="L166" s="358"/>
      <c r="M166" s="358"/>
      <c r="N166" s="359">
        <v>10000</v>
      </c>
    </row>
    <row r="167" spans="1:14" s="8" customFormat="1" ht="18" customHeight="1" x14ac:dyDescent="0.3">
      <c r="A167" s="194">
        <v>160</v>
      </c>
      <c r="B167" s="63"/>
      <c r="C167" s="59"/>
      <c r="D167" s="1022" t="s">
        <v>921</v>
      </c>
      <c r="E167" s="1105"/>
      <c r="F167" s="799"/>
      <c r="G167" s="800"/>
      <c r="H167" s="1435"/>
      <c r="I167" s="799">
        <f>SUM(J167:N167)</f>
        <v>0</v>
      </c>
      <c r="J167" s="1094"/>
      <c r="K167" s="1094"/>
      <c r="L167" s="1094"/>
      <c r="M167" s="1094"/>
      <c r="N167" s="1102">
        <v>0</v>
      </c>
    </row>
    <row r="168" spans="1:14" s="8" customFormat="1" ht="18" customHeight="1" x14ac:dyDescent="0.3">
      <c r="A168" s="194">
        <v>161</v>
      </c>
      <c r="B168" s="63"/>
      <c r="C168" s="59"/>
      <c r="D168" s="1022" t="s">
        <v>972</v>
      </c>
      <c r="E168" s="1105"/>
      <c r="F168" s="799"/>
      <c r="G168" s="800"/>
      <c r="H168" s="1435"/>
      <c r="I168" s="415">
        <f>SUM(J168:Q168)</f>
        <v>0</v>
      </c>
      <c r="J168" s="358"/>
      <c r="K168" s="358"/>
      <c r="L168" s="358"/>
      <c r="M168" s="358"/>
      <c r="N168" s="1102">
        <v>0</v>
      </c>
    </row>
    <row r="169" spans="1:14" s="8" customFormat="1" ht="18" customHeight="1" x14ac:dyDescent="0.3">
      <c r="A169" s="194">
        <v>162</v>
      </c>
      <c r="B169" s="63"/>
      <c r="C169" s="59"/>
      <c r="D169" s="1921" t="s">
        <v>787</v>
      </c>
      <c r="E169" s="1922"/>
      <c r="F169" s="799"/>
      <c r="G169" s="800"/>
      <c r="H169" s="1435"/>
      <c r="I169" s="801"/>
      <c r="J169" s="358"/>
      <c r="K169" s="358"/>
      <c r="L169" s="358"/>
      <c r="M169" s="358"/>
      <c r="N169" s="359"/>
    </row>
    <row r="170" spans="1:14" s="8" customFormat="1" ht="18" customHeight="1" x14ac:dyDescent="0.3">
      <c r="A170" s="194">
        <v>163</v>
      </c>
      <c r="B170" s="63"/>
      <c r="C170" s="59"/>
      <c r="D170" s="327" t="s">
        <v>252</v>
      </c>
      <c r="E170" s="799"/>
      <c r="F170" s="799"/>
      <c r="G170" s="800"/>
      <c r="H170" s="1435"/>
      <c r="I170" s="1450">
        <f>SUM(J170:N170)</f>
        <v>500</v>
      </c>
      <c r="J170" s="358"/>
      <c r="K170" s="358"/>
      <c r="L170" s="358"/>
      <c r="M170" s="358"/>
      <c r="N170" s="359">
        <v>500</v>
      </c>
    </row>
    <row r="171" spans="1:14" s="8" customFormat="1" ht="18" customHeight="1" x14ac:dyDescent="0.3">
      <c r="A171" s="194">
        <v>164</v>
      </c>
      <c r="B171" s="63"/>
      <c r="C171" s="59"/>
      <c r="D171" s="1022" t="s">
        <v>921</v>
      </c>
      <c r="E171" s="799"/>
      <c r="F171" s="799"/>
      <c r="G171" s="800"/>
      <c r="H171" s="1435"/>
      <c r="I171" s="799">
        <f>SUM(J171:N171)</f>
        <v>500</v>
      </c>
      <c r="J171" s="1094"/>
      <c r="K171" s="1094"/>
      <c r="L171" s="1094"/>
      <c r="M171" s="1094"/>
      <c r="N171" s="1102">
        <v>500</v>
      </c>
    </row>
    <row r="172" spans="1:14" s="8" customFormat="1" ht="18" customHeight="1" x14ac:dyDescent="0.3">
      <c r="A172" s="194">
        <v>165</v>
      </c>
      <c r="B172" s="63"/>
      <c r="C172" s="59"/>
      <c r="D172" s="1022" t="s">
        <v>973</v>
      </c>
      <c r="E172" s="799"/>
      <c r="F172" s="799"/>
      <c r="G172" s="800"/>
      <c r="H172" s="1435"/>
      <c r="I172" s="415">
        <f>SUM(J172:Q172)</f>
        <v>500</v>
      </c>
      <c r="J172" s="358"/>
      <c r="K172" s="358"/>
      <c r="L172" s="358"/>
      <c r="M172" s="358"/>
      <c r="N172" s="1102">
        <v>500</v>
      </c>
    </row>
    <row r="173" spans="1:14" s="8" customFormat="1" ht="18" customHeight="1" x14ac:dyDescent="0.3">
      <c r="A173" s="194">
        <v>166</v>
      </c>
      <c r="B173" s="63"/>
      <c r="C173" s="59"/>
      <c r="D173" s="64" t="s">
        <v>601</v>
      </c>
      <c r="E173" s="799"/>
      <c r="F173" s="799"/>
      <c r="G173" s="800"/>
      <c r="H173" s="1435"/>
      <c r="I173" s="801"/>
      <c r="J173" s="358"/>
      <c r="K173" s="358"/>
      <c r="L173" s="358"/>
      <c r="M173" s="358"/>
      <c r="N173" s="359"/>
    </row>
    <row r="174" spans="1:14" s="8" customFormat="1" ht="18" customHeight="1" x14ac:dyDescent="0.3">
      <c r="A174" s="194">
        <v>167</v>
      </c>
      <c r="B174" s="63"/>
      <c r="C174" s="59"/>
      <c r="D174" s="327" t="s">
        <v>252</v>
      </c>
      <c r="E174" s="799"/>
      <c r="F174" s="799"/>
      <c r="G174" s="800"/>
      <c r="H174" s="1435"/>
      <c r="I174" s="1450">
        <f>SUM(J174:N174)</f>
        <v>4200</v>
      </c>
      <c r="J174" s="358"/>
      <c r="K174" s="358"/>
      <c r="L174" s="358"/>
      <c r="M174" s="358"/>
      <c r="N174" s="359">
        <f>3000+1200</f>
        <v>4200</v>
      </c>
    </row>
    <row r="175" spans="1:14" s="8" customFormat="1" ht="18" customHeight="1" x14ac:dyDescent="0.3">
      <c r="A175" s="194">
        <v>168</v>
      </c>
      <c r="B175" s="63"/>
      <c r="C175" s="59"/>
      <c r="D175" s="1022" t="s">
        <v>921</v>
      </c>
      <c r="E175" s="799"/>
      <c r="F175" s="799"/>
      <c r="G175" s="800"/>
      <c r="H175" s="1435"/>
      <c r="I175" s="799">
        <f>SUM(J175:N175)</f>
        <v>4200</v>
      </c>
      <c r="J175" s="1094"/>
      <c r="K175" s="1094"/>
      <c r="L175" s="1094"/>
      <c r="M175" s="1094"/>
      <c r="N175" s="1102">
        <v>4200</v>
      </c>
    </row>
    <row r="176" spans="1:14" s="8" customFormat="1" ht="18" customHeight="1" x14ac:dyDescent="0.3">
      <c r="A176" s="194">
        <v>169</v>
      </c>
      <c r="B176" s="63"/>
      <c r="C176" s="59"/>
      <c r="D176" s="1022" t="s">
        <v>973</v>
      </c>
      <c r="E176" s="799"/>
      <c r="F176" s="799"/>
      <c r="G176" s="800"/>
      <c r="H176" s="1435"/>
      <c r="I176" s="415">
        <f>SUM(J176:Q176)</f>
        <v>0</v>
      </c>
      <c r="J176" s="358"/>
      <c r="K176" s="358"/>
      <c r="L176" s="358"/>
      <c r="M176" s="358"/>
      <c r="N176" s="1102">
        <v>0</v>
      </c>
    </row>
    <row r="177" spans="1:14" s="8" customFormat="1" ht="18" customHeight="1" x14ac:dyDescent="0.3">
      <c r="A177" s="194">
        <v>170</v>
      </c>
      <c r="B177" s="63"/>
      <c r="C177" s="59"/>
      <c r="D177" s="64" t="s">
        <v>602</v>
      </c>
      <c r="E177" s="799"/>
      <c r="F177" s="799"/>
      <c r="G177" s="800"/>
      <c r="H177" s="1435"/>
      <c r="I177" s="1450"/>
      <c r="J177" s="358"/>
      <c r="K177" s="358"/>
      <c r="L177" s="358"/>
      <c r="M177" s="358"/>
      <c r="N177" s="359"/>
    </row>
    <row r="178" spans="1:14" s="8" customFormat="1" ht="18" customHeight="1" x14ac:dyDescent="0.3">
      <c r="A178" s="194">
        <v>171</v>
      </c>
      <c r="B178" s="63"/>
      <c r="C178" s="59"/>
      <c r="D178" s="327" t="s">
        <v>252</v>
      </c>
      <c r="E178" s="799"/>
      <c r="F178" s="799"/>
      <c r="G178" s="800"/>
      <c r="H178" s="1435"/>
      <c r="I178" s="1450">
        <f>SUM(J178:N178)</f>
        <v>1000</v>
      </c>
      <c r="J178" s="358"/>
      <c r="K178" s="358"/>
      <c r="L178" s="358">
        <v>1000</v>
      </c>
      <c r="M178" s="358"/>
      <c r="N178" s="359"/>
    </row>
    <row r="179" spans="1:14" s="8" customFormat="1" ht="18" customHeight="1" x14ac:dyDescent="0.3">
      <c r="A179" s="194">
        <v>172</v>
      </c>
      <c r="B179" s="63"/>
      <c r="C179" s="59"/>
      <c r="D179" s="1022" t="s">
        <v>921</v>
      </c>
      <c r="E179" s="799"/>
      <c r="F179" s="799"/>
      <c r="G179" s="800"/>
      <c r="H179" s="1435"/>
      <c r="I179" s="799">
        <f>SUM(J179:N179)</f>
        <v>1000</v>
      </c>
      <c r="J179" s="1094"/>
      <c r="K179" s="1094"/>
      <c r="L179" s="1094">
        <v>1000</v>
      </c>
      <c r="M179" s="358"/>
      <c r="N179" s="359"/>
    </row>
    <row r="180" spans="1:14" s="8" customFormat="1" ht="18" customHeight="1" x14ac:dyDescent="0.3">
      <c r="A180" s="194">
        <v>173</v>
      </c>
      <c r="B180" s="63"/>
      <c r="C180" s="59"/>
      <c r="D180" s="1022" t="s">
        <v>973</v>
      </c>
      <c r="E180" s="799"/>
      <c r="F180" s="799"/>
      <c r="G180" s="800"/>
      <c r="H180" s="1435"/>
      <c r="I180" s="415">
        <f>SUM(J180:Q180)</f>
        <v>0</v>
      </c>
      <c r="J180" s="358"/>
      <c r="K180" s="358"/>
      <c r="L180" s="1094">
        <v>0</v>
      </c>
      <c r="M180" s="358"/>
      <c r="N180" s="359"/>
    </row>
    <row r="181" spans="1:14" s="8" customFormat="1" ht="18" customHeight="1" x14ac:dyDescent="0.3">
      <c r="A181" s="194">
        <v>174</v>
      </c>
      <c r="B181" s="63"/>
      <c r="C181" s="59"/>
      <c r="D181" s="64" t="s">
        <v>603</v>
      </c>
      <c r="E181" s="799"/>
      <c r="F181" s="799"/>
      <c r="G181" s="800"/>
      <c r="H181" s="1435"/>
      <c r="I181" s="801"/>
      <c r="J181" s="358"/>
      <c r="K181" s="358"/>
      <c r="L181" s="358"/>
      <c r="M181" s="358"/>
      <c r="N181" s="359"/>
    </row>
    <row r="182" spans="1:14" s="8" customFormat="1" ht="18" customHeight="1" x14ac:dyDescent="0.3">
      <c r="A182" s="194">
        <v>175</v>
      </c>
      <c r="B182" s="63"/>
      <c r="C182" s="59"/>
      <c r="D182" s="327" t="s">
        <v>252</v>
      </c>
      <c r="E182" s="799"/>
      <c r="F182" s="799"/>
      <c r="G182" s="800"/>
      <c r="H182" s="1435"/>
      <c r="I182" s="1450">
        <f>SUM(J182:N182)</f>
        <v>441</v>
      </c>
      <c r="J182" s="358"/>
      <c r="K182" s="358"/>
      <c r="L182" s="358">
        <v>441</v>
      </c>
      <c r="M182" s="358"/>
      <c r="N182" s="359"/>
    </row>
    <row r="183" spans="1:14" s="8" customFormat="1" ht="18" customHeight="1" x14ac:dyDescent="0.3">
      <c r="A183" s="194">
        <v>176</v>
      </c>
      <c r="B183" s="63"/>
      <c r="C183" s="59"/>
      <c r="D183" s="1022" t="s">
        <v>921</v>
      </c>
      <c r="E183" s="799"/>
      <c r="F183" s="799"/>
      <c r="G183" s="800"/>
      <c r="H183" s="1435"/>
      <c r="I183" s="799">
        <f>SUM(J183:N183)</f>
        <v>441</v>
      </c>
      <c r="J183" s="1094"/>
      <c r="K183" s="1094"/>
      <c r="L183" s="1094">
        <v>441</v>
      </c>
      <c r="M183" s="358"/>
      <c r="N183" s="359"/>
    </row>
    <row r="184" spans="1:14" s="8" customFormat="1" ht="18" customHeight="1" x14ac:dyDescent="0.3">
      <c r="A184" s="194">
        <v>177</v>
      </c>
      <c r="B184" s="63"/>
      <c r="C184" s="59"/>
      <c r="D184" s="1022" t="s">
        <v>973</v>
      </c>
      <c r="E184" s="799"/>
      <c r="F184" s="799"/>
      <c r="G184" s="800"/>
      <c r="H184" s="1435"/>
      <c r="I184" s="415">
        <f>SUM(J184:Q184)</f>
        <v>441</v>
      </c>
      <c r="J184" s="358"/>
      <c r="K184" s="358"/>
      <c r="L184" s="1094">
        <v>441</v>
      </c>
      <c r="M184" s="358"/>
      <c r="N184" s="359"/>
    </row>
    <row r="185" spans="1:14" s="8" customFormat="1" ht="22.5" customHeight="1" x14ac:dyDescent="0.3">
      <c r="A185" s="194">
        <v>178</v>
      </c>
      <c r="B185" s="63"/>
      <c r="C185" s="59">
        <v>14</v>
      </c>
      <c r="D185" s="190" t="s">
        <v>358</v>
      </c>
      <c r="E185" s="799">
        <v>1250</v>
      </c>
      <c r="F185" s="799">
        <v>1250</v>
      </c>
      <c r="G185" s="800">
        <v>1250</v>
      </c>
      <c r="H185" s="1433" t="s">
        <v>24</v>
      </c>
      <c r="I185" s="801"/>
      <c r="J185" s="358"/>
      <c r="K185" s="358"/>
      <c r="L185" s="358"/>
      <c r="M185" s="358"/>
      <c r="N185" s="359"/>
    </row>
    <row r="186" spans="1:14" s="326" customFormat="1" ht="18" customHeight="1" x14ac:dyDescent="0.3">
      <c r="A186" s="194">
        <v>179</v>
      </c>
      <c r="B186" s="322"/>
      <c r="C186" s="332"/>
      <c r="D186" s="316" t="s">
        <v>252</v>
      </c>
      <c r="E186" s="801"/>
      <c r="F186" s="801"/>
      <c r="G186" s="802"/>
      <c r="H186" s="1434"/>
      <c r="I186" s="317">
        <f>SUM(J186:N186)</f>
        <v>1250</v>
      </c>
      <c r="J186" s="324"/>
      <c r="K186" s="324"/>
      <c r="L186" s="324"/>
      <c r="M186" s="324"/>
      <c r="N186" s="313">
        <v>1250</v>
      </c>
    </row>
    <row r="187" spans="1:14" s="326" customFormat="1" ht="18" customHeight="1" x14ac:dyDescent="0.3">
      <c r="A187" s="194">
        <v>180</v>
      </c>
      <c r="B187" s="322"/>
      <c r="C187" s="332"/>
      <c r="D187" s="1003" t="s">
        <v>921</v>
      </c>
      <c r="E187" s="801"/>
      <c r="F187" s="801"/>
      <c r="G187" s="802"/>
      <c r="H187" s="1434"/>
      <c r="I187" s="1448">
        <f>SUM(J187:N187)</f>
        <v>1250</v>
      </c>
      <c r="J187" s="1095"/>
      <c r="K187" s="1095"/>
      <c r="L187" s="1095"/>
      <c r="M187" s="1095"/>
      <c r="N187" s="1104">
        <v>1250</v>
      </c>
    </row>
    <row r="188" spans="1:14" s="326" customFormat="1" ht="18" customHeight="1" x14ac:dyDescent="0.3">
      <c r="A188" s="194">
        <v>181</v>
      </c>
      <c r="B188" s="322"/>
      <c r="C188" s="332"/>
      <c r="D188" s="1002" t="s">
        <v>973</v>
      </c>
      <c r="E188" s="801"/>
      <c r="F188" s="801"/>
      <c r="G188" s="802"/>
      <c r="H188" s="1434"/>
      <c r="I188" s="415">
        <f>SUM(J188:Q188)</f>
        <v>1250</v>
      </c>
      <c r="J188" s="324"/>
      <c r="K188" s="324"/>
      <c r="L188" s="324"/>
      <c r="M188" s="324"/>
      <c r="N188" s="1102">
        <v>1250</v>
      </c>
    </row>
    <row r="189" spans="1:14" s="8" customFormat="1" ht="22.5" customHeight="1" x14ac:dyDescent="0.3">
      <c r="A189" s="194">
        <v>182</v>
      </c>
      <c r="B189" s="63"/>
      <c r="C189" s="59">
        <v>15</v>
      </c>
      <c r="D189" s="190" t="s">
        <v>359</v>
      </c>
      <c r="E189" s="799">
        <v>1250</v>
      </c>
      <c r="F189" s="799">
        <v>1250</v>
      </c>
      <c r="G189" s="800">
        <v>5653</v>
      </c>
      <c r="H189" s="1433" t="s">
        <v>24</v>
      </c>
      <c r="I189" s="801"/>
      <c r="J189" s="358"/>
      <c r="K189" s="358"/>
      <c r="L189" s="358"/>
      <c r="M189" s="358"/>
      <c r="N189" s="359"/>
    </row>
    <row r="190" spans="1:14" s="326" customFormat="1" ht="18" customHeight="1" x14ac:dyDescent="0.3">
      <c r="A190" s="194">
        <v>183</v>
      </c>
      <c r="B190" s="322"/>
      <c r="C190" s="332"/>
      <c r="D190" s="316" t="s">
        <v>252</v>
      </c>
      <c r="E190" s="801"/>
      <c r="F190" s="801"/>
      <c r="G190" s="802"/>
      <c r="H190" s="1434"/>
      <c r="I190" s="317">
        <f>SUM(J190:N190)</f>
        <v>5000</v>
      </c>
      <c r="J190" s="324"/>
      <c r="K190" s="324"/>
      <c r="L190" s="324"/>
      <c r="M190" s="324"/>
      <c r="N190" s="313">
        <v>5000</v>
      </c>
    </row>
    <row r="191" spans="1:14" s="326" customFormat="1" ht="18" customHeight="1" x14ac:dyDescent="0.3">
      <c r="A191" s="194">
        <v>184</v>
      </c>
      <c r="B191" s="322"/>
      <c r="C191" s="332"/>
      <c r="D191" s="1003" t="s">
        <v>921</v>
      </c>
      <c r="E191" s="801"/>
      <c r="F191" s="801"/>
      <c r="G191" s="802"/>
      <c r="H191" s="1434"/>
      <c r="I191" s="1448">
        <f>SUM(J191:N191)</f>
        <v>5000</v>
      </c>
      <c r="J191" s="1095"/>
      <c r="K191" s="1095"/>
      <c r="L191" s="1095"/>
      <c r="M191" s="1095"/>
      <c r="N191" s="1104">
        <v>5000</v>
      </c>
    </row>
    <row r="192" spans="1:14" s="326" customFormat="1" ht="18" customHeight="1" x14ac:dyDescent="0.3">
      <c r="A192" s="194">
        <v>185</v>
      </c>
      <c r="B192" s="322"/>
      <c r="C192" s="332"/>
      <c r="D192" s="1002" t="s">
        <v>973</v>
      </c>
      <c r="E192" s="801"/>
      <c r="F192" s="801"/>
      <c r="G192" s="802"/>
      <c r="H192" s="1434"/>
      <c r="I192" s="415">
        <f>SUM(J192:Q192)</f>
        <v>5000</v>
      </c>
      <c r="J192" s="324"/>
      <c r="K192" s="324"/>
      <c r="L192" s="324"/>
      <c r="M192" s="324"/>
      <c r="N192" s="1102">
        <v>5000</v>
      </c>
    </row>
    <row r="193" spans="1:16" s="8" customFormat="1" ht="22.5" customHeight="1" x14ac:dyDescent="0.3">
      <c r="A193" s="194">
        <v>186</v>
      </c>
      <c r="B193" s="63"/>
      <c r="C193" s="59">
        <v>16</v>
      </c>
      <c r="D193" s="190" t="s">
        <v>845</v>
      </c>
      <c r="E193" s="799"/>
      <c r="F193" s="799"/>
      <c r="G193" s="800"/>
      <c r="H193" s="1433" t="s">
        <v>24</v>
      </c>
      <c r="I193" s="801"/>
      <c r="J193" s="358"/>
      <c r="K193" s="358"/>
      <c r="L193" s="358"/>
      <c r="M193" s="358"/>
      <c r="N193" s="359"/>
    </row>
    <row r="194" spans="1:16" s="326" customFormat="1" ht="18" customHeight="1" x14ac:dyDescent="0.3">
      <c r="A194" s="194">
        <v>187</v>
      </c>
      <c r="B194" s="322"/>
      <c r="C194" s="332"/>
      <c r="D194" s="316" t="s">
        <v>252</v>
      </c>
      <c r="E194" s="801"/>
      <c r="F194" s="801"/>
      <c r="G194" s="802"/>
      <c r="H194" s="1436"/>
      <c r="I194" s="317">
        <f>SUM(J194:N194)</f>
        <v>2100</v>
      </c>
      <c r="J194" s="324"/>
      <c r="K194" s="324"/>
      <c r="L194" s="324"/>
      <c r="M194" s="324"/>
      <c r="N194" s="313">
        <v>2100</v>
      </c>
    </row>
    <row r="195" spans="1:16" s="326" customFormat="1" ht="18" customHeight="1" x14ac:dyDescent="0.3">
      <c r="A195" s="194">
        <v>188</v>
      </c>
      <c r="B195" s="322"/>
      <c r="C195" s="332"/>
      <c r="D195" s="1003" t="s">
        <v>921</v>
      </c>
      <c r="E195" s="801"/>
      <c r="F195" s="801"/>
      <c r="G195" s="802"/>
      <c r="H195" s="1436"/>
      <c r="I195" s="1448">
        <f>SUM(J195:N195)</f>
        <v>2100</v>
      </c>
      <c r="J195" s="1095"/>
      <c r="K195" s="1095"/>
      <c r="L195" s="1095"/>
      <c r="M195" s="1095"/>
      <c r="N195" s="1104">
        <v>2100</v>
      </c>
    </row>
    <row r="196" spans="1:16" s="326" customFormat="1" ht="18" customHeight="1" x14ac:dyDescent="0.3">
      <c r="A196" s="194">
        <v>189</v>
      </c>
      <c r="B196" s="322"/>
      <c r="C196" s="332"/>
      <c r="D196" s="1002" t="s">
        <v>973</v>
      </c>
      <c r="E196" s="801"/>
      <c r="F196" s="801"/>
      <c r="G196" s="802"/>
      <c r="H196" s="1436"/>
      <c r="I196" s="415">
        <f>SUM(J196:Q196)</f>
        <v>0</v>
      </c>
      <c r="J196" s="324"/>
      <c r="K196" s="324"/>
      <c r="L196" s="324"/>
      <c r="M196" s="324"/>
      <c r="N196" s="1102">
        <v>0</v>
      </c>
    </row>
    <row r="197" spans="1:16" s="8" customFormat="1" ht="22.5" customHeight="1" x14ac:dyDescent="0.3">
      <c r="A197" s="194">
        <v>190</v>
      </c>
      <c r="B197" s="63"/>
      <c r="C197" s="59">
        <v>17</v>
      </c>
      <c r="D197" s="190" t="s">
        <v>320</v>
      </c>
      <c r="E197" s="799">
        <v>500</v>
      </c>
      <c r="F197" s="799">
        <v>500</v>
      </c>
      <c r="G197" s="800">
        <v>500</v>
      </c>
      <c r="H197" s="1433" t="s">
        <v>24</v>
      </c>
      <c r="I197" s="801"/>
      <c r="J197" s="358"/>
      <c r="K197" s="358"/>
      <c r="L197" s="358"/>
      <c r="M197" s="358"/>
      <c r="N197" s="359"/>
    </row>
    <row r="198" spans="1:16" s="326" customFormat="1" ht="18" customHeight="1" x14ac:dyDescent="0.3">
      <c r="A198" s="194">
        <v>191</v>
      </c>
      <c r="B198" s="322"/>
      <c r="C198" s="332"/>
      <c r="D198" s="316" t="s">
        <v>252</v>
      </c>
      <c r="F198" s="1108"/>
      <c r="H198" s="1436"/>
      <c r="I198" s="317">
        <f>SUM(J198:N198)</f>
        <v>2500</v>
      </c>
      <c r="J198" s="324"/>
      <c r="K198" s="324"/>
      <c r="L198" s="324"/>
      <c r="M198" s="324"/>
      <c r="N198" s="313">
        <v>2500</v>
      </c>
    </row>
    <row r="199" spans="1:16" s="326" customFormat="1" ht="18" customHeight="1" x14ac:dyDescent="0.3">
      <c r="A199" s="194">
        <v>192</v>
      </c>
      <c r="B199" s="322"/>
      <c r="C199" s="332"/>
      <c r="D199" s="1003" t="s">
        <v>921</v>
      </c>
      <c r="F199" s="1108"/>
      <c r="H199" s="1436"/>
      <c r="I199" s="1448">
        <f>SUM(J199:N199)</f>
        <v>4200</v>
      </c>
      <c r="J199" s="1095"/>
      <c r="K199" s="1095"/>
      <c r="L199" s="1095"/>
      <c r="M199" s="1095"/>
      <c r="N199" s="1104">
        <v>4200</v>
      </c>
    </row>
    <row r="200" spans="1:16" s="326" customFormat="1" ht="18" customHeight="1" x14ac:dyDescent="0.3">
      <c r="A200" s="194">
        <v>193</v>
      </c>
      <c r="B200" s="322"/>
      <c r="C200" s="332"/>
      <c r="D200" s="1002" t="s">
        <v>972</v>
      </c>
      <c r="E200" s="803"/>
      <c r="F200" s="803"/>
      <c r="G200" s="1109"/>
      <c r="H200" s="1436"/>
      <c r="I200" s="415">
        <f>SUM(J200:Q200)</f>
        <v>2500</v>
      </c>
      <c r="J200" s="324"/>
      <c r="K200" s="324"/>
      <c r="L200" s="324"/>
      <c r="M200" s="324"/>
      <c r="N200" s="1102">
        <v>2500</v>
      </c>
    </row>
    <row r="201" spans="1:16" s="3" customFormat="1" ht="22.5" customHeight="1" x14ac:dyDescent="0.3">
      <c r="A201" s="194">
        <v>194</v>
      </c>
      <c r="B201" s="58"/>
      <c r="C201" s="59">
        <v>18</v>
      </c>
      <c r="D201" s="190" t="s">
        <v>51</v>
      </c>
      <c r="E201" s="795"/>
      <c r="F201" s="795"/>
      <c r="G201" s="796"/>
      <c r="H201" s="1433" t="s">
        <v>24</v>
      </c>
      <c r="I201" s="1449"/>
      <c r="J201" s="356"/>
      <c r="K201" s="356"/>
      <c r="L201" s="356"/>
      <c r="M201" s="356"/>
      <c r="N201" s="357"/>
      <c r="O201" s="7"/>
      <c r="P201" s="7"/>
    </row>
    <row r="202" spans="1:16" s="3" customFormat="1" ht="22.5" customHeight="1" x14ac:dyDescent="0.3">
      <c r="A202" s="194">
        <v>195</v>
      </c>
      <c r="B202" s="58"/>
      <c r="C202" s="59">
        <v>19</v>
      </c>
      <c r="D202" s="190" t="s">
        <v>215</v>
      </c>
      <c r="E202" s="795">
        <f>SUM(E206,E210,E214,E218,E222)</f>
        <v>93500</v>
      </c>
      <c r="F202" s="795">
        <f>SUM(F206,F210,F214,F218,F222)</f>
        <v>80000</v>
      </c>
      <c r="G202" s="796">
        <f>SUM(G206,G210,G214,G218,G222)+G226</f>
        <v>101000</v>
      </c>
      <c r="H202" s="1433" t="s">
        <v>24</v>
      </c>
      <c r="I202" s="1449"/>
      <c r="J202" s="356"/>
      <c r="K202" s="356"/>
      <c r="L202" s="356"/>
      <c r="M202" s="356"/>
      <c r="N202" s="357"/>
      <c r="O202" s="7"/>
      <c r="P202" s="7"/>
    </row>
    <row r="203" spans="1:16" s="318" customFormat="1" ht="18" customHeight="1" x14ac:dyDescent="0.3">
      <c r="A203" s="194">
        <v>196</v>
      </c>
      <c r="B203" s="315"/>
      <c r="C203" s="332"/>
      <c r="D203" s="316" t="s">
        <v>252</v>
      </c>
      <c r="E203" s="317"/>
      <c r="F203" s="317"/>
      <c r="G203" s="798"/>
      <c r="H203" s="1434"/>
      <c r="I203" s="317">
        <f>SUM(J203:N203)</f>
        <v>141100</v>
      </c>
      <c r="J203" s="314">
        <f t="shared" ref="J203:N204" si="2">SUM(J207,)+J211+J215+J219+J223+J227</f>
        <v>0</v>
      </c>
      <c r="K203" s="314">
        <f t="shared" si="2"/>
        <v>0</v>
      </c>
      <c r="L203" s="314">
        <f t="shared" si="2"/>
        <v>0</v>
      </c>
      <c r="M203" s="314">
        <f t="shared" si="2"/>
        <v>0</v>
      </c>
      <c r="N203" s="369">
        <f t="shared" si="2"/>
        <v>141100</v>
      </c>
    </row>
    <row r="204" spans="1:16" s="318" customFormat="1" ht="18" customHeight="1" x14ac:dyDescent="0.3">
      <c r="A204" s="194">
        <v>197</v>
      </c>
      <c r="B204" s="315"/>
      <c r="C204" s="332"/>
      <c r="D204" s="1003" t="s">
        <v>921</v>
      </c>
      <c r="E204" s="317"/>
      <c r="F204" s="317"/>
      <c r="G204" s="798"/>
      <c r="H204" s="1434"/>
      <c r="I204" s="1448">
        <f>SUM(J204:N204)</f>
        <v>149100</v>
      </c>
      <c r="J204" s="1106">
        <f t="shared" si="2"/>
        <v>0</v>
      </c>
      <c r="K204" s="1106">
        <f t="shared" si="2"/>
        <v>0</v>
      </c>
      <c r="L204" s="1106">
        <f t="shared" si="2"/>
        <v>0</v>
      </c>
      <c r="M204" s="1106">
        <f t="shared" si="2"/>
        <v>0</v>
      </c>
      <c r="N204" s="1111">
        <f t="shared" si="2"/>
        <v>149100</v>
      </c>
    </row>
    <row r="205" spans="1:16" s="318" customFormat="1" ht="18" customHeight="1" x14ac:dyDescent="0.3">
      <c r="A205" s="194">
        <v>198</v>
      </c>
      <c r="B205" s="315"/>
      <c r="C205" s="332"/>
      <c r="D205" s="1002" t="s">
        <v>973</v>
      </c>
      <c r="E205" s="317"/>
      <c r="F205" s="317"/>
      <c r="G205" s="798"/>
      <c r="H205" s="1434"/>
      <c r="I205" s="415">
        <f>SUM(J205:Q205)</f>
        <v>78560</v>
      </c>
      <c r="J205" s="1107">
        <f>J209+J213+J217+J221+J225+J229</f>
        <v>0</v>
      </c>
      <c r="K205" s="1107">
        <f>K209+K213+K217+K221+K225+K229</f>
        <v>0</v>
      </c>
      <c r="L205" s="1107">
        <f>L209+L213+L217+L221+L225+L229</f>
        <v>0</v>
      </c>
      <c r="M205" s="1107">
        <f>M209+M213+M217+M221+M225+M229</f>
        <v>0</v>
      </c>
      <c r="N205" s="1103">
        <v>78560</v>
      </c>
    </row>
    <row r="206" spans="1:16" s="8" customFormat="1" ht="18" customHeight="1" x14ac:dyDescent="0.3">
      <c r="A206" s="194">
        <v>199</v>
      </c>
      <c r="B206" s="63"/>
      <c r="C206" s="59"/>
      <c r="D206" s="156" t="s">
        <v>52</v>
      </c>
      <c r="E206" s="799">
        <v>85000</v>
      </c>
      <c r="F206" s="799">
        <v>80000</v>
      </c>
      <c r="G206" s="800">
        <v>80000</v>
      </c>
      <c r="H206" s="1435"/>
      <c r="I206" s="801"/>
      <c r="J206" s="358"/>
      <c r="K206" s="358"/>
      <c r="L206" s="358"/>
      <c r="M206" s="358"/>
      <c r="N206" s="359"/>
      <c r="P206" s="7"/>
    </row>
    <row r="207" spans="1:16" s="326" customFormat="1" ht="18" customHeight="1" x14ac:dyDescent="0.3">
      <c r="A207" s="194">
        <v>200</v>
      </c>
      <c r="B207" s="322"/>
      <c r="C207" s="332"/>
      <c r="D207" s="327" t="s">
        <v>252</v>
      </c>
      <c r="E207" s="801"/>
      <c r="F207" s="801"/>
      <c r="G207" s="802"/>
      <c r="H207" s="1436"/>
      <c r="I207" s="1450">
        <f>SUM(J207:N207)</f>
        <v>98000</v>
      </c>
      <c r="J207" s="324"/>
      <c r="K207" s="324"/>
      <c r="L207" s="324"/>
      <c r="M207" s="324"/>
      <c r="N207" s="359">
        <v>98000</v>
      </c>
      <c r="P207" s="318"/>
    </row>
    <row r="208" spans="1:16" s="326" customFormat="1" ht="18" customHeight="1" x14ac:dyDescent="0.3">
      <c r="A208" s="194">
        <v>201</v>
      </c>
      <c r="B208" s="322"/>
      <c r="C208" s="332"/>
      <c r="D208" s="1022" t="s">
        <v>921</v>
      </c>
      <c r="E208" s="801"/>
      <c r="F208" s="801"/>
      <c r="G208" s="802"/>
      <c r="H208" s="1436"/>
      <c r="I208" s="799">
        <f>SUM(J208:N208)</f>
        <v>98000</v>
      </c>
      <c r="J208" s="1095"/>
      <c r="K208" s="1095"/>
      <c r="L208" s="1095"/>
      <c r="M208" s="1095"/>
      <c r="N208" s="1102">
        <v>98000</v>
      </c>
      <c r="P208" s="318"/>
    </row>
    <row r="209" spans="1:16" s="326" customFormat="1" ht="18" customHeight="1" x14ac:dyDescent="0.3">
      <c r="A209" s="194">
        <v>202</v>
      </c>
      <c r="B209" s="322"/>
      <c r="C209" s="332"/>
      <c r="D209" s="1022" t="s">
        <v>973</v>
      </c>
      <c r="E209" s="801"/>
      <c r="F209" s="801"/>
      <c r="G209" s="802"/>
      <c r="H209" s="1436"/>
      <c r="I209" s="415">
        <f>SUM(J209:Q209)</f>
        <v>49010</v>
      </c>
      <c r="J209" s="324"/>
      <c r="K209" s="324"/>
      <c r="L209" s="324"/>
      <c r="M209" s="324"/>
      <c r="N209" s="1102">
        <v>49010</v>
      </c>
      <c r="P209" s="318"/>
    </row>
    <row r="210" spans="1:16" s="8" customFormat="1" ht="18" customHeight="1" x14ac:dyDescent="0.3">
      <c r="A210" s="194">
        <v>203</v>
      </c>
      <c r="B210" s="63"/>
      <c r="C210" s="59"/>
      <c r="D210" s="157" t="s">
        <v>53</v>
      </c>
      <c r="E210" s="799">
        <v>3500</v>
      </c>
      <c r="F210" s="799"/>
      <c r="G210" s="800">
        <v>4500</v>
      </c>
      <c r="H210" s="1435"/>
      <c r="I210" s="1451"/>
      <c r="J210" s="360"/>
      <c r="K210" s="360"/>
      <c r="L210" s="360"/>
      <c r="M210" s="360"/>
      <c r="N210" s="361"/>
      <c r="P210" s="7"/>
    </row>
    <row r="211" spans="1:16" s="8" customFormat="1" ht="18" customHeight="1" x14ac:dyDescent="0.3">
      <c r="A211" s="194">
        <v>204</v>
      </c>
      <c r="B211" s="63"/>
      <c r="C211" s="59"/>
      <c r="D211" s="327" t="s">
        <v>252</v>
      </c>
      <c r="E211" s="799"/>
      <c r="F211" s="799"/>
      <c r="G211" s="800"/>
      <c r="H211" s="1435"/>
      <c r="I211" s="1450">
        <f>SUM(J211:N211)</f>
        <v>11600</v>
      </c>
      <c r="J211" s="360"/>
      <c r="K211" s="360"/>
      <c r="L211" s="360"/>
      <c r="M211" s="360"/>
      <c r="N211" s="361">
        <v>11600</v>
      </c>
      <c r="P211" s="7"/>
    </row>
    <row r="212" spans="1:16" s="8" customFormat="1" ht="18" customHeight="1" x14ac:dyDescent="0.3">
      <c r="A212" s="194">
        <v>205</v>
      </c>
      <c r="B212" s="63"/>
      <c r="C212" s="59"/>
      <c r="D212" s="1022" t="s">
        <v>921</v>
      </c>
      <c r="E212" s="799"/>
      <c r="F212" s="799"/>
      <c r="G212" s="800"/>
      <c r="H212" s="1435"/>
      <c r="I212" s="799">
        <f>SUM(J212:N212)</f>
        <v>19600</v>
      </c>
      <c r="J212" s="1107"/>
      <c r="K212" s="1107"/>
      <c r="L212" s="1107"/>
      <c r="M212" s="1107"/>
      <c r="N212" s="1103">
        <v>19600</v>
      </c>
      <c r="P212" s="7"/>
    </row>
    <row r="213" spans="1:16" s="8" customFormat="1" ht="18" customHeight="1" x14ac:dyDescent="0.3">
      <c r="A213" s="194">
        <v>206</v>
      </c>
      <c r="B213" s="63"/>
      <c r="C213" s="59"/>
      <c r="D213" s="1022" t="s">
        <v>972</v>
      </c>
      <c r="E213" s="799"/>
      <c r="F213" s="799"/>
      <c r="G213" s="800"/>
      <c r="H213" s="1435"/>
      <c r="I213" s="415">
        <f>SUM(J213:Q213)</f>
        <v>13800</v>
      </c>
      <c r="J213" s="1107"/>
      <c r="K213" s="1107"/>
      <c r="L213" s="1107"/>
      <c r="M213" s="1107"/>
      <c r="N213" s="1103">
        <v>13800</v>
      </c>
      <c r="P213" s="7"/>
    </row>
    <row r="214" spans="1:16" s="8" customFormat="1" ht="18" customHeight="1" x14ac:dyDescent="0.3">
      <c r="A214" s="194">
        <v>207</v>
      </c>
      <c r="B214" s="63"/>
      <c r="C214" s="59"/>
      <c r="D214" s="157" t="s">
        <v>54</v>
      </c>
      <c r="E214" s="799">
        <v>3000</v>
      </c>
      <c r="F214" s="799"/>
      <c r="G214" s="800">
        <v>9500</v>
      </c>
      <c r="H214" s="1435"/>
      <c r="I214" s="1451"/>
      <c r="J214" s="360"/>
      <c r="K214" s="360"/>
      <c r="L214" s="360"/>
      <c r="M214" s="360"/>
      <c r="N214" s="361"/>
      <c r="P214" s="7"/>
    </row>
    <row r="215" spans="1:16" s="8" customFormat="1" ht="18" customHeight="1" x14ac:dyDescent="0.3">
      <c r="A215" s="194">
        <v>208</v>
      </c>
      <c r="B215" s="63"/>
      <c r="C215" s="59"/>
      <c r="D215" s="327" t="s">
        <v>252</v>
      </c>
      <c r="E215" s="799"/>
      <c r="F215" s="799"/>
      <c r="G215" s="800"/>
      <c r="H215" s="1435"/>
      <c r="I215" s="1450">
        <f>SUM(J215:N215)</f>
        <v>9500</v>
      </c>
      <c r="J215" s="360"/>
      <c r="K215" s="360"/>
      <c r="L215" s="360"/>
      <c r="M215" s="360"/>
      <c r="N215" s="361">
        <v>9500</v>
      </c>
      <c r="P215" s="7"/>
    </row>
    <row r="216" spans="1:16" s="8" customFormat="1" ht="18" customHeight="1" x14ac:dyDescent="0.3">
      <c r="A216" s="194">
        <v>209</v>
      </c>
      <c r="B216" s="63"/>
      <c r="C216" s="59"/>
      <c r="D216" s="1022" t="s">
        <v>921</v>
      </c>
      <c r="E216" s="799"/>
      <c r="F216" s="799"/>
      <c r="G216" s="800"/>
      <c r="H216" s="1435"/>
      <c r="I216" s="799">
        <f>SUM(J216:N216)</f>
        <v>9500</v>
      </c>
      <c r="J216" s="1107"/>
      <c r="K216" s="1107"/>
      <c r="L216" s="1107"/>
      <c r="M216" s="1107"/>
      <c r="N216" s="1103">
        <v>9500</v>
      </c>
      <c r="P216" s="7"/>
    </row>
    <row r="217" spans="1:16" s="8" customFormat="1" ht="18" customHeight="1" x14ac:dyDescent="0.3">
      <c r="A217" s="194">
        <v>210</v>
      </c>
      <c r="B217" s="63"/>
      <c r="C217" s="59"/>
      <c r="D217" s="1022" t="s">
        <v>973</v>
      </c>
      <c r="E217" s="799"/>
      <c r="F217" s="799"/>
      <c r="G217" s="800"/>
      <c r="H217" s="1435"/>
      <c r="I217" s="415">
        <f>SUM(J217:Q217)</f>
        <v>4750</v>
      </c>
      <c r="J217" s="360"/>
      <c r="K217" s="360"/>
      <c r="L217" s="360"/>
      <c r="M217" s="360"/>
      <c r="N217" s="1103">
        <v>4750</v>
      </c>
      <c r="P217" s="7"/>
    </row>
    <row r="218" spans="1:16" s="8" customFormat="1" ht="18" customHeight="1" x14ac:dyDescent="0.3">
      <c r="A218" s="194">
        <v>211</v>
      </c>
      <c r="B218" s="63"/>
      <c r="C218" s="59"/>
      <c r="D218" s="157" t="s">
        <v>55</v>
      </c>
      <c r="E218" s="799">
        <v>1000</v>
      </c>
      <c r="F218" s="799"/>
      <c r="G218" s="800">
        <v>3000</v>
      </c>
      <c r="H218" s="1435"/>
      <c r="I218" s="1451"/>
      <c r="J218" s="360"/>
      <c r="K218" s="360"/>
      <c r="L218" s="360"/>
      <c r="M218" s="360"/>
      <c r="N218" s="361"/>
      <c r="P218" s="7"/>
    </row>
    <row r="219" spans="1:16" s="8" customFormat="1" ht="18" customHeight="1" x14ac:dyDescent="0.3">
      <c r="A219" s="194">
        <v>212</v>
      </c>
      <c r="B219" s="63"/>
      <c r="C219" s="59"/>
      <c r="D219" s="327" t="s">
        <v>252</v>
      </c>
      <c r="E219" s="799"/>
      <c r="F219" s="799"/>
      <c r="G219" s="800"/>
      <c r="H219" s="1435"/>
      <c r="I219" s="1450">
        <f>SUM(J219:N219)</f>
        <v>8000</v>
      </c>
      <c r="J219" s="360"/>
      <c r="K219" s="360"/>
      <c r="L219" s="360"/>
      <c r="M219" s="360"/>
      <c r="N219" s="361">
        <v>8000</v>
      </c>
      <c r="P219" s="7"/>
    </row>
    <row r="220" spans="1:16" s="8" customFormat="1" ht="18" customHeight="1" x14ac:dyDescent="0.3">
      <c r="A220" s="194">
        <v>213</v>
      </c>
      <c r="B220" s="63"/>
      <c r="C220" s="59"/>
      <c r="D220" s="1022" t="s">
        <v>921</v>
      </c>
      <c r="E220" s="799"/>
      <c r="F220" s="799"/>
      <c r="G220" s="800"/>
      <c r="H220" s="1435"/>
      <c r="I220" s="799">
        <f>SUM(J220:N220)</f>
        <v>8000</v>
      </c>
      <c r="J220" s="1107"/>
      <c r="K220" s="1107"/>
      <c r="L220" s="1107"/>
      <c r="M220" s="1107"/>
      <c r="N220" s="1103">
        <v>8000</v>
      </c>
      <c r="P220" s="7"/>
    </row>
    <row r="221" spans="1:16" s="8" customFormat="1" ht="18" customHeight="1" x14ac:dyDescent="0.3">
      <c r="A221" s="194">
        <v>214</v>
      </c>
      <c r="B221" s="63"/>
      <c r="C221" s="59"/>
      <c r="D221" s="1022" t="s">
        <v>973</v>
      </c>
      <c r="E221" s="799"/>
      <c r="F221" s="799"/>
      <c r="G221" s="800"/>
      <c r="H221" s="1435"/>
      <c r="I221" s="415">
        <f>SUM(J221:Q221)</f>
        <v>4000</v>
      </c>
      <c r="J221" s="360"/>
      <c r="K221" s="360"/>
      <c r="L221" s="360"/>
      <c r="M221" s="360"/>
      <c r="N221" s="1103">
        <v>4000</v>
      </c>
      <c r="P221" s="7"/>
    </row>
    <row r="222" spans="1:16" s="8" customFormat="1" ht="18" customHeight="1" x14ac:dyDescent="0.3">
      <c r="A222" s="194">
        <v>215</v>
      </c>
      <c r="B222" s="63"/>
      <c r="C222" s="59"/>
      <c r="D222" s="157" t="s">
        <v>261</v>
      </c>
      <c r="E222" s="799">
        <v>1000</v>
      </c>
      <c r="F222" s="799"/>
      <c r="G222" s="800">
        <v>2000</v>
      </c>
      <c r="H222" s="1435"/>
      <c r="I222" s="1451"/>
      <c r="J222" s="360"/>
      <c r="K222" s="360"/>
      <c r="L222" s="360"/>
      <c r="M222" s="360"/>
      <c r="N222" s="361"/>
      <c r="P222" s="7"/>
    </row>
    <row r="223" spans="1:16" s="8" customFormat="1" ht="18" customHeight="1" x14ac:dyDescent="0.3">
      <c r="A223" s="194">
        <v>216</v>
      </c>
      <c r="B223" s="63"/>
      <c r="C223" s="59"/>
      <c r="D223" s="327" t="s">
        <v>252</v>
      </c>
      <c r="E223" s="799"/>
      <c r="F223" s="799"/>
      <c r="G223" s="800"/>
      <c r="H223" s="1435"/>
      <c r="I223" s="1450">
        <f>SUM(J223:N223)</f>
        <v>7000</v>
      </c>
      <c r="J223" s="360"/>
      <c r="K223" s="360"/>
      <c r="L223" s="360"/>
      <c r="M223" s="360"/>
      <c r="N223" s="361">
        <v>7000</v>
      </c>
      <c r="P223" s="7"/>
    </row>
    <row r="224" spans="1:16" s="8" customFormat="1" ht="18" customHeight="1" x14ac:dyDescent="0.3">
      <c r="A224" s="194">
        <v>217</v>
      </c>
      <c r="B224" s="63"/>
      <c r="C224" s="59"/>
      <c r="D224" s="1022" t="s">
        <v>921</v>
      </c>
      <c r="E224" s="799"/>
      <c r="F224" s="799"/>
      <c r="G224" s="800"/>
      <c r="H224" s="1435"/>
      <c r="I224" s="799">
        <f>SUM(J224:N224)</f>
        <v>7000</v>
      </c>
      <c r="J224" s="1107"/>
      <c r="K224" s="1107"/>
      <c r="L224" s="1107"/>
      <c r="M224" s="1107"/>
      <c r="N224" s="1103">
        <v>7000</v>
      </c>
      <c r="P224" s="7"/>
    </row>
    <row r="225" spans="1:16" s="8" customFormat="1" ht="18" customHeight="1" x14ac:dyDescent="0.3">
      <c r="A225" s="194">
        <v>218</v>
      </c>
      <c r="B225" s="63"/>
      <c r="C225" s="59"/>
      <c r="D225" s="1022" t="s">
        <v>973</v>
      </c>
      <c r="E225" s="799"/>
      <c r="F225" s="799"/>
      <c r="G225" s="800"/>
      <c r="H225" s="1435"/>
      <c r="I225" s="415">
        <f>SUM(J225:Q225)</f>
        <v>3500</v>
      </c>
      <c r="J225" s="360"/>
      <c r="K225" s="360"/>
      <c r="L225" s="360"/>
      <c r="M225" s="360"/>
      <c r="N225" s="1103">
        <v>3500</v>
      </c>
      <c r="P225" s="7"/>
    </row>
    <row r="226" spans="1:16" s="8" customFormat="1" ht="18" customHeight="1" x14ac:dyDescent="0.3">
      <c r="A226" s="194">
        <v>219</v>
      </c>
      <c r="B226" s="63"/>
      <c r="C226" s="59"/>
      <c r="D226" s="157" t="s">
        <v>605</v>
      </c>
      <c r="E226" s="799"/>
      <c r="F226" s="799"/>
      <c r="G226" s="800">
        <v>2000</v>
      </c>
      <c r="H226" s="1435"/>
      <c r="I226" s="1450"/>
      <c r="J226" s="360"/>
      <c r="K226" s="360"/>
      <c r="L226" s="360"/>
      <c r="M226" s="360"/>
      <c r="N226" s="361"/>
      <c r="P226" s="7"/>
    </row>
    <row r="227" spans="1:16" s="8" customFormat="1" ht="18" customHeight="1" x14ac:dyDescent="0.3">
      <c r="A227" s="194">
        <v>220</v>
      </c>
      <c r="B227" s="63"/>
      <c r="C227" s="59"/>
      <c r="D227" s="327" t="s">
        <v>252</v>
      </c>
      <c r="E227" s="799"/>
      <c r="F227" s="799"/>
      <c r="G227" s="800"/>
      <c r="H227" s="1435"/>
      <c r="I227" s="1450">
        <f>SUM(J227:N227)</f>
        <v>7000</v>
      </c>
      <c r="J227" s="360"/>
      <c r="K227" s="360"/>
      <c r="L227" s="360"/>
      <c r="M227" s="360"/>
      <c r="N227" s="361">
        <v>7000</v>
      </c>
      <c r="P227" s="7"/>
    </row>
    <row r="228" spans="1:16" s="8" customFormat="1" ht="18" customHeight="1" x14ac:dyDescent="0.3">
      <c r="A228" s="194">
        <v>221</v>
      </c>
      <c r="B228" s="63"/>
      <c r="C228" s="59"/>
      <c r="D228" s="1022" t="s">
        <v>921</v>
      </c>
      <c r="E228" s="799"/>
      <c r="F228" s="799"/>
      <c r="G228" s="800"/>
      <c r="H228" s="1435"/>
      <c r="I228" s="799">
        <f>SUM(J228:N228)</f>
        <v>7000</v>
      </c>
      <c r="J228" s="1107"/>
      <c r="K228" s="1107"/>
      <c r="L228" s="1107"/>
      <c r="M228" s="1107"/>
      <c r="N228" s="1103">
        <v>7000</v>
      </c>
      <c r="P228" s="7"/>
    </row>
    <row r="229" spans="1:16" s="8" customFormat="1" ht="18" customHeight="1" x14ac:dyDescent="0.3">
      <c r="A229" s="194">
        <v>222</v>
      </c>
      <c r="B229" s="63"/>
      <c r="C229" s="59"/>
      <c r="D229" s="1022" t="s">
        <v>973</v>
      </c>
      <c r="E229" s="799"/>
      <c r="F229" s="799"/>
      <c r="G229" s="800"/>
      <c r="H229" s="1435"/>
      <c r="I229" s="415">
        <f>SUM(J229:Q229)</f>
        <v>3500</v>
      </c>
      <c r="J229" s="360"/>
      <c r="K229" s="360"/>
      <c r="L229" s="360"/>
      <c r="M229" s="360"/>
      <c r="N229" s="1103">
        <v>3500</v>
      </c>
      <c r="P229" s="7"/>
    </row>
    <row r="230" spans="1:16" s="8" customFormat="1" ht="22.5" customHeight="1" x14ac:dyDescent="0.3">
      <c r="A230" s="194">
        <v>223</v>
      </c>
      <c r="B230" s="63"/>
      <c r="C230" s="59">
        <v>20</v>
      </c>
      <c r="D230" s="190" t="s">
        <v>360</v>
      </c>
      <c r="E230" s="799"/>
      <c r="F230" s="799"/>
      <c r="G230" s="800"/>
      <c r="H230" s="1433" t="s">
        <v>24</v>
      </c>
      <c r="I230" s="317"/>
      <c r="J230" s="358"/>
      <c r="K230" s="358"/>
      <c r="L230" s="358"/>
      <c r="M230" s="358"/>
      <c r="N230" s="359"/>
      <c r="P230" s="7"/>
    </row>
    <row r="231" spans="1:16" s="8" customFormat="1" ht="18" customHeight="1" x14ac:dyDescent="0.3">
      <c r="A231" s="194">
        <v>224</v>
      </c>
      <c r="B231" s="63"/>
      <c r="C231" s="59"/>
      <c r="D231" s="316" t="s">
        <v>252</v>
      </c>
      <c r="E231" s="799"/>
      <c r="F231" s="799"/>
      <c r="G231" s="800"/>
      <c r="H231" s="1433"/>
      <c r="I231" s="317">
        <f>SUM(J231:N231)</f>
        <v>3800</v>
      </c>
      <c r="J231" s="358"/>
      <c r="K231" s="358"/>
      <c r="L231" s="358"/>
      <c r="M231" s="358"/>
      <c r="N231" s="313">
        <v>3800</v>
      </c>
      <c r="P231" s="7"/>
    </row>
    <row r="232" spans="1:16" s="8" customFormat="1" ht="18" customHeight="1" x14ac:dyDescent="0.3">
      <c r="A232" s="194">
        <v>225</v>
      </c>
      <c r="B232" s="63"/>
      <c r="C232" s="59"/>
      <c r="D232" s="1003" t="s">
        <v>921</v>
      </c>
      <c r="E232" s="799"/>
      <c r="F232" s="799"/>
      <c r="G232" s="800"/>
      <c r="H232" s="1433"/>
      <c r="I232" s="1448">
        <f>SUM(J232:N232)</f>
        <v>0</v>
      </c>
      <c r="J232" s="1094"/>
      <c r="K232" s="1094"/>
      <c r="L232" s="1094"/>
      <c r="M232" s="1094"/>
      <c r="N232" s="1104">
        <v>0</v>
      </c>
      <c r="P232" s="7"/>
    </row>
    <row r="233" spans="1:16" s="8" customFormat="1" ht="18" customHeight="1" x14ac:dyDescent="0.3">
      <c r="A233" s="194">
        <v>226</v>
      </c>
      <c r="B233" s="63"/>
      <c r="C233" s="59"/>
      <c r="D233" s="1002" t="s">
        <v>972</v>
      </c>
      <c r="E233" s="799"/>
      <c r="F233" s="799"/>
      <c r="G233" s="800"/>
      <c r="H233" s="1433"/>
      <c r="I233" s="415">
        <f>SUM(J233:Q233)</f>
        <v>0</v>
      </c>
      <c r="J233" s="358"/>
      <c r="K233" s="358"/>
      <c r="L233" s="358"/>
      <c r="M233" s="358"/>
      <c r="N233" s="1102">
        <v>0</v>
      </c>
      <c r="P233" s="7"/>
    </row>
    <row r="234" spans="1:16" s="8" customFormat="1" ht="22.5" customHeight="1" x14ac:dyDescent="0.3">
      <c r="A234" s="194">
        <v>228</v>
      </c>
      <c r="B234" s="63"/>
      <c r="C234" s="59">
        <v>27</v>
      </c>
      <c r="D234" s="190" t="s">
        <v>607</v>
      </c>
      <c r="E234" s="799"/>
      <c r="F234" s="799"/>
      <c r="G234" s="800"/>
      <c r="H234" s="1433" t="s">
        <v>24</v>
      </c>
      <c r="I234" s="317"/>
      <c r="J234" s="358"/>
      <c r="K234" s="358"/>
      <c r="L234" s="358"/>
      <c r="M234" s="358"/>
      <c r="N234" s="359"/>
      <c r="P234" s="7"/>
    </row>
    <row r="235" spans="1:16" s="8" customFormat="1" ht="18" customHeight="1" x14ac:dyDescent="0.3">
      <c r="A235" s="194">
        <v>229</v>
      </c>
      <c r="B235" s="63"/>
      <c r="C235" s="59"/>
      <c r="D235" s="316" t="s">
        <v>252</v>
      </c>
      <c r="E235" s="799"/>
      <c r="F235" s="799"/>
      <c r="G235" s="800"/>
      <c r="H235" s="1433"/>
      <c r="I235" s="317">
        <f>SUM(J235:N235)</f>
        <v>3000</v>
      </c>
      <c r="J235" s="358"/>
      <c r="K235" s="358"/>
      <c r="L235" s="358"/>
      <c r="M235" s="358"/>
      <c r="N235" s="313">
        <v>3000</v>
      </c>
      <c r="P235" s="7"/>
    </row>
    <row r="236" spans="1:16" s="8" customFormat="1" ht="18" customHeight="1" x14ac:dyDescent="0.3">
      <c r="A236" s="194">
        <v>230</v>
      </c>
      <c r="B236" s="63"/>
      <c r="C236" s="59"/>
      <c r="D236" s="1003" t="s">
        <v>921</v>
      </c>
      <c r="E236" s="799"/>
      <c r="F236" s="799"/>
      <c r="G236" s="800"/>
      <c r="H236" s="1433"/>
      <c r="I236" s="1448">
        <f>SUM(J236:N236)</f>
        <v>3000</v>
      </c>
      <c r="J236" s="1094"/>
      <c r="K236" s="1094"/>
      <c r="L236" s="1094"/>
      <c r="M236" s="1094"/>
      <c r="N236" s="1104">
        <v>3000</v>
      </c>
      <c r="P236" s="7"/>
    </row>
    <row r="237" spans="1:16" s="8" customFormat="1" ht="18" customHeight="1" x14ac:dyDescent="0.3">
      <c r="A237" s="194">
        <v>231</v>
      </c>
      <c r="B237" s="63"/>
      <c r="C237" s="59"/>
      <c r="D237" s="1002" t="s">
        <v>973</v>
      </c>
      <c r="E237" s="799"/>
      <c r="F237" s="799"/>
      <c r="G237" s="800"/>
      <c r="H237" s="1433"/>
      <c r="I237" s="415">
        <f>SUM(J237:Q237)</f>
        <v>3000</v>
      </c>
      <c r="J237" s="358"/>
      <c r="K237" s="358"/>
      <c r="L237" s="358"/>
      <c r="M237" s="358"/>
      <c r="N237" s="1102">
        <v>3000</v>
      </c>
      <c r="P237" s="7"/>
    </row>
    <row r="238" spans="1:16" s="3" customFormat="1" ht="22.5" customHeight="1" x14ac:dyDescent="0.3">
      <c r="A238" s="194">
        <v>232</v>
      </c>
      <c r="B238" s="58"/>
      <c r="C238" s="59">
        <v>28</v>
      </c>
      <c r="D238" s="190" t="s">
        <v>231</v>
      </c>
      <c r="E238" s="795"/>
      <c r="F238" s="795"/>
      <c r="G238" s="796"/>
      <c r="H238" s="1433" t="s">
        <v>24</v>
      </c>
      <c r="I238" s="317"/>
      <c r="J238" s="352"/>
      <c r="K238" s="352"/>
      <c r="L238" s="352"/>
      <c r="M238" s="352"/>
      <c r="N238" s="353"/>
      <c r="P238" s="7"/>
    </row>
    <row r="239" spans="1:16" s="3" customFormat="1" ht="18" customHeight="1" x14ac:dyDescent="0.3">
      <c r="A239" s="194">
        <v>233</v>
      </c>
      <c r="B239" s="58"/>
      <c r="C239" s="59"/>
      <c r="D239" s="316" t="s">
        <v>252</v>
      </c>
      <c r="E239" s="795"/>
      <c r="F239" s="795"/>
      <c r="G239" s="796"/>
      <c r="H239" s="1433"/>
      <c r="I239" s="317">
        <f>SUM(J239:N239)</f>
        <v>9600</v>
      </c>
      <c r="J239" s="352"/>
      <c r="K239" s="352"/>
      <c r="L239" s="312">
        <v>9600</v>
      </c>
      <c r="M239" s="352"/>
      <c r="N239" s="353"/>
      <c r="P239" s="7"/>
    </row>
    <row r="240" spans="1:16" s="3" customFormat="1" ht="18" customHeight="1" x14ac:dyDescent="0.3">
      <c r="A240" s="194">
        <v>234</v>
      </c>
      <c r="B240" s="58"/>
      <c r="C240" s="59"/>
      <c r="D240" s="1003" t="s">
        <v>921</v>
      </c>
      <c r="E240" s="795"/>
      <c r="F240" s="795"/>
      <c r="G240" s="796"/>
      <c r="H240" s="1433"/>
      <c r="I240" s="1448">
        <f>SUM(J240:N240)</f>
        <v>9600</v>
      </c>
      <c r="J240" s="1092"/>
      <c r="K240" s="1092"/>
      <c r="L240" s="1093">
        <v>9600</v>
      </c>
      <c r="M240" s="352"/>
      <c r="N240" s="353"/>
      <c r="P240" s="7"/>
    </row>
    <row r="241" spans="1:16" s="3" customFormat="1" ht="18" customHeight="1" x14ac:dyDescent="0.3">
      <c r="A241" s="194">
        <v>235</v>
      </c>
      <c r="B241" s="58"/>
      <c r="C241" s="59"/>
      <c r="D241" s="1002" t="s">
        <v>973</v>
      </c>
      <c r="E241" s="795"/>
      <c r="F241" s="795"/>
      <c r="G241" s="796"/>
      <c r="H241" s="1433"/>
      <c r="I241" s="415">
        <f>SUM(J241:Q241)</f>
        <v>4800</v>
      </c>
      <c r="J241" s="352"/>
      <c r="K241" s="352"/>
      <c r="L241" s="1094">
        <v>4800</v>
      </c>
      <c r="M241" s="352"/>
      <c r="N241" s="353"/>
      <c r="P241" s="7"/>
    </row>
    <row r="242" spans="1:16" s="7" customFormat="1" ht="22.5" customHeight="1" x14ac:dyDescent="0.3">
      <c r="A242" s="194">
        <v>236</v>
      </c>
      <c r="B242" s="61"/>
      <c r="C242" s="59">
        <v>29</v>
      </c>
      <c r="D242" s="189" t="s">
        <v>633</v>
      </c>
      <c r="E242" s="795"/>
      <c r="F242" s="795"/>
      <c r="G242" s="796"/>
      <c r="H242" s="1433" t="s">
        <v>24</v>
      </c>
      <c r="I242" s="317"/>
      <c r="J242" s="352"/>
      <c r="K242" s="352"/>
      <c r="L242" s="352"/>
      <c r="M242" s="352"/>
      <c r="N242" s="353"/>
    </row>
    <row r="243" spans="1:16" s="7" customFormat="1" ht="22.5" customHeight="1" x14ac:dyDescent="0.3">
      <c r="A243" s="194">
        <v>237</v>
      </c>
      <c r="B243" s="67"/>
      <c r="C243" s="59">
        <v>30</v>
      </c>
      <c r="D243" s="190" t="s">
        <v>608</v>
      </c>
      <c r="E243" s="791"/>
      <c r="F243" s="791"/>
      <c r="G243" s="792"/>
      <c r="H243" s="1433" t="s">
        <v>24</v>
      </c>
      <c r="I243" s="317"/>
      <c r="J243" s="354"/>
      <c r="K243" s="354"/>
      <c r="L243" s="354"/>
      <c r="M243" s="354"/>
      <c r="N243" s="355"/>
    </row>
    <row r="244" spans="1:16" s="7" customFormat="1" ht="18" customHeight="1" x14ac:dyDescent="0.3">
      <c r="A244" s="194">
        <v>238</v>
      </c>
      <c r="B244" s="67"/>
      <c r="C244" s="59"/>
      <c r="D244" s="316" t="s">
        <v>252</v>
      </c>
      <c r="E244" s="791"/>
      <c r="F244" s="791"/>
      <c r="G244" s="792"/>
      <c r="H244" s="1433"/>
      <c r="I244" s="317">
        <f>SUM(J244:N244)</f>
        <v>50000</v>
      </c>
      <c r="J244" s="354"/>
      <c r="K244" s="354"/>
      <c r="L244" s="354"/>
      <c r="M244" s="354"/>
      <c r="N244" s="320">
        <v>50000</v>
      </c>
    </row>
    <row r="245" spans="1:16" s="7" customFormat="1" ht="18" customHeight="1" x14ac:dyDescent="0.3">
      <c r="A245" s="194">
        <v>239</v>
      </c>
      <c r="B245" s="67"/>
      <c r="C245" s="59"/>
      <c r="D245" s="1003" t="s">
        <v>921</v>
      </c>
      <c r="E245" s="791"/>
      <c r="F245" s="791"/>
      <c r="G245" s="792"/>
      <c r="H245" s="1433"/>
      <c r="I245" s="1448">
        <f>SUM(J245:N245)</f>
        <v>50000</v>
      </c>
      <c r="J245" s="793"/>
      <c r="K245" s="793"/>
      <c r="L245" s="793"/>
      <c r="M245" s="793"/>
      <c r="N245" s="1110">
        <v>50000</v>
      </c>
    </row>
    <row r="246" spans="1:16" s="7" customFormat="1" ht="18" customHeight="1" x14ac:dyDescent="0.3">
      <c r="A246" s="194">
        <v>240</v>
      </c>
      <c r="B246" s="67"/>
      <c r="C246" s="59"/>
      <c r="D246" s="1002" t="s">
        <v>973</v>
      </c>
      <c r="E246" s="791"/>
      <c r="F246" s="791"/>
      <c r="G246" s="792"/>
      <c r="H246" s="1433"/>
      <c r="I246" s="415">
        <f>SUM(J246:Q246)</f>
        <v>0</v>
      </c>
      <c r="J246" s="354"/>
      <c r="K246" s="354"/>
      <c r="L246" s="354"/>
      <c r="M246" s="354"/>
      <c r="N246" s="1099">
        <v>0</v>
      </c>
    </row>
    <row r="247" spans="1:16" s="69" customFormat="1" ht="22.5" customHeight="1" x14ac:dyDescent="0.3">
      <c r="A247" s="194">
        <v>241</v>
      </c>
      <c r="B247" s="68"/>
      <c r="C247" s="59">
        <v>31</v>
      </c>
      <c r="D247" s="190" t="s">
        <v>229</v>
      </c>
      <c r="E247" s="791">
        <v>45000</v>
      </c>
      <c r="F247" s="791">
        <v>20000</v>
      </c>
      <c r="G247" s="792">
        <v>55000</v>
      </c>
      <c r="H247" s="1433" t="s">
        <v>24</v>
      </c>
      <c r="I247" s="317"/>
      <c r="J247" s="354"/>
      <c r="K247" s="354"/>
      <c r="L247" s="354"/>
      <c r="M247" s="354"/>
      <c r="N247" s="355"/>
      <c r="O247" s="55"/>
      <c r="P247" s="7"/>
    </row>
    <row r="248" spans="1:16" s="69" customFormat="1" ht="18" customHeight="1" x14ac:dyDescent="0.3">
      <c r="A248" s="194">
        <v>242</v>
      </c>
      <c r="B248" s="68"/>
      <c r="C248" s="59"/>
      <c r="D248" s="316" t="s">
        <v>252</v>
      </c>
      <c r="E248" s="791"/>
      <c r="F248" s="804"/>
      <c r="G248" s="805"/>
      <c r="H248" s="1433"/>
      <c r="I248" s="317">
        <f>SUM(J248:N248)</f>
        <v>45000</v>
      </c>
      <c r="J248" s="354"/>
      <c r="K248" s="354"/>
      <c r="L248" s="354"/>
      <c r="M248" s="354"/>
      <c r="N248" s="320">
        <v>45000</v>
      </c>
      <c r="O248" s="55"/>
      <c r="P248" s="7"/>
    </row>
    <row r="249" spans="1:16" s="69" customFormat="1" ht="18" customHeight="1" x14ac:dyDescent="0.3">
      <c r="A249" s="194">
        <v>243</v>
      </c>
      <c r="B249" s="68"/>
      <c r="C249" s="59"/>
      <c r="D249" s="1003" t="s">
        <v>921</v>
      </c>
      <c r="E249" s="791"/>
      <c r="F249" s="804"/>
      <c r="G249" s="805"/>
      <c r="H249" s="1433"/>
      <c r="I249" s="1448">
        <f>SUM(J249:N249)</f>
        <v>45000</v>
      </c>
      <c r="J249" s="793"/>
      <c r="K249" s="793"/>
      <c r="L249" s="793"/>
      <c r="M249" s="793"/>
      <c r="N249" s="1110">
        <v>45000</v>
      </c>
      <c r="O249" s="55"/>
      <c r="P249" s="7"/>
    </row>
    <row r="250" spans="1:16" s="69" customFormat="1" ht="18" customHeight="1" x14ac:dyDescent="0.3">
      <c r="A250" s="194">
        <v>244</v>
      </c>
      <c r="B250" s="68"/>
      <c r="C250" s="59"/>
      <c r="D250" s="1002" t="s">
        <v>973</v>
      </c>
      <c r="E250" s="791"/>
      <c r="F250" s="804"/>
      <c r="G250" s="805"/>
      <c r="H250" s="1433"/>
      <c r="I250" s="415">
        <f>SUM(J250:Q250)</f>
        <v>45000</v>
      </c>
      <c r="J250" s="354"/>
      <c r="K250" s="354"/>
      <c r="L250" s="354"/>
      <c r="M250" s="354"/>
      <c r="N250" s="1099">
        <v>45000</v>
      </c>
      <c r="O250" s="55"/>
      <c r="P250" s="7"/>
    </row>
    <row r="251" spans="1:16" s="3" customFormat="1" ht="22.5" customHeight="1" x14ac:dyDescent="0.3">
      <c r="A251" s="194">
        <v>245</v>
      </c>
      <c r="B251" s="58"/>
      <c r="C251" s="59">
        <v>32</v>
      </c>
      <c r="D251" s="190" t="s">
        <v>232</v>
      </c>
      <c r="E251" s="795"/>
      <c r="F251" s="795"/>
      <c r="G251" s="796"/>
      <c r="H251" s="1433" t="s">
        <v>24</v>
      </c>
      <c r="I251" s="317"/>
      <c r="J251" s="352"/>
      <c r="K251" s="352"/>
      <c r="L251" s="352"/>
      <c r="M251" s="352"/>
      <c r="N251" s="353"/>
      <c r="P251" s="7"/>
    </row>
    <row r="252" spans="1:16" s="3" customFormat="1" ht="22.5" customHeight="1" x14ac:dyDescent="0.3">
      <c r="A252" s="194">
        <v>246</v>
      </c>
      <c r="B252" s="58"/>
      <c r="C252" s="59"/>
      <c r="D252" s="1003" t="s">
        <v>921</v>
      </c>
      <c r="E252" s="795"/>
      <c r="F252" s="795"/>
      <c r="G252" s="796"/>
      <c r="H252" s="1433"/>
      <c r="I252" s="570">
        <f>SUM(J252:Q252)</f>
        <v>5000</v>
      </c>
      <c r="J252" s="352"/>
      <c r="K252" s="352"/>
      <c r="L252" s="352"/>
      <c r="M252" s="352"/>
      <c r="N252" s="1104">
        <v>5000</v>
      </c>
      <c r="P252" s="7"/>
    </row>
    <row r="253" spans="1:16" s="3" customFormat="1" ht="18" customHeight="1" x14ac:dyDescent="0.3">
      <c r="A253" s="194">
        <v>247</v>
      </c>
      <c r="B253" s="58"/>
      <c r="C253" s="59"/>
      <c r="D253" s="1002" t="s">
        <v>973</v>
      </c>
      <c r="E253" s="795"/>
      <c r="F253" s="795"/>
      <c r="G253" s="796"/>
      <c r="H253" s="1433"/>
      <c r="I253" s="415">
        <f>SUM(J253:Q253)</f>
        <v>5000</v>
      </c>
      <c r="J253" s="352"/>
      <c r="K253" s="352"/>
      <c r="L253" s="352"/>
      <c r="M253" s="352"/>
      <c r="N253" s="1102">
        <v>5000</v>
      </c>
      <c r="P253" s="7"/>
    </row>
    <row r="254" spans="1:16" s="318" customFormat="1" ht="22.5" customHeight="1" x14ac:dyDescent="0.3">
      <c r="A254" s="194">
        <v>248</v>
      </c>
      <c r="B254" s="315"/>
      <c r="C254" s="59">
        <v>33</v>
      </c>
      <c r="D254" s="190" t="s">
        <v>387</v>
      </c>
      <c r="E254" s="795"/>
      <c r="F254" s="799"/>
      <c r="G254" s="800"/>
      <c r="H254" s="1433" t="s">
        <v>24</v>
      </c>
      <c r="I254" s="317"/>
      <c r="J254" s="312"/>
      <c r="K254" s="312"/>
      <c r="L254" s="312"/>
      <c r="M254" s="312"/>
      <c r="N254" s="313"/>
    </row>
    <row r="255" spans="1:16" s="318" customFormat="1" ht="22.5" customHeight="1" x14ac:dyDescent="0.3">
      <c r="A255" s="194">
        <v>249</v>
      </c>
      <c r="B255" s="315"/>
      <c r="C255" s="59">
        <v>34</v>
      </c>
      <c r="D255" s="190" t="s">
        <v>388</v>
      </c>
      <c r="E255" s="795"/>
      <c r="F255" s="795">
        <v>700</v>
      </c>
      <c r="G255" s="795">
        <v>700</v>
      </c>
      <c r="H255" s="1433" t="s">
        <v>24</v>
      </c>
      <c r="I255" s="317"/>
      <c r="J255" s="312"/>
      <c r="K255" s="312"/>
      <c r="L255" s="312"/>
      <c r="M255" s="312"/>
      <c r="N255" s="313"/>
    </row>
    <row r="256" spans="1:16" s="3" customFormat="1" ht="22.5" customHeight="1" x14ac:dyDescent="0.3">
      <c r="A256" s="194">
        <v>250</v>
      </c>
      <c r="B256" s="58"/>
      <c r="C256" s="59">
        <v>35</v>
      </c>
      <c r="D256" s="190" t="s">
        <v>436</v>
      </c>
      <c r="E256" s="795">
        <v>254500</v>
      </c>
      <c r="F256" s="795">
        <v>327787</v>
      </c>
      <c r="G256" s="796">
        <v>349950</v>
      </c>
      <c r="H256" s="1433" t="s">
        <v>23</v>
      </c>
      <c r="I256" s="317"/>
      <c r="J256" s="352"/>
      <c r="K256" s="352"/>
      <c r="L256" s="352"/>
      <c r="M256" s="352"/>
      <c r="N256" s="353"/>
      <c r="P256" s="7"/>
    </row>
    <row r="257" spans="1:16" s="318" customFormat="1" ht="18" customHeight="1" x14ac:dyDescent="0.3">
      <c r="A257" s="194">
        <v>251</v>
      </c>
      <c r="B257" s="315"/>
      <c r="C257" s="332"/>
      <c r="D257" s="316" t="s">
        <v>252</v>
      </c>
      <c r="E257" s="317"/>
      <c r="F257" s="317"/>
      <c r="G257" s="798"/>
      <c r="H257" s="1434"/>
      <c r="I257" s="317">
        <f>SUM(J257:N257)</f>
        <v>395787</v>
      </c>
      <c r="J257" s="312"/>
      <c r="K257" s="312"/>
      <c r="L257" s="312"/>
      <c r="M257" s="312"/>
      <c r="N257" s="313">
        <f>403450+337-8000</f>
        <v>395787</v>
      </c>
    </row>
    <row r="258" spans="1:16" s="318" customFormat="1" ht="18" customHeight="1" x14ac:dyDescent="0.3">
      <c r="A258" s="194">
        <v>252</v>
      </c>
      <c r="B258" s="315"/>
      <c r="C258" s="332"/>
      <c r="D258" s="1003" t="s">
        <v>921</v>
      </c>
      <c r="E258" s="317"/>
      <c r="F258" s="317"/>
      <c r="G258" s="798"/>
      <c r="H258" s="1434"/>
      <c r="I258" s="1448">
        <f>SUM(J258:N258)</f>
        <v>405787</v>
      </c>
      <c r="J258" s="1093"/>
      <c r="K258" s="1093"/>
      <c r="L258" s="1093"/>
      <c r="M258" s="1093"/>
      <c r="N258" s="1104">
        <v>405787</v>
      </c>
    </row>
    <row r="259" spans="1:16" s="318" customFormat="1" ht="18" customHeight="1" x14ac:dyDescent="0.3">
      <c r="A259" s="194">
        <v>253</v>
      </c>
      <c r="B259" s="315"/>
      <c r="C259" s="332"/>
      <c r="D259" s="1002" t="s">
        <v>972</v>
      </c>
      <c r="E259" s="317"/>
      <c r="F259" s="317"/>
      <c r="G259" s="798"/>
      <c r="H259" s="1434"/>
      <c r="I259" s="415">
        <f>SUM(J259:Q259)</f>
        <v>251600</v>
      </c>
      <c r="J259" s="312"/>
      <c r="K259" s="312"/>
      <c r="L259" s="312"/>
      <c r="M259" s="312"/>
      <c r="N259" s="1102">
        <v>251600</v>
      </c>
    </row>
    <row r="260" spans="1:16" s="3" customFormat="1" ht="22.5" customHeight="1" x14ac:dyDescent="0.3">
      <c r="A260" s="194">
        <v>254</v>
      </c>
      <c r="B260" s="58"/>
      <c r="C260" s="59">
        <v>36</v>
      </c>
      <c r="D260" s="190" t="s">
        <v>57</v>
      </c>
      <c r="E260" s="795">
        <v>1250</v>
      </c>
      <c r="F260" s="795">
        <v>2500</v>
      </c>
      <c r="G260" s="796">
        <v>1250</v>
      </c>
      <c r="H260" s="1433" t="s">
        <v>23</v>
      </c>
      <c r="I260" s="317"/>
      <c r="J260" s="352"/>
      <c r="K260" s="352"/>
      <c r="L260" s="352"/>
      <c r="M260" s="352"/>
      <c r="N260" s="353"/>
      <c r="P260" s="7"/>
    </row>
    <row r="261" spans="1:16" s="318" customFormat="1" ht="18" customHeight="1" x14ac:dyDescent="0.3">
      <c r="A261" s="194">
        <v>255</v>
      </c>
      <c r="B261" s="315"/>
      <c r="C261" s="332"/>
      <c r="D261" s="316" t="s">
        <v>252</v>
      </c>
      <c r="E261" s="317"/>
      <c r="F261" s="317"/>
      <c r="G261" s="798"/>
      <c r="H261" s="1434"/>
      <c r="I261" s="317">
        <f>SUM(J261:N261)</f>
        <v>2500</v>
      </c>
      <c r="J261" s="312"/>
      <c r="K261" s="312"/>
      <c r="L261" s="312">
        <f>1250+1250</f>
        <v>2500</v>
      </c>
      <c r="M261" s="312"/>
      <c r="N261" s="313"/>
    </row>
    <row r="262" spans="1:16" s="318" customFormat="1" ht="18" customHeight="1" x14ac:dyDescent="0.3">
      <c r="A262" s="194">
        <v>256</v>
      </c>
      <c r="B262" s="315"/>
      <c r="C262" s="332"/>
      <c r="D262" s="1003" t="s">
        <v>921</v>
      </c>
      <c r="E262" s="317"/>
      <c r="F262" s="317"/>
      <c r="G262" s="798"/>
      <c r="H262" s="1434"/>
      <c r="I262" s="1448">
        <f>SUM(J262:N262)</f>
        <v>2500</v>
      </c>
      <c r="J262" s="1093"/>
      <c r="K262" s="1093"/>
      <c r="L262" s="1093">
        <v>2500</v>
      </c>
      <c r="M262" s="312"/>
      <c r="N262" s="313"/>
    </row>
    <row r="263" spans="1:16" s="318" customFormat="1" ht="18" customHeight="1" x14ac:dyDescent="0.3">
      <c r="A263" s="194">
        <v>257</v>
      </c>
      <c r="B263" s="315"/>
      <c r="C263" s="332"/>
      <c r="D263" s="1002" t="s">
        <v>973</v>
      </c>
      <c r="E263" s="317"/>
      <c r="F263" s="317"/>
      <c r="G263" s="798"/>
      <c r="H263" s="1434"/>
      <c r="I263" s="415">
        <f>SUM(J263:Q263)</f>
        <v>1250</v>
      </c>
      <c r="J263" s="312"/>
      <c r="K263" s="312"/>
      <c r="L263" s="1094">
        <v>1250</v>
      </c>
      <c r="M263" s="312"/>
      <c r="N263" s="313"/>
    </row>
    <row r="264" spans="1:16" s="3" customFormat="1" ht="22.5" customHeight="1" x14ac:dyDescent="0.3">
      <c r="A264" s="194">
        <v>258</v>
      </c>
      <c r="B264" s="58"/>
      <c r="C264" s="59">
        <v>37</v>
      </c>
      <c r="D264" s="190" t="s">
        <v>58</v>
      </c>
      <c r="E264" s="795"/>
      <c r="F264" s="795"/>
      <c r="G264" s="796"/>
      <c r="H264" s="1433" t="s">
        <v>23</v>
      </c>
      <c r="I264" s="317"/>
      <c r="J264" s="352"/>
      <c r="K264" s="352"/>
      <c r="L264" s="352"/>
      <c r="M264" s="352"/>
      <c r="N264" s="353"/>
      <c r="P264" s="7"/>
    </row>
    <row r="265" spans="1:16" s="7" customFormat="1" ht="22.5" customHeight="1" x14ac:dyDescent="0.3">
      <c r="A265" s="194">
        <v>259</v>
      </c>
      <c r="B265" s="61"/>
      <c r="C265" s="59">
        <v>38</v>
      </c>
      <c r="D265" s="189" t="s">
        <v>276</v>
      </c>
      <c r="E265" s="795">
        <v>56773</v>
      </c>
      <c r="F265" s="795">
        <v>136429</v>
      </c>
      <c r="G265" s="796">
        <v>88532</v>
      </c>
      <c r="H265" s="1433" t="s">
        <v>23</v>
      </c>
      <c r="I265" s="317"/>
      <c r="J265" s="352"/>
      <c r="K265" s="352"/>
      <c r="L265" s="352"/>
      <c r="M265" s="352"/>
      <c r="N265" s="353"/>
    </row>
    <row r="266" spans="1:16" s="318" customFormat="1" ht="18" customHeight="1" x14ac:dyDescent="0.3">
      <c r="A266" s="194">
        <v>260</v>
      </c>
      <c r="B266" s="315"/>
      <c r="C266" s="332"/>
      <c r="D266" s="316" t="s">
        <v>252</v>
      </c>
      <c r="E266" s="317"/>
      <c r="F266" s="317"/>
      <c r="G266" s="798"/>
      <c r="H266" s="1434"/>
      <c r="I266" s="317">
        <f>SUM(J266:N266)</f>
        <v>139464</v>
      </c>
      <c r="J266" s="312"/>
      <c r="K266" s="312"/>
      <c r="L266" s="312">
        <v>139464</v>
      </c>
      <c r="M266" s="312"/>
      <c r="N266" s="313"/>
    </row>
    <row r="267" spans="1:16" s="318" customFormat="1" ht="18" customHeight="1" x14ac:dyDescent="0.3">
      <c r="A267" s="194">
        <v>261</v>
      </c>
      <c r="B267" s="315"/>
      <c r="C267" s="332"/>
      <c r="D267" s="1003" t="s">
        <v>921</v>
      </c>
      <c r="E267" s="317"/>
      <c r="F267" s="317"/>
      <c r="G267" s="798"/>
      <c r="H267" s="1434"/>
      <c r="I267" s="1448">
        <f>SUM(J267:N267)</f>
        <v>176818</v>
      </c>
      <c r="J267" s="1093"/>
      <c r="K267" s="1093"/>
      <c r="L267" s="1093">
        <v>176818</v>
      </c>
      <c r="M267" s="312"/>
      <c r="N267" s="313"/>
    </row>
    <row r="268" spans="1:16" s="318" customFormat="1" ht="18" customHeight="1" x14ac:dyDescent="0.3">
      <c r="A268" s="194">
        <v>262</v>
      </c>
      <c r="B268" s="315"/>
      <c r="C268" s="332"/>
      <c r="D268" s="1002" t="s">
        <v>972</v>
      </c>
      <c r="E268" s="317"/>
      <c r="F268" s="317"/>
      <c r="G268" s="798"/>
      <c r="H268" s="1434"/>
      <c r="I268" s="415">
        <f>SUM(J268:Q268)</f>
        <v>68509</v>
      </c>
      <c r="J268" s="312"/>
      <c r="K268" s="312"/>
      <c r="L268" s="1094">
        <v>68509</v>
      </c>
      <c r="M268" s="312"/>
      <c r="N268" s="313"/>
    </row>
    <row r="269" spans="1:16" s="3" customFormat="1" ht="22.5" customHeight="1" x14ac:dyDescent="0.3">
      <c r="A269" s="194">
        <v>263</v>
      </c>
      <c r="B269" s="58"/>
      <c r="C269" s="59">
        <v>39</v>
      </c>
      <c r="D269" s="190" t="s">
        <v>437</v>
      </c>
      <c r="E269" s="795">
        <v>3743</v>
      </c>
      <c r="F269" s="795">
        <v>1533</v>
      </c>
      <c r="G269" s="796">
        <v>1124</v>
      </c>
      <c r="H269" s="1433" t="s">
        <v>23</v>
      </c>
      <c r="I269" s="1451"/>
      <c r="J269" s="360"/>
      <c r="K269" s="360"/>
      <c r="L269" s="360"/>
      <c r="M269" s="360"/>
      <c r="N269" s="361"/>
      <c r="O269" s="7"/>
      <c r="P269" s="7"/>
    </row>
    <row r="270" spans="1:16" s="318" customFormat="1" ht="18" customHeight="1" x14ac:dyDescent="0.3">
      <c r="A270" s="194">
        <v>264</v>
      </c>
      <c r="B270" s="315"/>
      <c r="C270" s="332"/>
      <c r="D270" s="316" t="s">
        <v>252</v>
      </c>
      <c r="E270" s="317"/>
      <c r="F270" s="317"/>
      <c r="G270" s="798"/>
      <c r="H270" s="1434"/>
      <c r="I270" s="317">
        <f>SUM(J270:N270)</f>
        <v>12459</v>
      </c>
      <c r="J270" s="312"/>
      <c r="K270" s="312"/>
      <c r="L270" s="312">
        <f>11500+959</f>
        <v>12459</v>
      </c>
      <c r="M270" s="312"/>
      <c r="N270" s="313"/>
    </row>
    <row r="271" spans="1:16" s="318" customFormat="1" ht="18" customHeight="1" x14ac:dyDescent="0.3">
      <c r="A271" s="194">
        <v>265</v>
      </c>
      <c r="B271" s="315"/>
      <c r="C271" s="332"/>
      <c r="D271" s="1003" t="s">
        <v>921</v>
      </c>
      <c r="E271" s="317"/>
      <c r="F271" s="317"/>
      <c r="G271" s="798"/>
      <c r="H271" s="1434"/>
      <c r="I271" s="1448">
        <f>SUM(J271:N271)</f>
        <v>12459</v>
      </c>
      <c r="J271" s="1093"/>
      <c r="K271" s="1093"/>
      <c r="L271" s="1093">
        <v>12459</v>
      </c>
      <c r="M271" s="312"/>
      <c r="N271" s="313"/>
    </row>
    <row r="272" spans="1:16" s="318" customFormat="1" ht="18" customHeight="1" x14ac:dyDescent="0.3">
      <c r="A272" s="194">
        <v>266</v>
      </c>
      <c r="B272" s="315"/>
      <c r="C272" s="332"/>
      <c r="D272" s="1002" t="s">
        <v>973</v>
      </c>
      <c r="E272" s="317"/>
      <c r="F272" s="317"/>
      <c r="G272" s="798"/>
      <c r="H272" s="1434"/>
      <c r="I272" s="415">
        <f>SUM(J272:Q272)</f>
        <v>1110</v>
      </c>
      <c r="J272" s="312"/>
      <c r="K272" s="312"/>
      <c r="L272" s="1094">
        <v>1110</v>
      </c>
      <c r="M272" s="312"/>
      <c r="N272" s="313"/>
    </row>
    <row r="273" spans="1:16" s="11" customFormat="1" ht="22.5" customHeight="1" x14ac:dyDescent="0.35">
      <c r="A273" s="194">
        <v>267</v>
      </c>
      <c r="B273" s="191"/>
      <c r="C273" s="59">
        <v>42</v>
      </c>
      <c r="D273" s="190" t="s">
        <v>11</v>
      </c>
      <c r="E273" s="795">
        <v>22750</v>
      </c>
      <c r="F273" s="795">
        <v>43050</v>
      </c>
      <c r="G273" s="796">
        <v>26700</v>
      </c>
      <c r="H273" s="1433" t="s">
        <v>24</v>
      </c>
      <c r="I273" s="1451"/>
      <c r="J273" s="360"/>
      <c r="K273" s="360"/>
      <c r="L273" s="360"/>
      <c r="M273" s="360"/>
      <c r="N273" s="361"/>
      <c r="O273" s="654"/>
      <c r="P273" s="654"/>
    </row>
    <row r="274" spans="1:16" s="318" customFormat="1" ht="18" customHeight="1" x14ac:dyDescent="0.3">
      <c r="A274" s="194">
        <v>268</v>
      </c>
      <c r="B274" s="315"/>
      <c r="C274" s="332"/>
      <c r="D274" s="316" t="s">
        <v>252</v>
      </c>
      <c r="E274" s="317"/>
      <c r="F274" s="317"/>
      <c r="G274" s="798"/>
      <c r="H274" s="1434"/>
      <c r="I274" s="317">
        <f>SUM(J274:N274)</f>
        <v>61350</v>
      </c>
      <c r="J274" s="312"/>
      <c r="K274" s="312"/>
      <c r="L274" s="312">
        <f>45000+16350</f>
        <v>61350</v>
      </c>
      <c r="M274" s="312"/>
      <c r="N274" s="313"/>
    </row>
    <row r="275" spans="1:16" s="318" customFormat="1" ht="18" customHeight="1" x14ac:dyDescent="0.3">
      <c r="A275" s="194">
        <v>269</v>
      </c>
      <c r="B275" s="315"/>
      <c r="C275" s="332"/>
      <c r="D275" s="1003" t="s">
        <v>921</v>
      </c>
      <c r="E275" s="317"/>
      <c r="F275" s="317"/>
      <c r="G275" s="798"/>
      <c r="H275" s="1434"/>
      <c r="I275" s="1448">
        <f>SUM(J275:N275)</f>
        <v>61350</v>
      </c>
      <c r="J275" s="1093"/>
      <c r="K275" s="1093"/>
      <c r="L275" s="1093">
        <v>61350</v>
      </c>
      <c r="M275" s="312"/>
      <c r="N275" s="313"/>
    </row>
    <row r="276" spans="1:16" s="318" customFormat="1" ht="18" customHeight="1" x14ac:dyDescent="0.3">
      <c r="A276" s="194">
        <v>270</v>
      </c>
      <c r="B276" s="315"/>
      <c r="C276" s="332"/>
      <c r="D276" s="1002" t="s">
        <v>973</v>
      </c>
      <c r="E276" s="317"/>
      <c r="F276" s="317"/>
      <c r="G276" s="798"/>
      <c r="H276" s="1434"/>
      <c r="I276" s="415">
        <f>SUM(J276:Q276)</f>
        <v>13558</v>
      </c>
      <c r="J276" s="312"/>
      <c r="K276" s="312"/>
      <c r="L276" s="1094">
        <v>13558</v>
      </c>
      <c r="M276" s="312"/>
      <c r="N276" s="313"/>
    </row>
    <row r="277" spans="1:16" s="11" customFormat="1" ht="22.5" customHeight="1" x14ac:dyDescent="0.35">
      <c r="A277" s="194">
        <v>271</v>
      </c>
      <c r="B277" s="191"/>
      <c r="C277" s="59">
        <v>43</v>
      </c>
      <c r="D277" s="190" t="s">
        <v>59</v>
      </c>
      <c r="E277" s="795">
        <v>4885</v>
      </c>
      <c r="F277" s="795">
        <v>6766</v>
      </c>
      <c r="G277" s="796">
        <v>6952</v>
      </c>
      <c r="H277" s="1433" t="s">
        <v>24</v>
      </c>
      <c r="I277" s="1451"/>
      <c r="J277" s="360"/>
      <c r="K277" s="360"/>
      <c r="L277" s="360"/>
      <c r="M277" s="360"/>
      <c r="N277" s="361"/>
      <c r="O277" s="654"/>
      <c r="P277" s="654"/>
    </row>
    <row r="278" spans="1:16" s="318" customFormat="1" ht="18" customHeight="1" x14ac:dyDescent="0.3">
      <c r="A278" s="194">
        <v>272</v>
      </c>
      <c r="B278" s="315"/>
      <c r="C278" s="332"/>
      <c r="D278" s="316" t="s">
        <v>252</v>
      </c>
      <c r="E278" s="317"/>
      <c r="F278" s="317"/>
      <c r="G278" s="798"/>
      <c r="H278" s="1434"/>
      <c r="I278" s="317">
        <f>SUM(J278:N278)</f>
        <v>7023</v>
      </c>
      <c r="J278" s="312"/>
      <c r="K278" s="312"/>
      <c r="L278" s="312">
        <f>5000+2023</f>
        <v>7023</v>
      </c>
      <c r="M278" s="312"/>
      <c r="N278" s="313"/>
    </row>
    <row r="279" spans="1:16" s="318" customFormat="1" ht="18" customHeight="1" x14ac:dyDescent="0.3">
      <c r="A279" s="194">
        <v>273</v>
      </c>
      <c r="B279" s="315"/>
      <c r="C279" s="332"/>
      <c r="D279" s="1003" t="s">
        <v>921</v>
      </c>
      <c r="E279" s="317"/>
      <c r="F279" s="317"/>
      <c r="G279" s="798"/>
      <c r="H279" s="1434"/>
      <c r="I279" s="1448">
        <f>SUM(J279:N279)</f>
        <v>6523</v>
      </c>
      <c r="J279" s="1093"/>
      <c r="K279" s="1093">
        <v>140</v>
      </c>
      <c r="L279" s="1093">
        <v>5933</v>
      </c>
      <c r="M279" s="1093"/>
      <c r="N279" s="1104">
        <v>450</v>
      </c>
    </row>
    <row r="280" spans="1:16" s="318" customFormat="1" ht="18" customHeight="1" x14ac:dyDescent="0.3">
      <c r="A280" s="194">
        <v>274</v>
      </c>
      <c r="B280" s="315"/>
      <c r="C280" s="332"/>
      <c r="D280" s="1002" t="s">
        <v>972</v>
      </c>
      <c r="E280" s="317"/>
      <c r="F280" s="317"/>
      <c r="G280" s="798"/>
      <c r="H280" s="1434"/>
      <c r="I280" s="415">
        <f>SUM(J280:Q280)</f>
        <v>2765</v>
      </c>
      <c r="J280" s="1094"/>
      <c r="K280" s="1094">
        <v>140</v>
      </c>
      <c r="L280" s="1094">
        <v>2375</v>
      </c>
      <c r="M280" s="1094"/>
      <c r="N280" s="1102">
        <v>250</v>
      </c>
    </row>
    <row r="281" spans="1:16" s="11" customFormat="1" ht="22.5" customHeight="1" x14ac:dyDescent="0.35">
      <c r="A281" s="194">
        <v>275</v>
      </c>
      <c r="B281" s="191"/>
      <c r="C281" s="59">
        <v>44</v>
      </c>
      <c r="D281" s="190" t="s">
        <v>60</v>
      </c>
      <c r="E281" s="795">
        <f>SUM(E285,E289,E297,E301)</f>
        <v>431</v>
      </c>
      <c r="F281" s="795">
        <f>SUM(F285,F289,F297,F301)</f>
        <v>3269</v>
      </c>
      <c r="G281" s="796">
        <f>SUM(G285,G289,G297,G301)+G293</f>
        <v>4600</v>
      </c>
      <c r="H281" s="1433" t="s">
        <v>24</v>
      </c>
      <c r="I281" s="1451"/>
      <c r="J281" s="360"/>
      <c r="K281" s="360"/>
      <c r="L281" s="360"/>
      <c r="M281" s="360"/>
      <c r="N281" s="361"/>
      <c r="O281" s="654"/>
      <c r="P281" s="654"/>
    </row>
    <row r="282" spans="1:16" s="318" customFormat="1" ht="18" customHeight="1" x14ac:dyDescent="0.3">
      <c r="A282" s="194">
        <v>276</v>
      </c>
      <c r="B282" s="315"/>
      <c r="C282" s="332"/>
      <c r="D282" s="316" t="s">
        <v>252</v>
      </c>
      <c r="E282" s="317"/>
      <c r="F282" s="317"/>
      <c r="G282" s="798"/>
      <c r="H282" s="1434"/>
      <c r="I282" s="317">
        <f>SUM(J282:N282)</f>
        <v>24100</v>
      </c>
      <c r="J282" s="314">
        <f t="shared" ref="J282:N283" si="3">SUM(J286,J302)+J290+J294+J298</f>
        <v>0</v>
      </c>
      <c r="K282" s="314">
        <f t="shared" si="3"/>
        <v>0</v>
      </c>
      <c r="L282" s="314">
        <f t="shared" si="3"/>
        <v>0</v>
      </c>
      <c r="M282" s="314">
        <f t="shared" si="3"/>
        <v>0</v>
      </c>
      <c r="N282" s="369">
        <f t="shared" si="3"/>
        <v>24100</v>
      </c>
    </row>
    <row r="283" spans="1:16" s="318" customFormat="1" ht="18" customHeight="1" x14ac:dyDescent="0.3">
      <c r="A283" s="194">
        <v>277</v>
      </c>
      <c r="B283" s="315"/>
      <c r="C283" s="332"/>
      <c r="D283" s="1003" t="s">
        <v>921</v>
      </c>
      <c r="E283" s="317"/>
      <c r="F283" s="317"/>
      <c r="G283" s="798"/>
      <c r="H283" s="1434"/>
      <c r="I283" s="1448">
        <f>SUM(J283:N283)</f>
        <v>21200</v>
      </c>
      <c r="J283" s="1106">
        <f t="shared" si="3"/>
        <v>0</v>
      </c>
      <c r="K283" s="1106">
        <f t="shared" si="3"/>
        <v>0</v>
      </c>
      <c r="L283" s="1106">
        <f t="shared" si="3"/>
        <v>0</v>
      </c>
      <c r="M283" s="1106">
        <f t="shared" si="3"/>
        <v>0</v>
      </c>
      <c r="N283" s="1111">
        <f t="shared" si="3"/>
        <v>21200</v>
      </c>
    </row>
    <row r="284" spans="1:16" s="318" customFormat="1" ht="18" customHeight="1" x14ac:dyDescent="0.3">
      <c r="A284" s="194">
        <v>278</v>
      </c>
      <c r="B284" s="315"/>
      <c r="C284" s="332"/>
      <c r="D284" s="1002" t="s">
        <v>973</v>
      </c>
      <c r="E284" s="317"/>
      <c r="F284" s="317"/>
      <c r="G284" s="798"/>
      <c r="H284" s="1434"/>
      <c r="I284" s="415">
        <f>SUM(J284:Q284)</f>
        <v>16200</v>
      </c>
      <c r="J284" s="1107">
        <f>J288+J292+J296+J300+J304</f>
        <v>0</v>
      </c>
      <c r="K284" s="1107">
        <f>K288+K292+K296+K300+K304</f>
        <v>0</v>
      </c>
      <c r="L284" s="1107">
        <f>L288+L292+L296+L300+L304</f>
        <v>0</v>
      </c>
      <c r="M284" s="1107">
        <f>M288+M292+M296+M300+M304</f>
        <v>0</v>
      </c>
      <c r="N284" s="1103">
        <f>N288+N292+N296+N300+N304</f>
        <v>16200</v>
      </c>
    </row>
    <row r="285" spans="1:16" s="196" customFormat="1" ht="18" customHeight="1" x14ac:dyDescent="0.3">
      <c r="A285" s="194">
        <v>279</v>
      </c>
      <c r="B285" s="63"/>
      <c r="C285" s="59"/>
      <c r="D285" s="155" t="s">
        <v>61</v>
      </c>
      <c r="E285" s="795"/>
      <c r="F285" s="799">
        <v>2500</v>
      </c>
      <c r="G285" s="799"/>
      <c r="H285" s="1435"/>
      <c r="I285" s="801"/>
      <c r="J285" s="360"/>
      <c r="K285" s="360"/>
      <c r="L285" s="360"/>
      <c r="M285" s="360"/>
      <c r="N285" s="359"/>
      <c r="P285" s="197"/>
    </row>
    <row r="286" spans="1:16" s="329" customFormat="1" ht="18" customHeight="1" x14ac:dyDescent="0.3">
      <c r="A286" s="194">
        <v>280</v>
      </c>
      <c r="B286" s="322"/>
      <c r="C286" s="332"/>
      <c r="D286" s="327" t="s">
        <v>252</v>
      </c>
      <c r="E286" s="317"/>
      <c r="F286" s="801"/>
      <c r="G286" s="802"/>
      <c r="H286" s="1436"/>
      <c r="I286" s="1450">
        <f>SUM(J286:N286)</f>
        <v>3500</v>
      </c>
      <c r="J286" s="324"/>
      <c r="K286" s="324"/>
      <c r="L286" s="324"/>
      <c r="M286" s="324"/>
      <c r="N286" s="359">
        <v>3500</v>
      </c>
      <c r="P286" s="330"/>
    </row>
    <row r="287" spans="1:16" s="329" customFormat="1" ht="18" customHeight="1" x14ac:dyDescent="0.3">
      <c r="A287" s="194">
        <v>281</v>
      </c>
      <c r="B287" s="322"/>
      <c r="C287" s="332"/>
      <c r="D287" s="1022" t="s">
        <v>921</v>
      </c>
      <c r="E287" s="317"/>
      <c r="F287" s="801"/>
      <c r="G287" s="802"/>
      <c r="H287" s="1436"/>
      <c r="I287" s="799">
        <f>SUM(J287:N287)</f>
        <v>0</v>
      </c>
      <c r="J287" s="1095"/>
      <c r="K287" s="1095"/>
      <c r="L287" s="1095"/>
      <c r="M287" s="1095"/>
      <c r="N287" s="1102">
        <v>0</v>
      </c>
      <c r="P287" s="330"/>
    </row>
    <row r="288" spans="1:16" s="329" customFormat="1" ht="18" customHeight="1" x14ac:dyDescent="0.3">
      <c r="A288" s="194">
        <v>282</v>
      </c>
      <c r="B288" s="322"/>
      <c r="C288" s="332"/>
      <c r="D288" s="1022" t="s">
        <v>972</v>
      </c>
      <c r="E288" s="317"/>
      <c r="F288" s="801"/>
      <c r="G288" s="802"/>
      <c r="H288" s="1436"/>
      <c r="I288" s="415">
        <f>SUM(J288:Q288)</f>
        <v>0</v>
      </c>
      <c r="J288" s="324"/>
      <c r="K288" s="324"/>
      <c r="L288" s="324"/>
      <c r="M288" s="324"/>
      <c r="N288" s="1102">
        <v>0</v>
      </c>
      <c r="P288" s="330"/>
    </row>
    <row r="289" spans="1:16" s="196" customFormat="1" ht="18" customHeight="1" x14ac:dyDescent="0.3">
      <c r="A289" s="194">
        <v>283</v>
      </c>
      <c r="B289" s="63"/>
      <c r="C289" s="59"/>
      <c r="D289" s="155" t="s">
        <v>62</v>
      </c>
      <c r="E289" s="799"/>
      <c r="F289" s="799"/>
      <c r="G289" s="800"/>
      <c r="H289" s="1435"/>
      <c r="I289" s="1452"/>
      <c r="J289" s="360"/>
      <c r="K289" s="360"/>
      <c r="L289" s="360"/>
      <c r="M289" s="360"/>
      <c r="N289" s="361"/>
      <c r="P289" s="197"/>
    </row>
    <row r="290" spans="1:16" s="196" customFormat="1" ht="18" customHeight="1" x14ac:dyDescent="0.3">
      <c r="A290" s="194">
        <v>284</v>
      </c>
      <c r="B290" s="63"/>
      <c r="C290" s="59"/>
      <c r="D290" s="327" t="s">
        <v>252</v>
      </c>
      <c r="E290" s="799"/>
      <c r="F290" s="799"/>
      <c r="G290" s="800"/>
      <c r="H290" s="1435"/>
      <c r="I290" s="1450">
        <f>SUM(J290:N290)</f>
        <v>15000</v>
      </c>
      <c r="J290" s="360"/>
      <c r="K290" s="360"/>
      <c r="L290" s="360"/>
      <c r="M290" s="360"/>
      <c r="N290" s="361">
        <v>15000</v>
      </c>
      <c r="P290" s="197"/>
    </row>
    <row r="291" spans="1:16" s="196" customFormat="1" ht="18" customHeight="1" x14ac:dyDescent="0.3">
      <c r="A291" s="194">
        <v>285</v>
      </c>
      <c r="B291" s="63"/>
      <c r="C291" s="59"/>
      <c r="D291" s="1022" t="s">
        <v>921</v>
      </c>
      <c r="E291" s="799"/>
      <c r="F291" s="799"/>
      <c r="G291" s="800"/>
      <c r="H291" s="1435"/>
      <c r="I291" s="799">
        <f>SUM(J291:N291)</f>
        <v>15000</v>
      </c>
      <c r="J291" s="1107"/>
      <c r="K291" s="1107"/>
      <c r="L291" s="1107"/>
      <c r="M291" s="1107"/>
      <c r="N291" s="1103">
        <v>15000</v>
      </c>
      <c r="P291" s="197"/>
    </row>
    <row r="292" spans="1:16" s="196" customFormat="1" ht="18" customHeight="1" x14ac:dyDescent="0.3">
      <c r="A292" s="194">
        <v>286</v>
      </c>
      <c r="B292" s="63"/>
      <c r="C292" s="59"/>
      <c r="D292" s="1022" t="s">
        <v>973</v>
      </c>
      <c r="E292" s="799"/>
      <c r="F292" s="799"/>
      <c r="G292" s="800"/>
      <c r="H292" s="1435"/>
      <c r="I292" s="415">
        <f>SUM(J292:Q292)</f>
        <v>10000</v>
      </c>
      <c r="J292" s="360"/>
      <c r="K292" s="360"/>
      <c r="L292" s="360"/>
      <c r="M292" s="360"/>
      <c r="N292" s="1103">
        <v>10000</v>
      </c>
      <c r="P292" s="197"/>
    </row>
    <row r="293" spans="1:16" s="196" customFormat="1" ht="18" customHeight="1" x14ac:dyDescent="0.3">
      <c r="A293" s="194">
        <v>287</v>
      </c>
      <c r="B293" s="63"/>
      <c r="C293" s="59"/>
      <c r="D293" s="155" t="s">
        <v>609</v>
      </c>
      <c r="E293" s="799"/>
      <c r="F293" s="799"/>
      <c r="G293" s="800">
        <v>4000</v>
      </c>
      <c r="H293" s="1435"/>
      <c r="I293" s="1450"/>
      <c r="J293" s="360"/>
      <c r="K293" s="360"/>
      <c r="L293" s="360"/>
      <c r="M293" s="360"/>
      <c r="N293" s="361"/>
      <c r="P293" s="197"/>
    </row>
    <row r="294" spans="1:16" s="196" customFormat="1" ht="18" customHeight="1" x14ac:dyDescent="0.3">
      <c r="A294" s="194">
        <v>288</v>
      </c>
      <c r="B294" s="63"/>
      <c r="C294" s="59"/>
      <c r="D294" s="327" t="s">
        <v>252</v>
      </c>
      <c r="E294" s="799"/>
      <c r="F294" s="799"/>
      <c r="G294" s="800"/>
      <c r="H294" s="1435"/>
      <c r="I294" s="1450">
        <f>SUM(J294:N294)</f>
        <v>4000</v>
      </c>
      <c r="J294" s="360"/>
      <c r="K294" s="360"/>
      <c r="L294" s="360"/>
      <c r="M294" s="360"/>
      <c r="N294" s="361">
        <v>4000</v>
      </c>
      <c r="P294" s="197"/>
    </row>
    <row r="295" spans="1:16" s="196" customFormat="1" ht="18" customHeight="1" x14ac:dyDescent="0.3">
      <c r="A295" s="194">
        <v>289</v>
      </c>
      <c r="B295" s="63"/>
      <c r="C295" s="59"/>
      <c r="D295" s="1022" t="s">
        <v>921</v>
      </c>
      <c r="E295" s="799"/>
      <c r="F295" s="799"/>
      <c r="G295" s="800"/>
      <c r="H295" s="1435"/>
      <c r="I295" s="799">
        <f>SUM(J295:N295)</f>
        <v>4000</v>
      </c>
      <c r="J295" s="1107"/>
      <c r="K295" s="1107"/>
      <c r="L295" s="1107"/>
      <c r="M295" s="1107"/>
      <c r="N295" s="1103">
        <v>4000</v>
      </c>
      <c r="P295" s="197"/>
    </row>
    <row r="296" spans="1:16" s="196" customFormat="1" ht="18" customHeight="1" x14ac:dyDescent="0.3">
      <c r="A296" s="194">
        <v>290</v>
      </c>
      <c r="B296" s="63"/>
      <c r="C296" s="59"/>
      <c r="D296" s="1022" t="s">
        <v>973</v>
      </c>
      <c r="E296" s="799"/>
      <c r="F296" s="799"/>
      <c r="G296" s="800"/>
      <c r="H296" s="1435"/>
      <c r="I296" s="415">
        <f>SUM(J296:Q296)</f>
        <v>4000</v>
      </c>
      <c r="J296" s="360"/>
      <c r="K296" s="360"/>
      <c r="L296" s="360"/>
      <c r="M296" s="360"/>
      <c r="N296" s="1103">
        <v>4000</v>
      </c>
      <c r="P296" s="197"/>
    </row>
    <row r="297" spans="1:16" s="196" customFormat="1" ht="18" customHeight="1" x14ac:dyDescent="0.3">
      <c r="A297" s="194">
        <v>291</v>
      </c>
      <c r="B297" s="63"/>
      <c r="C297" s="59"/>
      <c r="D297" s="155" t="s">
        <v>361</v>
      </c>
      <c r="E297" s="799"/>
      <c r="F297" s="799"/>
      <c r="G297" s="800"/>
      <c r="H297" s="1435"/>
      <c r="I297" s="1452"/>
      <c r="J297" s="360"/>
      <c r="K297" s="360"/>
      <c r="L297" s="360"/>
      <c r="M297" s="360"/>
      <c r="N297" s="361"/>
      <c r="P297" s="197"/>
    </row>
    <row r="298" spans="1:16" s="196" customFormat="1" ht="18" customHeight="1" x14ac:dyDescent="0.3">
      <c r="A298" s="194">
        <v>292</v>
      </c>
      <c r="B298" s="63"/>
      <c r="C298" s="59"/>
      <c r="D298" s="327" t="s">
        <v>252</v>
      </c>
      <c r="E298" s="799"/>
      <c r="F298" s="799"/>
      <c r="G298" s="800"/>
      <c r="H298" s="1435"/>
      <c r="I298" s="1450">
        <f>SUM(J298:N298)</f>
        <v>1000</v>
      </c>
      <c r="J298" s="360"/>
      <c r="K298" s="360"/>
      <c r="L298" s="360"/>
      <c r="M298" s="360"/>
      <c r="N298" s="361">
        <v>1000</v>
      </c>
      <c r="P298" s="197"/>
    </row>
    <row r="299" spans="1:16" s="196" customFormat="1" ht="18" customHeight="1" x14ac:dyDescent="0.3">
      <c r="A299" s="194">
        <v>293</v>
      </c>
      <c r="B299" s="63"/>
      <c r="C299" s="59"/>
      <c r="D299" s="1022" t="s">
        <v>921</v>
      </c>
      <c r="E299" s="799"/>
      <c r="F299" s="799"/>
      <c r="G299" s="800"/>
      <c r="H299" s="1435"/>
      <c r="I299" s="799">
        <f>SUM(J299:N299)</f>
        <v>1000</v>
      </c>
      <c r="J299" s="1107"/>
      <c r="K299" s="1107"/>
      <c r="L299" s="1107"/>
      <c r="M299" s="1107"/>
      <c r="N299" s="1103">
        <v>1000</v>
      </c>
      <c r="P299" s="197"/>
    </row>
    <row r="300" spans="1:16" s="196" customFormat="1" ht="18" customHeight="1" x14ac:dyDescent="0.3">
      <c r="A300" s="194">
        <v>294</v>
      </c>
      <c r="B300" s="63"/>
      <c r="C300" s="59"/>
      <c r="D300" s="1022" t="s">
        <v>973</v>
      </c>
      <c r="E300" s="799"/>
      <c r="F300" s="799"/>
      <c r="G300" s="800"/>
      <c r="H300" s="1435"/>
      <c r="I300" s="415">
        <f>SUM(J300:Q300)</f>
        <v>1000</v>
      </c>
      <c r="J300" s="360"/>
      <c r="K300" s="360"/>
      <c r="L300" s="360"/>
      <c r="M300" s="360"/>
      <c r="N300" s="1103">
        <v>1000</v>
      </c>
      <c r="P300" s="197"/>
    </row>
    <row r="301" spans="1:16" s="196" customFormat="1" ht="18" customHeight="1" x14ac:dyDescent="0.3">
      <c r="A301" s="194">
        <v>295</v>
      </c>
      <c r="B301" s="63"/>
      <c r="C301" s="59"/>
      <c r="D301" s="155" t="s">
        <v>362</v>
      </c>
      <c r="E301" s="799">
        <v>431</v>
      </c>
      <c r="F301" s="799">
        <v>769</v>
      </c>
      <c r="G301" s="800">
        <v>600</v>
      </c>
      <c r="H301" s="1435"/>
      <c r="I301" s="1452"/>
      <c r="J301" s="360"/>
      <c r="K301" s="360"/>
      <c r="L301" s="360"/>
      <c r="M301" s="360"/>
      <c r="N301" s="361"/>
      <c r="P301" s="197"/>
    </row>
    <row r="302" spans="1:16" s="329" customFormat="1" ht="18" customHeight="1" x14ac:dyDescent="0.3">
      <c r="A302" s="194">
        <v>296</v>
      </c>
      <c r="B302" s="322"/>
      <c r="C302" s="332"/>
      <c r="D302" s="327" t="s">
        <v>252</v>
      </c>
      <c r="E302" s="317"/>
      <c r="F302" s="801"/>
      <c r="G302" s="802"/>
      <c r="H302" s="1436"/>
      <c r="I302" s="1450">
        <f>SUM(J302:N302)</f>
        <v>600</v>
      </c>
      <c r="J302" s="324"/>
      <c r="K302" s="324"/>
      <c r="L302" s="324"/>
      <c r="M302" s="324"/>
      <c r="N302" s="359">
        <v>600</v>
      </c>
      <c r="P302" s="330"/>
    </row>
    <row r="303" spans="1:16" s="329" customFormat="1" ht="18" customHeight="1" x14ac:dyDescent="0.3">
      <c r="A303" s="194">
        <v>297</v>
      </c>
      <c r="B303" s="322"/>
      <c r="C303" s="332"/>
      <c r="D303" s="1022" t="s">
        <v>921</v>
      </c>
      <c r="E303" s="317"/>
      <c r="F303" s="801"/>
      <c r="G303" s="802"/>
      <c r="H303" s="1436"/>
      <c r="I303" s="799">
        <f>SUM(J303:N303)</f>
        <v>1200</v>
      </c>
      <c r="J303" s="1095"/>
      <c r="K303" s="1095"/>
      <c r="L303" s="1095"/>
      <c r="M303" s="1095"/>
      <c r="N303" s="1102">
        <v>1200</v>
      </c>
      <c r="P303" s="330"/>
    </row>
    <row r="304" spans="1:16" s="329" customFormat="1" ht="18" customHeight="1" x14ac:dyDescent="0.3">
      <c r="A304" s="194">
        <v>298</v>
      </c>
      <c r="B304" s="322"/>
      <c r="C304" s="332"/>
      <c r="D304" s="1022" t="s">
        <v>972</v>
      </c>
      <c r="E304" s="317"/>
      <c r="F304" s="801"/>
      <c r="G304" s="802"/>
      <c r="H304" s="1436"/>
      <c r="I304" s="415">
        <f>SUM(J304:Q304)</f>
        <v>1200</v>
      </c>
      <c r="J304" s="324"/>
      <c r="K304" s="324"/>
      <c r="L304" s="324"/>
      <c r="M304" s="324"/>
      <c r="N304" s="1102">
        <v>1200</v>
      </c>
      <c r="P304" s="330"/>
    </row>
    <row r="305" spans="1:16" s="11" customFormat="1" ht="22.5" customHeight="1" x14ac:dyDescent="0.35">
      <c r="A305" s="194">
        <v>299</v>
      </c>
      <c r="B305" s="191"/>
      <c r="C305" s="59">
        <v>45</v>
      </c>
      <c r="D305" s="190" t="s">
        <v>277</v>
      </c>
      <c r="E305" s="795">
        <f>SUM(E309,E310,E314)</f>
        <v>6600</v>
      </c>
      <c r="F305" s="795">
        <f>SUM(F309,F310,F314)</f>
        <v>4700</v>
      </c>
      <c r="G305" s="796">
        <f>SUM(G309,G310,G314)</f>
        <v>6000</v>
      </c>
      <c r="H305" s="1433" t="s">
        <v>24</v>
      </c>
      <c r="I305" s="1451"/>
      <c r="J305" s="360"/>
      <c r="K305" s="360"/>
      <c r="L305" s="360"/>
      <c r="M305" s="360"/>
      <c r="N305" s="361"/>
      <c r="O305" s="654"/>
      <c r="P305" s="654"/>
    </row>
    <row r="306" spans="1:16" s="318" customFormat="1" ht="18" customHeight="1" x14ac:dyDescent="0.3">
      <c r="A306" s="194">
        <v>300</v>
      </c>
      <c r="B306" s="315"/>
      <c r="C306" s="332"/>
      <c r="D306" s="316" t="s">
        <v>252</v>
      </c>
      <c r="E306" s="317"/>
      <c r="F306" s="317"/>
      <c r="G306" s="798"/>
      <c r="H306" s="1434"/>
      <c r="I306" s="317">
        <f>SUM(J306:N306)</f>
        <v>18700</v>
      </c>
      <c r="J306" s="314">
        <f>J311+J315+J319+J323</f>
        <v>0</v>
      </c>
      <c r="K306" s="314">
        <f>K311+K315+K319+K323</f>
        <v>0</v>
      </c>
      <c r="L306" s="314">
        <f>L311+L315+L319+L323</f>
        <v>100</v>
      </c>
      <c r="M306" s="314">
        <f>M311+M315+M319+M323</f>
        <v>0</v>
      </c>
      <c r="N306" s="369">
        <f>N311+N315+N319+N323</f>
        <v>18600</v>
      </c>
    </row>
    <row r="307" spans="1:16" s="318" customFormat="1" ht="18" customHeight="1" x14ac:dyDescent="0.3">
      <c r="A307" s="194">
        <v>301</v>
      </c>
      <c r="B307" s="315"/>
      <c r="C307" s="332"/>
      <c r="D307" s="1003" t="s">
        <v>921</v>
      </c>
      <c r="E307" s="317"/>
      <c r="F307" s="317"/>
      <c r="G307" s="798"/>
      <c r="H307" s="1434"/>
      <c r="I307" s="1448">
        <f>SUM(J307:N307)</f>
        <v>68700</v>
      </c>
      <c r="J307" s="1106">
        <f t="shared" ref="J307:N308" si="4">J312+J316+J320+J324+J327+J330</f>
        <v>0</v>
      </c>
      <c r="K307" s="1106">
        <f t="shared" si="4"/>
        <v>0</v>
      </c>
      <c r="L307" s="1106">
        <f t="shared" si="4"/>
        <v>12100</v>
      </c>
      <c r="M307" s="1106">
        <f t="shared" si="4"/>
        <v>0</v>
      </c>
      <c r="N307" s="1111">
        <f t="shared" si="4"/>
        <v>56600</v>
      </c>
    </row>
    <row r="308" spans="1:16" s="318" customFormat="1" ht="18" customHeight="1" x14ac:dyDescent="0.3">
      <c r="A308" s="194">
        <v>302</v>
      </c>
      <c r="B308" s="315"/>
      <c r="C308" s="332"/>
      <c r="D308" s="1002" t="s">
        <v>973</v>
      </c>
      <c r="E308" s="317"/>
      <c r="F308" s="317"/>
      <c r="G308" s="798"/>
      <c r="H308" s="1434"/>
      <c r="I308" s="415">
        <f>SUM(J308:Q308)</f>
        <v>50000</v>
      </c>
      <c r="J308" s="1107">
        <f t="shared" si="4"/>
        <v>0</v>
      </c>
      <c r="K308" s="1107">
        <f t="shared" si="4"/>
        <v>0</v>
      </c>
      <c r="L308" s="1107">
        <v>0</v>
      </c>
      <c r="M308" s="1107">
        <f t="shared" si="4"/>
        <v>0</v>
      </c>
      <c r="N308" s="1103">
        <f t="shared" si="4"/>
        <v>50000</v>
      </c>
    </row>
    <row r="309" spans="1:16" s="196" customFormat="1" ht="18" customHeight="1" x14ac:dyDescent="0.3">
      <c r="A309" s="194">
        <v>303</v>
      </c>
      <c r="B309" s="63"/>
      <c r="C309" s="59"/>
      <c r="D309" s="155" t="s">
        <v>233</v>
      </c>
      <c r="E309" s="799">
        <v>5000</v>
      </c>
      <c r="F309" s="799">
        <v>3000</v>
      </c>
      <c r="G309" s="800"/>
      <c r="H309" s="1435"/>
      <c r="I309" s="801"/>
      <c r="J309" s="358"/>
      <c r="K309" s="358"/>
      <c r="L309" s="358"/>
      <c r="M309" s="358"/>
      <c r="N309" s="359"/>
      <c r="P309" s="197"/>
    </row>
    <row r="310" spans="1:16" s="196" customFormat="1" ht="18" customHeight="1" x14ac:dyDescent="0.3">
      <c r="A310" s="194">
        <v>304</v>
      </c>
      <c r="B310" s="63"/>
      <c r="C310" s="59"/>
      <c r="D310" s="155" t="s">
        <v>235</v>
      </c>
      <c r="E310" s="799"/>
      <c r="F310" s="799"/>
      <c r="G310" s="800">
        <v>5000</v>
      </c>
      <c r="H310" s="1435"/>
      <c r="I310" s="1450"/>
      <c r="J310" s="360"/>
      <c r="K310" s="360"/>
      <c r="L310" s="360"/>
      <c r="M310" s="360"/>
      <c r="N310" s="361"/>
      <c r="P310" s="197"/>
    </row>
    <row r="311" spans="1:16" s="196" customFormat="1" ht="18" customHeight="1" x14ac:dyDescent="0.3">
      <c r="A311" s="194">
        <v>305</v>
      </c>
      <c r="B311" s="63"/>
      <c r="C311" s="59"/>
      <c r="D311" s="327" t="s">
        <v>252</v>
      </c>
      <c r="E311" s="799"/>
      <c r="F311" s="799"/>
      <c r="G311" s="800"/>
      <c r="H311" s="1435"/>
      <c r="I311" s="1450">
        <f>SUM(J311:N311)</f>
        <v>5000</v>
      </c>
      <c r="J311" s="360"/>
      <c r="K311" s="360"/>
      <c r="L311" s="360"/>
      <c r="M311" s="360"/>
      <c r="N311" s="361">
        <v>5000</v>
      </c>
      <c r="P311" s="197"/>
    </row>
    <row r="312" spans="1:16" s="196" customFormat="1" ht="18" customHeight="1" x14ac:dyDescent="0.3">
      <c r="A312" s="194">
        <v>306</v>
      </c>
      <c r="B312" s="63"/>
      <c r="C312" s="59"/>
      <c r="D312" s="1022" t="s">
        <v>921</v>
      </c>
      <c r="E312" s="799"/>
      <c r="F312" s="799"/>
      <c r="G312" s="800"/>
      <c r="H312" s="1435"/>
      <c r="I312" s="799">
        <f>SUM(J312:N312)</f>
        <v>5000</v>
      </c>
      <c r="J312" s="1107"/>
      <c r="K312" s="1107"/>
      <c r="L312" s="1107"/>
      <c r="M312" s="1107"/>
      <c r="N312" s="1103">
        <v>5000</v>
      </c>
      <c r="P312" s="197"/>
    </row>
    <row r="313" spans="1:16" s="196" customFormat="1" ht="18" customHeight="1" x14ac:dyDescent="0.3">
      <c r="A313" s="194">
        <v>307</v>
      </c>
      <c r="B313" s="63"/>
      <c r="C313" s="59"/>
      <c r="D313" s="1022" t="s">
        <v>973</v>
      </c>
      <c r="E313" s="799"/>
      <c r="F313" s="799"/>
      <c r="G313" s="800"/>
      <c r="H313" s="1435"/>
      <c r="I313" s="415">
        <f>SUM(J313:Q313)</f>
        <v>0</v>
      </c>
      <c r="J313" s="360"/>
      <c r="K313" s="360"/>
      <c r="L313" s="360"/>
      <c r="M313" s="360"/>
      <c r="N313" s="1103">
        <v>0</v>
      </c>
      <c r="P313" s="197"/>
    </row>
    <row r="314" spans="1:16" s="196" customFormat="1" ht="18" customHeight="1" x14ac:dyDescent="0.3">
      <c r="A314" s="194">
        <v>308</v>
      </c>
      <c r="B314" s="63"/>
      <c r="C314" s="59"/>
      <c r="D314" s="155" t="s">
        <v>234</v>
      </c>
      <c r="E314" s="799">
        <v>1600</v>
      </c>
      <c r="F314" s="799">
        <v>1700</v>
      </c>
      <c r="G314" s="800">
        <v>1000</v>
      </c>
      <c r="H314" s="1435"/>
      <c r="I314" s="1450"/>
      <c r="J314" s="360"/>
      <c r="K314" s="360"/>
      <c r="L314" s="360"/>
      <c r="M314" s="360"/>
      <c r="N314" s="361"/>
      <c r="P314" s="197"/>
    </row>
    <row r="315" spans="1:16" s="329" customFormat="1" ht="18" customHeight="1" x14ac:dyDescent="0.3">
      <c r="A315" s="194">
        <v>309</v>
      </c>
      <c r="B315" s="322"/>
      <c r="C315" s="332"/>
      <c r="D315" s="327" t="s">
        <v>252</v>
      </c>
      <c r="E315" s="317"/>
      <c r="F315" s="801"/>
      <c r="G315" s="802"/>
      <c r="H315" s="1436"/>
      <c r="I315" s="1450">
        <f>SUM(J315:N315)</f>
        <v>1700</v>
      </c>
      <c r="J315" s="324"/>
      <c r="K315" s="324"/>
      <c r="L315" s="358">
        <v>100</v>
      </c>
      <c r="M315" s="324"/>
      <c r="N315" s="359">
        <v>1600</v>
      </c>
      <c r="P315" s="330"/>
    </row>
    <row r="316" spans="1:16" s="329" customFormat="1" ht="18" customHeight="1" x14ac:dyDescent="0.3">
      <c r="A316" s="194">
        <v>310</v>
      </c>
      <c r="B316" s="322"/>
      <c r="C316" s="332"/>
      <c r="D316" s="1022" t="s">
        <v>921</v>
      </c>
      <c r="E316" s="317"/>
      <c r="F316" s="801"/>
      <c r="G316" s="802"/>
      <c r="H316" s="1436"/>
      <c r="I316" s="799">
        <f>SUM(J316:N316)</f>
        <v>1700</v>
      </c>
      <c r="J316" s="1095"/>
      <c r="K316" s="1095"/>
      <c r="L316" s="1094">
        <v>100</v>
      </c>
      <c r="M316" s="1095"/>
      <c r="N316" s="1102">
        <v>1600</v>
      </c>
      <c r="P316" s="330"/>
    </row>
    <row r="317" spans="1:16" s="329" customFormat="1" ht="18" customHeight="1" x14ac:dyDescent="0.3">
      <c r="A317" s="194">
        <v>311</v>
      </c>
      <c r="B317" s="322"/>
      <c r="C317" s="332"/>
      <c r="D317" s="1022" t="s">
        <v>973</v>
      </c>
      <c r="E317" s="317"/>
      <c r="F317" s="801"/>
      <c r="G317" s="802"/>
      <c r="H317" s="1436"/>
      <c r="I317" s="415">
        <f>SUM(J317:Q317)</f>
        <v>0</v>
      </c>
      <c r="J317" s="324"/>
      <c r="K317" s="324"/>
      <c r="L317" s="1094">
        <v>0</v>
      </c>
      <c r="M317" s="1737"/>
      <c r="N317" s="1102">
        <v>0</v>
      </c>
      <c r="P317" s="330"/>
    </row>
    <row r="318" spans="1:16" s="329" customFormat="1" ht="18" customHeight="1" x14ac:dyDescent="0.3">
      <c r="A318" s="194">
        <v>312</v>
      </c>
      <c r="B318" s="322"/>
      <c r="C318" s="332"/>
      <c r="D318" s="155" t="s">
        <v>610</v>
      </c>
      <c r="E318" s="317"/>
      <c r="F318" s="801"/>
      <c r="G318" s="802"/>
      <c r="H318" s="1436"/>
      <c r="I318" s="1450"/>
      <c r="J318" s="324"/>
      <c r="K318" s="324"/>
      <c r="L318" s="324"/>
      <c r="M318" s="324"/>
      <c r="N318" s="359"/>
      <c r="P318" s="330"/>
    </row>
    <row r="319" spans="1:16" s="329" customFormat="1" ht="18" customHeight="1" x14ac:dyDescent="0.3">
      <c r="A319" s="194">
        <v>313</v>
      </c>
      <c r="B319" s="322"/>
      <c r="C319" s="332"/>
      <c r="D319" s="327" t="s">
        <v>252</v>
      </c>
      <c r="E319" s="317"/>
      <c r="F319" s="801"/>
      <c r="G319" s="802"/>
      <c r="H319" s="1436"/>
      <c r="I319" s="1450">
        <f>SUM(J319:N319)</f>
        <v>7000</v>
      </c>
      <c r="J319" s="324"/>
      <c r="K319" s="324"/>
      <c r="L319" s="324"/>
      <c r="M319" s="324"/>
      <c r="N319" s="359">
        <v>7000</v>
      </c>
      <c r="P319" s="330"/>
    </row>
    <row r="320" spans="1:16" s="329" customFormat="1" ht="18" customHeight="1" x14ac:dyDescent="0.3">
      <c r="A320" s="194">
        <v>314</v>
      </c>
      <c r="B320" s="322"/>
      <c r="C320" s="332"/>
      <c r="D320" s="1022" t="s">
        <v>921</v>
      </c>
      <c r="E320" s="317"/>
      <c r="F320" s="801"/>
      <c r="G320" s="802"/>
      <c r="H320" s="1436"/>
      <c r="I320" s="799">
        <f>SUM(J320:N320)</f>
        <v>7000</v>
      </c>
      <c r="J320" s="1095"/>
      <c r="K320" s="1095"/>
      <c r="L320" s="1094">
        <v>7000</v>
      </c>
      <c r="M320" s="1095"/>
      <c r="N320" s="1102">
        <v>0</v>
      </c>
      <c r="P320" s="330"/>
    </row>
    <row r="321" spans="1:16" s="329" customFormat="1" ht="18" customHeight="1" x14ac:dyDescent="0.3">
      <c r="A321" s="194">
        <v>315</v>
      </c>
      <c r="B321" s="322"/>
      <c r="C321" s="332"/>
      <c r="D321" s="1022" t="s">
        <v>972</v>
      </c>
      <c r="E321" s="317"/>
      <c r="F321" s="801"/>
      <c r="G321" s="802"/>
      <c r="H321" s="1436"/>
      <c r="I321" s="415">
        <f>SUM(J321:Q321)</f>
        <v>0</v>
      </c>
      <c r="J321" s="324"/>
      <c r="K321" s="324"/>
      <c r="L321" s="1094">
        <v>0</v>
      </c>
      <c r="M321" s="1736"/>
      <c r="N321" s="1102">
        <v>0</v>
      </c>
      <c r="P321" s="330"/>
    </row>
    <row r="322" spans="1:16" s="329" customFormat="1" ht="18" customHeight="1" x14ac:dyDescent="0.3">
      <c r="A322" s="194">
        <v>316</v>
      </c>
      <c r="B322" s="322"/>
      <c r="C322" s="332"/>
      <c r="D322" s="155" t="s">
        <v>611</v>
      </c>
      <c r="E322" s="317"/>
      <c r="F322" s="801"/>
      <c r="G322" s="802"/>
      <c r="H322" s="1436"/>
      <c r="I322" s="1450"/>
      <c r="J322" s="324"/>
      <c r="K322" s="324"/>
      <c r="L322" s="324"/>
      <c r="M322" s="324"/>
      <c r="N322" s="359"/>
      <c r="P322" s="330"/>
    </row>
    <row r="323" spans="1:16" s="329" customFormat="1" ht="18" customHeight="1" x14ac:dyDescent="0.3">
      <c r="A323" s="194">
        <v>317</v>
      </c>
      <c r="B323" s="322"/>
      <c r="C323" s="332"/>
      <c r="D323" s="327" t="s">
        <v>252</v>
      </c>
      <c r="E323" s="317"/>
      <c r="F323" s="801"/>
      <c r="G323" s="802"/>
      <c r="H323" s="1436"/>
      <c r="I323" s="1450">
        <f>SUM(J323:N323)</f>
        <v>5000</v>
      </c>
      <c r="J323" s="324"/>
      <c r="K323" s="324"/>
      <c r="L323" s="324"/>
      <c r="M323" s="324"/>
      <c r="N323" s="359">
        <v>5000</v>
      </c>
      <c r="P323" s="330"/>
    </row>
    <row r="324" spans="1:16" s="329" customFormat="1" ht="18" customHeight="1" x14ac:dyDescent="0.3">
      <c r="A324" s="194">
        <v>318</v>
      </c>
      <c r="B324" s="322"/>
      <c r="C324" s="332"/>
      <c r="D324" s="1022" t="s">
        <v>921</v>
      </c>
      <c r="E324" s="317"/>
      <c r="F324" s="801"/>
      <c r="G324" s="802"/>
      <c r="H324" s="1436"/>
      <c r="I324" s="799">
        <f>SUM(J324:N324)</f>
        <v>5000</v>
      </c>
      <c r="J324" s="1095"/>
      <c r="K324" s="1095"/>
      <c r="L324" s="1094">
        <v>5000</v>
      </c>
      <c r="M324" s="1095"/>
      <c r="N324" s="1102">
        <v>0</v>
      </c>
      <c r="P324" s="330"/>
    </row>
    <row r="325" spans="1:16" s="329" customFormat="1" ht="18" customHeight="1" x14ac:dyDescent="0.3">
      <c r="A325" s="194">
        <v>319</v>
      </c>
      <c r="B325" s="322"/>
      <c r="C325" s="332"/>
      <c r="D325" s="1022" t="s">
        <v>972</v>
      </c>
      <c r="E325" s="317"/>
      <c r="F325" s="801"/>
      <c r="G325" s="802"/>
      <c r="H325" s="1436"/>
      <c r="I325" s="415">
        <f>SUM(J325:Q325)</f>
        <v>0</v>
      </c>
      <c r="J325" s="1094"/>
      <c r="K325" s="1094"/>
      <c r="L325" s="1094">
        <v>0</v>
      </c>
      <c r="M325" s="1736"/>
      <c r="N325" s="1102">
        <v>0</v>
      </c>
      <c r="P325" s="330"/>
    </row>
    <row r="326" spans="1:16" s="329" customFormat="1" ht="38.25" customHeight="1" x14ac:dyDescent="0.3">
      <c r="A326" s="194">
        <v>320</v>
      </c>
      <c r="B326" s="322"/>
      <c r="C326" s="332"/>
      <c r="D326" s="1022" t="s">
        <v>905</v>
      </c>
      <c r="E326" s="317"/>
      <c r="F326" s="801"/>
      <c r="G326" s="802"/>
      <c r="H326" s="1436"/>
      <c r="I326" s="415"/>
      <c r="J326" s="324"/>
      <c r="K326" s="324"/>
      <c r="L326" s="324"/>
      <c r="M326" s="324"/>
      <c r="N326" s="1102"/>
      <c r="P326" s="330"/>
    </row>
    <row r="327" spans="1:16" s="329" customFormat="1" ht="18" customHeight="1" x14ac:dyDescent="0.3">
      <c r="A327" s="194">
        <v>321</v>
      </c>
      <c r="B327" s="322"/>
      <c r="C327" s="332"/>
      <c r="D327" s="1022" t="s">
        <v>921</v>
      </c>
      <c r="E327" s="317"/>
      <c r="F327" s="801"/>
      <c r="G327" s="802"/>
      <c r="H327" s="1436"/>
      <c r="I327" s="799">
        <f>SUM(J327:N327)</f>
        <v>30000</v>
      </c>
      <c r="J327" s="324"/>
      <c r="K327" s="324"/>
      <c r="L327" s="324"/>
      <c r="M327" s="324"/>
      <c r="N327" s="1102">
        <v>30000</v>
      </c>
      <c r="P327" s="330"/>
    </row>
    <row r="328" spans="1:16" s="329" customFormat="1" ht="18" customHeight="1" x14ac:dyDescent="0.3">
      <c r="A328" s="194">
        <v>322</v>
      </c>
      <c r="B328" s="322"/>
      <c r="C328" s="332"/>
      <c r="D328" s="1022" t="s">
        <v>972</v>
      </c>
      <c r="E328" s="317"/>
      <c r="F328" s="801"/>
      <c r="G328" s="802"/>
      <c r="H328" s="1436"/>
      <c r="I328" s="415">
        <f>SUM(J328:Q328)</f>
        <v>30000</v>
      </c>
      <c r="J328" s="324"/>
      <c r="K328" s="324"/>
      <c r="L328" s="324"/>
      <c r="M328" s="324"/>
      <c r="N328" s="1102">
        <v>30000</v>
      </c>
      <c r="P328" s="330"/>
    </row>
    <row r="329" spans="1:16" s="329" customFormat="1" ht="18" customHeight="1" x14ac:dyDescent="0.3">
      <c r="A329" s="194">
        <v>323</v>
      </c>
      <c r="B329" s="322"/>
      <c r="C329" s="332"/>
      <c r="D329" s="155" t="s">
        <v>906</v>
      </c>
      <c r="E329" s="317"/>
      <c r="F329" s="801"/>
      <c r="G329" s="802"/>
      <c r="H329" s="1436"/>
      <c r="I329" s="415"/>
      <c r="J329" s="324"/>
      <c r="K329" s="324"/>
      <c r="L329" s="324"/>
      <c r="M329" s="324"/>
      <c r="N329" s="1102"/>
      <c r="P329" s="330"/>
    </row>
    <row r="330" spans="1:16" s="329" customFormat="1" ht="18" customHeight="1" x14ac:dyDescent="0.3">
      <c r="A330" s="194">
        <v>324</v>
      </c>
      <c r="B330" s="322"/>
      <c r="C330" s="332"/>
      <c r="D330" s="1022" t="s">
        <v>921</v>
      </c>
      <c r="E330" s="317"/>
      <c r="F330" s="801"/>
      <c r="G330" s="802"/>
      <c r="H330" s="1436"/>
      <c r="I330" s="799">
        <f>SUM(J330:N330)</f>
        <v>20000</v>
      </c>
      <c r="J330" s="324"/>
      <c r="K330" s="324"/>
      <c r="L330" s="324"/>
      <c r="M330" s="324"/>
      <c r="N330" s="1102">
        <v>20000</v>
      </c>
      <c r="P330" s="330"/>
    </row>
    <row r="331" spans="1:16" s="329" customFormat="1" ht="18" customHeight="1" x14ac:dyDescent="0.3">
      <c r="A331" s="194">
        <v>325</v>
      </c>
      <c r="B331" s="322"/>
      <c r="C331" s="332"/>
      <c r="D331" s="1022" t="s">
        <v>972</v>
      </c>
      <c r="E331" s="317"/>
      <c r="F331" s="801"/>
      <c r="G331" s="802"/>
      <c r="H331" s="1436"/>
      <c r="I331" s="415">
        <f>SUM(J331:Q331)</f>
        <v>20000</v>
      </c>
      <c r="J331" s="324"/>
      <c r="K331" s="324"/>
      <c r="L331" s="324"/>
      <c r="M331" s="324"/>
      <c r="N331" s="1102">
        <v>20000</v>
      </c>
      <c r="P331" s="330"/>
    </row>
    <row r="332" spans="1:16" s="55" customFormat="1" ht="22.5" customHeight="1" x14ac:dyDescent="0.3">
      <c r="A332" s="194">
        <v>326</v>
      </c>
      <c r="B332" s="192"/>
      <c r="C332" s="59">
        <v>46</v>
      </c>
      <c r="D332" s="190" t="s">
        <v>303</v>
      </c>
      <c r="E332" s="795">
        <v>3000</v>
      </c>
      <c r="F332" s="799">
        <v>3000</v>
      </c>
      <c r="G332" s="800">
        <v>33000</v>
      </c>
      <c r="H332" s="1433" t="s">
        <v>24</v>
      </c>
      <c r="I332" s="801"/>
      <c r="J332" s="358"/>
      <c r="K332" s="358"/>
      <c r="L332" s="358"/>
      <c r="M332" s="358"/>
      <c r="N332" s="359"/>
      <c r="P332" s="654"/>
    </row>
    <row r="333" spans="1:16" s="326" customFormat="1" ht="18" customHeight="1" x14ac:dyDescent="0.3">
      <c r="A333" s="194">
        <v>327</v>
      </c>
      <c r="B333" s="322"/>
      <c r="C333" s="332"/>
      <c r="D333" s="316" t="s">
        <v>252</v>
      </c>
      <c r="E333" s="317"/>
      <c r="F333" s="801"/>
      <c r="G333" s="802"/>
      <c r="H333" s="1436"/>
      <c r="I333" s="317">
        <f>SUM(J333:N333)</f>
        <v>25000</v>
      </c>
      <c r="J333" s="324"/>
      <c r="K333" s="324"/>
      <c r="L333" s="324"/>
      <c r="M333" s="324"/>
      <c r="N333" s="313">
        <f>35000-10000</f>
        <v>25000</v>
      </c>
      <c r="P333" s="318"/>
    </row>
    <row r="334" spans="1:16" s="326" customFormat="1" ht="18" customHeight="1" x14ac:dyDescent="0.3">
      <c r="A334" s="194">
        <v>328</v>
      </c>
      <c r="B334" s="322"/>
      <c r="C334" s="332"/>
      <c r="D334" s="1003" t="s">
        <v>921</v>
      </c>
      <c r="E334" s="317"/>
      <c r="F334" s="801"/>
      <c r="G334" s="802"/>
      <c r="H334" s="1436"/>
      <c r="I334" s="1448">
        <f>SUM(J334:N334)</f>
        <v>33000</v>
      </c>
      <c r="J334" s="1095"/>
      <c r="K334" s="1095"/>
      <c r="L334" s="1095"/>
      <c r="M334" s="1095"/>
      <c r="N334" s="1104">
        <v>33000</v>
      </c>
      <c r="P334" s="318"/>
    </row>
    <row r="335" spans="1:16" s="326" customFormat="1" ht="18" customHeight="1" x14ac:dyDescent="0.3">
      <c r="A335" s="194">
        <v>329</v>
      </c>
      <c r="B335" s="322"/>
      <c r="C335" s="332"/>
      <c r="D335" s="1002" t="s">
        <v>972</v>
      </c>
      <c r="E335" s="317"/>
      <c r="F335" s="801"/>
      <c r="G335" s="802"/>
      <c r="H335" s="1436"/>
      <c r="I335" s="415">
        <f>SUM(J335:Q335)</f>
        <v>30750</v>
      </c>
      <c r="J335" s="324"/>
      <c r="K335" s="324"/>
      <c r="L335" s="324"/>
      <c r="M335" s="324"/>
      <c r="N335" s="1102">
        <v>30750</v>
      </c>
      <c r="P335" s="318"/>
    </row>
    <row r="336" spans="1:16" s="11" customFormat="1" ht="22.5" customHeight="1" x14ac:dyDescent="0.35">
      <c r="A336" s="194">
        <v>330</v>
      </c>
      <c r="B336" s="191"/>
      <c r="C336" s="59">
        <v>47</v>
      </c>
      <c r="D336" s="190" t="s">
        <v>278</v>
      </c>
      <c r="E336" s="795"/>
      <c r="F336" s="795"/>
      <c r="G336" s="796"/>
      <c r="H336" s="1433" t="s">
        <v>23</v>
      </c>
      <c r="I336" s="801"/>
      <c r="J336" s="360"/>
      <c r="K336" s="360"/>
      <c r="L336" s="360"/>
      <c r="M336" s="360"/>
      <c r="N336" s="361"/>
      <c r="O336" s="654"/>
      <c r="P336" s="654"/>
    </row>
    <row r="337" spans="1:16" s="11" customFormat="1" ht="22.5" customHeight="1" x14ac:dyDescent="0.35">
      <c r="A337" s="194">
        <v>331</v>
      </c>
      <c r="B337" s="191"/>
      <c r="C337" s="59">
        <v>48</v>
      </c>
      <c r="D337" s="190" t="s">
        <v>236</v>
      </c>
      <c r="E337" s="795"/>
      <c r="F337" s="795">
        <v>100</v>
      </c>
      <c r="G337" s="796"/>
      <c r="H337" s="1433" t="s">
        <v>23</v>
      </c>
      <c r="I337" s="317"/>
      <c r="J337" s="352"/>
      <c r="K337" s="352"/>
      <c r="L337" s="352"/>
      <c r="M337" s="352"/>
      <c r="N337" s="353"/>
      <c r="P337" s="654"/>
    </row>
    <row r="338" spans="1:16" s="318" customFormat="1" ht="18" customHeight="1" x14ac:dyDescent="0.3">
      <c r="A338" s="194">
        <v>332</v>
      </c>
      <c r="B338" s="315"/>
      <c r="C338" s="332"/>
      <c r="D338" s="316" t="s">
        <v>252</v>
      </c>
      <c r="E338" s="317"/>
      <c r="F338" s="317"/>
      <c r="G338" s="798"/>
      <c r="H338" s="1434"/>
      <c r="I338" s="317">
        <f>SUM(J338:N338)</f>
        <v>100</v>
      </c>
      <c r="J338" s="312"/>
      <c r="K338" s="312"/>
      <c r="L338" s="312"/>
      <c r="M338" s="312">
        <v>100</v>
      </c>
      <c r="N338" s="313"/>
    </row>
    <row r="339" spans="1:16" s="318" customFormat="1" ht="18" customHeight="1" x14ac:dyDescent="0.3">
      <c r="A339" s="194">
        <v>333</v>
      </c>
      <c r="B339" s="315"/>
      <c r="C339" s="332"/>
      <c r="D339" s="1003" t="s">
        <v>921</v>
      </c>
      <c r="E339" s="317"/>
      <c r="F339" s="317"/>
      <c r="G339" s="798"/>
      <c r="H339" s="1437"/>
      <c r="I339" s="1448">
        <f>SUM(J339:N339)</f>
        <v>300</v>
      </c>
      <c r="J339" s="1093"/>
      <c r="K339" s="1093"/>
      <c r="L339" s="1093"/>
      <c r="M339" s="1093">
        <v>300</v>
      </c>
      <c r="N339" s="313"/>
    </row>
    <row r="340" spans="1:16" s="318" customFormat="1" ht="18" customHeight="1" x14ac:dyDescent="0.3">
      <c r="A340" s="194">
        <v>334</v>
      </c>
      <c r="B340" s="315"/>
      <c r="C340" s="332"/>
      <c r="D340" s="1002" t="s">
        <v>972</v>
      </c>
      <c r="E340" s="317"/>
      <c r="F340" s="317"/>
      <c r="G340" s="798"/>
      <c r="H340" s="1437"/>
      <c r="I340" s="415">
        <f>SUM(J340:Q340)</f>
        <v>0</v>
      </c>
      <c r="J340" s="312"/>
      <c r="K340" s="312"/>
      <c r="L340" s="312"/>
      <c r="M340" s="1094">
        <v>0</v>
      </c>
      <c r="N340" s="313"/>
    </row>
    <row r="341" spans="1:16" s="654" customFormat="1" ht="22.5" customHeight="1" x14ac:dyDescent="0.3">
      <c r="A341" s="194">
        <v>335</v>
      </c>
      <c r="B341" s="188"/>
      <c r="C341" s="59">
        <v>49</v>
      </c>
      <c r="D341" s="189" t="s">
        <v>279</v>
      </c>
      <c r="E341" s="795"/>
      <c r="F341" s="795">
        <v>85</v>
      </c>
      <c r="G341" s="796"/>
      <c r="H341" s="1432" t="s">
        <v>23</v>
      </c>
      <c r="I341" s="317"/>
      <c r="J341" s="352"/>
      <c r="K341" s="352"/>
      <c r="L341" s="352"/>
      <c r="M341" s="352"/>
      <c r="N341" s="353"/>
    </row>
    <row r="342" spans="1:16" s="318" customFormat="1" ht="18" customHeight="1" x14ac:dyDescent="0.3">
      <c r="A342" s="194">
        <v>336</v>
      </c>
      <c r="B342" s="315"/>
      <c r="C342" s="332"/>
      <c r="D342" s="316" t="s">
        <v>252</v>
      </c>
      <c r="E342" s="317"/>
      <c r="F342" s="317"/>
      <c r="G342" s="798"/>
      <c r="H342" s="1437"/>
      <c r="I342" s="317">
        <f>SUM(J342:N342)</f>
        <v>85</v>
      </c>
      <c r="J342" s="312"/>
      <c r="K342" s="312"/>
      <c r="L342" s="312"/>
      <c r="M342" s="312">
        <v>85</v>
      </c>
      <c r="N342" s="313"/>
    </row>
    <row r="343" spans="1:16" s="318" customFormat="1" ht="18" customHeight="1" x14ac:dyDescent="0.3">
      <c r="A343" s="194">
        <v>337</v>
      </c>
      <c r="B343" s="315"/>
      <c r="C343" s="332"/>
      <c r="D343" s="1003" t="s">
        <v>921</v>
      </c>
      <c r="E343" s="317"/>
      <c r="F343" s="317"/>
      <c r="G343" s="798"/>
      <c r="H343" s="1437"/>
      <c r="I343" s="1448">
        <f>SUM(J343:N343)</f>
        <v>249</v>
      </c>
      <c r="J343" s="1093"/>
      <c r="K343" s="1093"/>
      <c r="L343" s="1093"/>
      <c r="M343" s="1093">
        <v>249</v>
      </c>
      <c r="N343" s="313"/>
    </row>
    <row r="344" spans="1:16" s="318" customFormat="1" ht="18" customHeight="1" x14ac:dyDescent="0.3">
      <c r="A344" s="194">
        <v>338</v>
      </c>
      <c r="B344" s="315"/>
      <c r="C344" s="332"/>
      <c r="D344" s="1002" t="s">
        <v>972</v>
      </c>
      <c r="E344" s="317"/>
      <c r="F344" s="317"/>
      <c r="G344" s="798"/>
      <c r="H344" s="1437"/>
      <c r="I344" s="415">
        <f>SUM(J344:Q344)</f>
        <v>13</v>
      </c>
      <c r="J344" s="312"/>
      <c r="K344" s="312"/>
      <c r="L344" s="312"/>
      <c r="M344" s="1094">
        <v>13</v>
      </c>
      <c r="N344" s="313"/>
    </row>
    <row r="345" spans="1:16" s="11" customFormat="1" ht="22.5" customHeight="1" x14ac:dyDescent="0.35">
      <c r="A345" s="194">
        <v>339</v>
      </c>
      <c r="B345" s="191"/>
      <c r="C345" s="59">
        <v>50</v>
      </c>
      <c r="D345" s="190" t="s">
        <v>237</v>
      </c>
      <c r="E345" s="795">
        <f>SUM(E349,E358,E362,E366,E370,E374,E378,E382)+E354+E353</f>
        <v>10915</v>
      </c>
      <c r="F345" s="795">
        <f>SUM(F349,F358,F362,F366,F370,F374,F378,F382)+F354+F353</f>
        <v>30710</v>
      </c>
      <c r="G345" s="795">
        <f>SUM(G349,G358,G362,G366,G370,G374,G378,G382)+G354+G353</f>
        <v>10213</v>
      </c>
      <c r="H345" s="1433"/>
      <c r="I345" s="1449"/>
      <c r="J345" s="356"/>
      <c r="K345" s="356"/>
      <c r="L345" s="356"/>
      <c r="M345" s="356"/>
      <c r="N345" s="357"/>
      <c r="O345" s="654"/>
      <c r="P345" s="654"/>
    </row>
    <row r="346" spans="1:16" s="318" customFormat="1" ht="18" customHeight="1" x14ac:dyDescent="0.3">
      <c r="A346" s="194">
        <v>340</v>
      </c>
      <c r="B346" s="315"/>
      <c r="C346" s="332"/>
      <c r="D346" s="316" t="s">
        <v>252</v>
      </c>
      <c r="E346" s="317"/>
      <c r="F346" s="317"/>
      <c r="G346" s="798"/>
      <c r="H346" s="1434"/>
      <c r="I346" s="317">
        <f>SUM(J346:N346)</f>
        <v>49510</v>
      </c>
      <c r="J346" s="312">
        <f t="shared" ref="J346:N347" si="5">SUM(J350,J359,J363,J367,J371,J375,J379,J383)+J355+J387</f>
        <v>0</v>
      </c>
      <c r="K346" s="312">
        <f t="shared" si="5"/>
        <v>0</v>
      </c>
      <c r="L346" s="312">
        <f t="shared" si="5"/>
        <v>0</v>
      </c>
      <c r="M346" s="312">
        <f t="shared" si="5"/>
        <v>49510</v>
      </c>
      <c r="N346" s="313">
        <f t="shared" si="5"/>
        <v>0</v>
      </c>
    </row>
    <row r="347" spans="1:16" s="318" customFormat="1" ht="18" customHeight="1" x14ac:dyDescent="0.3">
      <c r="A347" s="194">
        <v>341</v>
      </c>
      <c r="B347" s="315"/>
      <c r="C347" s="332"/>
      <c r="D347" s="1003" t="s">
        <v>921</v>
      </c>
      <c r="E347" s="317"/>
      <c r="F347" s="317"/>
      <c r="G347" s="798"/>
      <c r="H347" s="1434"/>
      <c r="I347" s="1448">
        <f>SUM(J347:N347)</f>
        <v>45385</v>
      </c>
      <c r="J347" s="1093">
        <f t="shared" si="5"/>
        <v>0</v>
      </c>
      <c r="K347" s="1093">
        <f t="shared" si="5"/>
        <v>0</v>
      </c>
      <c r="L347" s="1093">
        <f t="shared" si="5"/>
        <v>0</v>
      </c>
      <c r="M347" s="1093">
        <f t="shared" si="5"/>
        <v>45385</v>
      </c>
      <c r="N347" s="1104">
        <f t="shared" si="5"/>
        <v>0</v>
      </c>
    </row>
    <row r="348" spans="1:16" s="318" customFormat="1" ht="18" customHeight="1" x14ac:dyDescent="0.3">
      <c r="A348" s="194">
        <v>342</v>
      </c>
      <c r="B348" s="315"/>
      <c r="C348" s="332"/>
      <c r="D348" s="1002" t="s">
        <v>973</v>
      </c>
      <c r="E348" s="317"/>
      <c r="F348" s="317"/>
      <c r="G348" s="798"/>
      <c r="H348" s="1434"/>
      <c r="I348" s="415">
        <f>SUM(J348:Q348)</f>
        <v>6405</v>
      </c>
      <c r="J348" s="1094">
        <f>J352+J357+J361+J365+J369+J373+J377+J381+J385+J389</f>
        <v>0</v>
      </c>
      <c r="K348" s="1094">
        <f>K352+K357+K361+K365+K369+K373+K377+K381+K385+K389</f>
        <v>0</v>
      </c>
      <c r="L348" s="1094">
        <f>L352+L357+L361+L365+L369+L373+L377+L381+L385+L389</f>
        <v>0</v>
      </c>
      <c r="M348" s="1094">
        <f>M352+M357+M361+M365+M369+M373+M377+M381+M385+M389</f>
        <v>6405</v>
      </c>
      <c r="N348" s="1102">
        <f>N352+N357+N361+N365+N369+N373+N377+N381+N385+N389</f>
        <v>0</v>
      </c>
    </row>
    <row r="349" spans="1:16" s="196" customFormat="1" ht="18" customHeight="1" x14ac:dyDescent="0.3">
      <c r="A349" s="194">
        <v>343</v>
      </c>
      <c r="B349" s="63"/>
      <c r="C349" s="59"/>
      <c r="D349" s="155" t="s">
        <v>239</v>
      </c>
      <c r="E349" s="799">
        <v>2193</v>
      </c>
      <c r="F349" s="799">
        <v>2500</v>
      </c>
      <c r="G349" s="800">
        <v>2811</v>
      </c>
      <c r="H349" s="1435" t="s">
        <v>23</v>
      </c>
      <c r="I349" s="801"/>
      <c r="J349" s="358"/>
      <c r="K349" s="358"/>
      <c r="L349" s="358"/>
      <c r="M349" s="358"/>
      <c r="N349" s="359"/>
      <c r="P349" s="197"/>
    </row>
    <row r="350" spans="1:16" s="329" customFormat="1" ht="18" customHeight="1" x14ac:dyDescent="0.3">
      <c r="A350" s="194">
        <v>344</v>
      </c>
      <c r="B350" s="322"/>
      <c r="C350" s="332"/>
      <c r="D350" s="327" t="s">
        <v>252</v>
      </c>
      <c r="E350" s="801"/>
      <c r="F350" s="801"/>
      <c r="G350" s="802"/>
      <c r="H350" s="1436"/>
      <c r="I350" s="1450">
        <f>SUM(J350:N350)</f>
        <v>3000</v>
      </c>
      <c r="J350" s="324"/>
      <c r="K350" s="324"/>
      <c r="L350" s="324"/>
      <c r="M350" s="358">
        <v>3000</v>
      </c>
      <c r="N350" s="325"/>
      <c r="P350" s="330"/>
    </row>
    <row r="351" spans="1:16" s="329" customFormat="1" ht="18" customHeight="1" x14ac:dyDescent="0.3">
      <c r="A351" s="194">
        <v>345</v>
      </c>
      <c r="B351" s="322"/>
      <c r="C351" s="332"/>
      <c r="D351" s="1022" t="s">
        <v>921</v>
      </c>
      <c r="E351" s="801"/>
      <c r="F351" s="801"/>
      <c r="G351" s="802"/>
      <c r="H351" s="1436"/>
      <c r="I351" s="799">
        <f>SUM(J351:N351)</f>
        <v>10658</v>
      </c>
      <c r="J351" s="1095"/>
      <c r="K351" s="1095"/>
      <c r="L351" s="1095"/>
      <c r="M351" s="1094">
        <v>10658</v>
      </c>
      <c r="N351" s="325"/>
      <c r="P351" s="330"/>
    </row>
    <row r="352" spans="1:16" s="329" customFormat="1" ht="18" customHeight="1" x14ac:dyDescent="0.3">
      <c r="A352" s="194">
        <v>346</v>
      </c>
      <c r="B352" s="322"/>
      <c r="C352" s="332"/>
      <c r="D352" s="1022" t="s">
        <v>972</v>
      </c>
      <c r="E352" s="801"/>
      <c r="F352" s="801"/>
      <c r="G352" s="802"/>
      <c r="H352" s="1436"/>
      <c r="I352" s="415">
        <f>SUM(J352:Q352)</f>
        <v>2274</v>
      </c>
      <c r="J352" s="324"/>
      <c r="K352" s="324"/>
      <c r="L352" s="324"/>
      <c r="M352" s="1094">
        <v>2274</v>
      </c>
      <c r="N352" s="325"/>
      <c r="P352" s="330"/>
    </row>
    <row r="353" spans="1:16" s="329" customFormat="1" ht="18" customHeight="1" x14ac:dyDescent="0.3">
      <c r="A353" s="194">
        <v>347</v>
      </c>
      <c r="B353" s="322"/>
      <c r="C353" s="332"/>
      <c r="D353" s="156" t="s">
        <v>385</v>
      </c>
      <c r="E353" s="799">
        <v>990</v>
      </c>
      <c r="F353" s="799">
        <v>13500</v>
      </c>
      <c r="G353" s="800"/>
      <c r="H353" s="1435" t="s">
        <v>24</v>
      </c>
      <c r="I353" s="1450"/>
      <c r="J353" s="324"/>
      <c r="K353" s="324"/>
      <c r="L353" s="324"/>
      <c r="M353" s="358"/>
      <c r="N353" s="325"/>
      <c r="P353" s="330"/>
    </row>
    <row r="354" spans="1:16" s="196" customFormat="1" ht="18" customHeight="1" x14ac:dyDescent="0.3">
      <c r="A354" s="194">
        <v>348</v>
      </c>
      <c r="B354" s="63"/>
      <c r="C354" s="59"/>
      <c r="D354" s="156" t="s">
        <v>328</v>
      </c>
      <c r="E354" s="799">
        <v>1066</v>
      </c>
      <c r="F354" s="799">
        <v>1500</v>
      </c>
      <c r="G354" s="800">
        <v>730</v>
      </c>
      <c r="H354" s="1435" t="s">
        <v>24</v>
      </c>
      <c r="I354" s="1450"/>
      <c r="J354" s="358"/>
      <c r="K354" s="358"/>
      <c r="L354" s="358"/>
      <c r="M354" s="358"/>
      <c r="N354" s="359"/>
      <c r="P354" s="197"/>
    </row>
    <row r="355" spans="1:16" s="329" customFormat="1" ht="18" customHeight="1" x14ac:dyDescent="0.3">
      <c r="A355" s="194">
        <v>349</v>
      </c>
      <c r="B355" s="322"/>
      <c r="C355" s="332"/>
      <c r="D355" s="327" t="s">
        <v>252</v>
      </c>
      <c r="E355" s="801"/>
      <c r="F355" s="801"/>
      <c r="G355" s="802"/>
      <c r="H355" s="1436"/>
      <c r="I355" s="1450">
        <f>SUM(J355:N355)</f>
        <v>3000</v>
      </c>
      <c r="J355" s="324"/>
      <c r="K355" s="324"/>
      <c r="L355" s="324"/>
      <c r="M355" s="358">
        <v>3000</v>
      </c>
      <c r="N355" s="325"/>
      <c r="P355" s="330"/>
    </row>
    <row r="356" spans="1:16" s="329" customFormat="1" ht="18" customHeight="1" x14ac:dyDescent="0.3">
      <c r="A356" s="194">
        <v>350</v>
      </c>
      <c r="B356" s="322"/>
      <c r="C356" s="332"/>
      <c r="D356" s="1022" t="s">
        <v>921</v>
      </c>
      <c r="E356" s="801"/>
      <c r="F356" s="801"/>
      <c r="G356" s="802"/>
      <c r="H356" s="1436"/>
      <c r="I356" s="799">
        <f>SUM(J356:N356)</f>
        <v>3833</v>
      </c>
      <c r="J356" s="1095"/>
      <c r="K356" s="1095"/>
      <c r="L356" s="1095"/>
      <c r="M356" s="1094">
        <v>3833</v>
      </c>
      <c r="N356" s="325"/>
      <c r="P356" s="330"/>
    </row>
    <row r="357" spans="1:16" s="329" customFormat="1" ht="18" customHeight="1" x14ac:dyDescent="0.3">
      <c r="A357" s="194">
        <v>351</v>
      </c>
      <c r="B357" s="322"/>
      <c r="C357" s="332"/>
      <c r="D357" s="1022" t="s">
        <v>972</v>
      </c>
      <c r="E357" s="801"/>
      <c r="F357" s="801"/>
      <c r="G357" s="802"/>
      <c r="H357" s="1436"/>
      <c r="I357" s="415">
        <f>SUM(J357:Q357)</f>
        <v>0</v>
      </c>
      <c r="J357" s="324"/>
      <c r="K357" s="324"/>
      <c r="L357" s="324"/>
      <c r="M357" s="1094">
        <v>0</v>
      </c>
      <c r="N357" s="325"/>
      <c r="P357" s="330"/>
    </row>
    <row r="358" spans="1:16" s="196" customFormat="1" ht="18" customHeight="1" x14ac:dyDescent="0.3">
      <c r="A358" s="194">
        <v>352</v>
      </c>
      <c r="B358" s="63"/>
      <c r="C358" s="59"/>
      <c r="D358" s="156" t="s">
        <v>280</v>
      </c>
      <c r="E358" s="799">
        <v>4650</v>
      </c>
      <c r="F358" s="799">
        <v>8000</v>
      </c>
      <c r="G358" s="800">
        <v>5045</v>
      </c>
      <c r="H358" s="1435" t="s">
        <v>24</v>
      </c>
      <c r="I358" s="1452"/>
      <c r="J358" s="360"/>
      <c r="K358" s="360"/>
      <c r="L358" s="360"/>
      <c r="M358" s="360"/>
      <c r="N358" s="361"/>
      <c r="P358" s="197"/>
    </row>
    <row r="359" spans="1:16" s="329" customFormat="1" ht="18" customHeight="1" x14ac:dyDescent="0.3">
      <c r="A359" s="194">
        <v>353</v>
      </c>
      <c r="B359" s="322"/>
      <c r="C359" s="332"/>
      <c r="D359" s="327" t="s">
        <v>252</v>
      </c>
      <c r="E359" s="801"/>
      <c r="F359" s="801"/>
      <c r="G359" s="802"/>
      <c r="H359" s="1436"/>
      <c r="I359" s="1450">
        <f>SUM(J359:N359)</f>
        <v>8000</v>
      </c>
      <c r="J359" s="324"/>
      <c r="K359" s="324"/>
      <c r="L359" s="324"/>
      <c r="M359" s="358">
        <v>8000</v>
      </c>
      <c r="N359" s="325"/>
      <c r="P359" s="330"/>
    </row>
    <row r="360" spans="1:16" s="329" customFormat="1" ht="18" customHeight="1" x14ac:dyDescent="0.3">
      <c r="A360" s="194">
        <v>354</v>
      </c>
      <c r="B360" s="322"/>
      <c r="C360" s="332"/>
      <c r="D360" s="1022" t="s">
        <v>921</v>
      </c>
      <c r="E360" s="801"/>
      <c r="F360" s="801"/>
      <c r="G360" s="802"/>
      <c r="H360" s="1436"/>
      <c r="I360" s="799">
        <f>SUM(J360:N360)</f>
        <v>16504</v>
      </c>
      <c r="J360" s="1095"/>
      <c r="K360" s="1095"/>
      <c r="L360" s="1095"/>
      <c r="M360" s="1094">
        <v>16504</v>
      </c>
      <c r="N360" s="325"/>
      <c r="P360" s="330"/>
    </row>
    <row r="361" spans="1:16" s="329" customFormat="1" ht="18" customHeight="1" x14ac:dyDescent="0.3">
      <c r="A361" s="194">
        <v>355</v>
      </c>
      <c r="B361" s="322"/>
      <c r="C361" s="332"/>
      <c r="D361" s="1022" t="s">
        <v>972</v>
      </c>
      <c r="E361" s="801"/>
      <c r="F361" s="801"/>
      <c r="G361" s="802"/>
      <c r="H361" s="1436"/>
      <c r="I361" s="415">
        <f>SUM(J361:Q361)</f>
        <v>2597</v>
      </c>
      <c r="J361" s="324"/>
      <c r="K361" s="324"/>
      <c r="L361" s="324"/>
      <c r="M361" s="1094">
        <v>2597</v>
      </c>
      <c r="N361" s="325"/>
      <c r="P361" s="330"/>
    </row>
    <row r="362" spans="1:16" s="196" customFormat="1" ht="18" customHeight="1" x14ac:dyDescent="0.3">
      <c r="A362" s="194">
        <v>356</v>
      </c>
      <c r="B362" s="63"/>
      <c r="C362" s="59"/>
      <c r="D362" s="156" t="s">
        <v>281</v>
      </c>
      <c r="E362" s="799"/>
      <c r="F362" s="799">
        <v>100</v>
      </c>
      <c r="G362" s="800"/>
      <c r="H362" s="1435" t="s">
        <v>24</v>
      </c>
      <c r="I362" s="1452"/>
      <c r="J362" s="360"/>
      <c r="K362" s="360"/>
      <c r="L362" s="360"/>
      <c r="M362" s="360"/>
      <c r="N362" s="361"/>
      <c r="P362" s="197"/>
    </row>
    <row r="363" spans="1:16" s="329" customFormat="1" ht="18" customHeight="1" x14ac:dyDescent="0.3">
      <c r="A363" s="194">
        <v>357</v>
      </c>
      <c r="B363" s="322"/>
      <c r="C363" s="332"/>
      <c r="D363" s="327" t="s">
        <v>252</v>
      </c>
      <c r="E363" s="801"/>
      <c r="F363" s="801"/>
      <c r="G363" s="802"/>
      <c r="H363" s="1436"/>
      <c r="I363" s="1450">
        <f>SUM(J363:N363)</f>
        <v>100</v>
      </c>
      <c r="J363" s="324"/>
      <c r="K363" s="324"/>
      <c r="L363" s="324"/>
      <c r="M363" s="358">
        <v>100</v>
      </c>
      <c r="N363" s="325"/>
      <c r="P363" s="330"/>
    </row>
    <row r="364" spans="1:16" s="329" customFormat="1" ht="18" customHeight="1" x14ac:dyDescent="0.3">
      <c r="A364" s="194">
        <v>358</v>
      </c>
      <c r="B364" s="322"/>
      <c r="C364" s="332"/>
      <c r="D364" s="1022" t="s">
        <v>921</v>
      </c>
      <c r="E364" s="801"/>
      <c r="F364" s="801"/>
      <c r="G364" s="802"/>
      <c r="H364" s="1436"/>
      <c r="I364" s="799">
        <f>SUM(J364:N364)</f>
        <v>300</v>
      </c>
      <c r="J364" s="1095"/>
      <c r="K364" s="1095"/>
      <c r="L364" s="1095"/>
      <c r="M364" s="1094">
        <v>300</v>
      </c>
      <c r="N364" s="325"/>
      <c r="P364" s="330"/>
    </row>
    <row r="365" spans="1:16" s="329" customFormat="1" ht="18" customHeight="1" x14ac:dyDescent="0.3">
      <c r="A365" s="194">
        <v>359</v>
      </c>
      <c r="B365" s="322"/>
      <c r="C365" s="332"/>
      <c r="D365" s="1022" t="s">
        <v>972</v>
      </c>
      <c r="E365" s="801"/>
      <c r="F365" s="801"/>
      <c r="G365" s="802"/>
      <c r="H365" s="1436"/>
      <c r="I365" s="415">
        <f>SUM(J365:Q365)</f>
        <v>0</v>
      </c>
      <c r="J365" s="324"/>
      <c r="K365" s="324"/>
      <c r="L365" s="324"/>
      <c r="M365" s="1094">
        <v>0</v>
      </c>
      <c r="N365" s="325"/>
      <c r="P365" s="330"/>
    </row>
    <row r="366" spans="1:16" s="196" customFormat="1" ht="18" customHeight="1" x14ac:dyDescent="0.3">
      <c r="A366" s="194">
        <v>360</v>
      </c>
      <c r="B366" s="63"/>
      <c r="C366" s="59"/>
      <c r="D366" s="156" t="s">
        <v>282</v>
      </c>
      <c r="E366" s="799">
        <v>900</v>
      </c>
      <c r="F366" s="799">
        <v>2000</v>
      </c>
      <c r="G366" s="800">
        <v>345</v>
      </c>
      <c r="H366" s="1435" t="s">
        <v>24</v>
      </c>
      <c r="I366" s="1452"/>
      <c r="J366" s="360"/>
      <c r="K366" s="360"/>
      <c r="L366" s="360"/>
      <c r="M366" s="360"/>
      <c r="N366" s="361"/>
      <c r="P366" s="197"/>
    </row>
    <row r="367" spans="1:16" s="329" customFormat="1" ht="18" customHeight="1" x14ac:dyDescent="0.3">
      <c r="A367" s="194">
        <v>361</v>
      </c>
      <c r="B367" s="322"/>
      <c r="C367" s="332"/>
      <c r="D367" s="327" t="s">
        <v>252</v>
      </c>
      <c r="E367" s="801"/>
      <c r="F367" s="801"/>
      <c r="G367" s="802"/>
      <c r="H367" s="1436"/>
      <c r="I367" s="1450">
        <f>SUM(J367:N367)</f>
        <v>2000</v>
      </c>
      <c r="J367" s="324"/>
      <c r="K367" s="324"/>
      <c r="L367" s="324"/>
      <c r="M367" s="358">
        <v>2000</v>
      </c>
      <c r="N367" s="325"/>
      <c r="P367" s="330"/>
    </row>
    <row r="368" spans="1:16" s="329" customFormat="1" ht="18" customHeight="1" x14ac:dyDescent="0.3">
      <c r="A368" s="194">
        <v>362</v>
      </c>
      <c r="B368" s="322"/>
      <c r="C368" s="332"/>
      <c r="D368" s="1022" t="s">
        <v>921</v>
      </c>
      <c r="E368" s="801"/>
      <c r="F368" s="801"/>
      <c r="G368" s="802"/>
      <c r="H368" s="1436"/>
      <c r="I368" s="799">
        <f>SUM(J368:N368)</f>
        <v>6215</v>
      </c>
      <c r="J368" s="1095"/>
      <c r="K368" s="1095"/>
      <c r="L368" s="1095"/>
      <c r="M368" s="1094">
        <v>6215</v>
      </c>
      <c r="N368" s="325"/>
      <c r="P368" s="330"/>
    </row>
    <row r="369" spans="1:16" s="329" customFormat="1" ht="18" customHeight="1" x14ac:dyDescent="0.3">
      <c r="A369" s="194">
        <v>363</v>
      </c>
      <c r="B369" s="322"/>
      <c r="C369" s="332"/>
      <c r="D369" s="1022" t="s">
        <v>972</v>
      </c>
      <c r="E369" s="801"/>
      <c r="F369" s="801"/>
      <c r="G369" s="802"/>
      <c r="H369" s="1436"/>
      <c r="I369" s="415">
        <f>SUM(J369:Q369)</f>
        <v>975</v>
      </c>
      <c r="J369" s="324"/>
      <c r="K369" s="324"/>
      <c r="L369" s="324"/>
      <c r="M369" s="1094">
        <v>975</v>
      </c>
      <c r="N369" s="325"/>
      <c r="P369" s="330"/>
    </row>
    <row r="370" spans="1:16" s="196" customFormat="1" ht="18" customHeight="1" x14ac:dyDescent="0.3">
      <c r="A370" s="194">
        <v>364</v>
      </c>
      <c r="B370" s="63"/>
      <c r="C370" s="59"/>
      <c r="D370" s="156" t="s">
        <v>283</v>
      </c>
      <c r="E370" s="799">
        <v>51</v>
      </c>
      <c r="F370" s="799">
        <v>500</v>
      </c>
      <c r="G370" s="800">
        <v>109</v>
      </c>
      <c r="H370" s="1435" t="s">
        <v>24</v>
      </c>
      <c r="I370" s="1452"/>
      <c r="J370" s="360"/>
      <c r="K370" s="360"/>
      <c r="L370" s="360"/>
      <c r="M370" s="360"/>
      <c r="N370" s="361"/>
      <c r="P370" s="197"/>
    </row>
    <row r="371" spans="1:16" s="329" customFormat="1" ht="18" customHeight="1" x14ac:dyDescent="0.3">
      <c r="A371" s="194">
        <v>365</v>
      </c>
      <c r="B371" s="322"/>
      <c r="C371" s="332"/>
      <c r="D371" s="327" t="s">
        <v>252</v>
      </c>
      <c r="E371" s="801"/>
      <c r="F371" s="801"/>
      <c r="G371" s="802"/>
      <c r="H371" s="1436"/>
      <c r="I371" s="1450">
        <f>SUM(J371:N371)</f>
        <v>500</v>
      </c>
      <c r="J371" s="324"/>
      <c r="K371" s="324"/>
      <c r="L371" s="324"/>
      <c r="M371" s="358">
        <v>500</v>
      </c>
      <c r="N371" s="325"/>
      <c r="P371" s="330"/>
    </row>
    <row r="372" spans="1:16" s="329" customFormat="1" ht="18" customHeight="1" x14ac:dyDescent="0.3">
      <c r="A372" s="194">
        <v>366</v>
      </c>
      <c r="B372" s="322"/>
      <c r="C372" s="332"/>
      <c r="D372" s="1022" t="s">
        <v>921</v>
      </c>
      <c r="E372" s="801"/>
      <c r="F372" s="801"/>
      <c r="G372" s="802"/>
      <c r="H372" s="1436"/>
      <c r="I372" s="799">
        <f>SUM(J372:N372)</f>
        <v>628</v>
      </c>
      <c r="J372" s="1095"/>
      <c r="K372" s="1095"/>
      <c r="L372" s="1095"/>
      <c r="M372" s="1094">
        <v>628</v>
      </c>
      <c r="N372" s="325"/>
      <c r="P372" s="330"/>
    </row>
    <row r="373" spans="1:16" s="329" customFormat="1" ht="18" customHeight="1" x14ac:dyDescent="0.3">
      <c r="A373" s="194">
        <v>367</v>
      </c>
      <c r="B373" s="322"/>
      <c r="C373" s="332"/>
      <c r="D373" s="1022" t="s">
        <v>972</v>
      </c>
      <c r="E373" s="801"/>
      <c r="F373" s="801"/>
      <c r="G373" s="802"/>
      <c r="H373" s="1436"/>
      <c r="I373" s="415">
        <f>SUM(J373:Q373)</f>
        <v>57</v>
      </c>
      <c r="J373" s="324"/>
      <c r="K373" s="324"/>
      <c r="L373" s="324"/>
      <c r="M373" s="1094">
        <v>57</v>
      </c>
      <c r="N373" s="325"/>
      <c r="P373" s="330"/>
    </row>
    <row r="374" spans="1:16" s="196" customFormat="1" ht="18" customHeight="1" x14ac:dyDescent="0.3">
      <c r="A374" s="194">
        <v>368</v>
      </c>
      <c r="B374" s="63"/>
      <c r="C374" s="59"/>
      <c r="D374" s="156" t="s">
        <v>284</v>
      </c>
      <c r="E374" s="799">
        <v>1065</v>
      </c>
      <c r="F374" s="799">
        <v>1700</v>
      </c>
      <c r="G374" s="800">
        <v>945</v>
      </c>
      <c r="H374" s="1435" t="s">
        <v>24</v>
      </c>
      <c r="I374" s="1452"/>
      <c r="J374" s="360"/>
      <c r="K374" s="360"/>
      <c r="L374" s="360"/>
      <c r="M374" s="360"/>
      <c r="N374" s="361"/>
      <c r="P374" s="197"/>
    </row>
    <row r="375" spans="1:16" s="329" customFormat="1" ht="18" customHeight="1" x14ac:dyDescent="0.3">
      <c r="A375" s="194">
        <v>369</v>
      </c>
      <c r="B375" s="322"/>
      <c r="C375" s="332"/>
      <c r="D375" s="327" t="s">
        <v>252</v>
      </c>
      <c r="E375" s="801"/>
      <c r="F375" s="801"/>
      <c r="G375" s="802"/>
      <c r="H375" s="1436"/>
      <c r="I375" s="1450">
        <f>SUM(J375:N375)</f>
        <v>2000</v>
      </c>
      <c r="J375" s="324"/>
      <c r="K375" s="324"/>
      <c r="L375" s="324"/>
      <c r="M375" s="358">
        <v>2000</v>
      </c>
      <c r="N375" s="325"/>
      <c r="P375" s="330"/>
    </row>
    <row r="376" spans="1:16" s="329" customFormat="1" ht="18" customHeight="1" x14ac:dyDescent="0.3">
      <c r="A376" s="194">
        <v>370</v>
      </c>
      <c r="B376" s="322"/>
      <c r="C376" s="332"/>
      <c r="D376" s="1022" t="s">
        <v>921</v>
      </c>
      <c r="E376" s="801"/>
      <c r="F376" s="801"/>
      <c r="G376" s="802"/>
      <c r="H376" s="1436"/>
      <c r="I376" s="799">
        <f>SUM(J376:N376)</f>
        <v>4010</v>
      </c>
      <c r="J376" s="1095"/>
      <c r="K376" s="1095"/>
      <c r="L376" s="1095"/>
      <c r="M376" s="1094">
        <v>4010</v>
      </c>
      <c r="N376" s="325"/>
      <c r="P376" s="330"/>
    </row>
    <row r="377" spans="1:16" s="329" customFormat="1" ht="18" customHeight="1" x14ac:dyDescent="0.3">
      <c r="A377" s="194">
        <v>371</v>
      </c>
      <c r="B377" s="322"/>
      <c r="C377" s="332"/>
      <c r="D377" s="1022" t="s">
        <v>972</v>
      </c>
      <c r="E377" s="801"/>
      <c r="F377" s="801"/>
      <c r="G377" s="802"/>
      <c r="H377" s="1436"/>
      <c r="I377" s="415">
        <f>SUM(J377:Q377)</f>
        <v>435</v>
      </c>
      <c r="J377" s="324"/>
      <c r="K377" s="324"/>
      <c r="L377" s="324"/>
      <c r="M377" s="1094">
        <v>435</v>
      </c>
      <c r="N377" s="325"/>
      <c r="P377" s="330"/>
    </row>
    <row r="378" spans="1:16" s="196" customFormat="1" ht="18" customHeight="1" x14ac:dyDescent="0.3">
      <c r="A378" s="194">
        <v>372</v>
      </c>
      <c r="B378" s="63"/>
      <c r="C378" s="59"/>
      <c r="D378" s="156" t="s">
        <v>285</v>
      </c>
      <c r="E378" s="799"/>
      <c r="F378" s="799">
        <v>400</v>
      </c>
      <c r="G378" s="800"/>
      <c r="H378" s="1435" t="s">
        <v>24</v>
      </c>
      <c r="I378" s="1452"/>
      <c r="J378" s="360"/>
      <c r="K378" s="360"/>
      <c r="L378" s="360"/>
      <c r="M378" s="360"/>
      <c r="N378" s="361"/>
      <c r="P378" s="197"/>
    </row>
    <row r="379" spans="1:16" s="329" customFormat="1" ht="18" customHeight="1" x14ac:dyDescent="0.3">
      <c r="A379" s="194">
        <v>373</v>
      </c>
      <c r="B379" s="322"/>
      <c r="C379" s="332"/>
      <c r="D379" s="327" t="s">
        <v>252</v>
      </c>
      <c r="E379" s="317"/>
      <c r="F379" s="801"/>
      <c r="G379" s="802"/>
      <c r="H379" s="1436"/>
      <c r="I379" s="1450">
        <f>SUM(J379:N379)</f>
        <v>400</v>
      </c>
      <c r="J379" s="324"/>
      <c r="K379" s="324"/>
      <c r="L379" s="324"/>
      <c r="M379" s="358">
        <v>400</v>
      </c>
      <c r="N379" s="325"/>
      <c r="P379" s="330"/>
    </row>
    <row r="380" spans="1:16" s="329" customFormat="1" ht="18" customHeight="1" x14ac:dyDescent="0.3">
      <c r="A380" s="194">
        <v>374</v>
      </c>
      <c r="B380" s="322"/>
      <c r="C380" s="332"/>
      <c r="D380" s="1022" t="s">
        <v>921</v>
      </c>
      <c r="E380" s="317"/>
      <c r="F380" s="801"/>
      <c r="G380" s="802"/>
      <c r="H380" s="1436"/>
      <c r="I380" s="799">
        <f>SUM(J380:N380)</f>
        <v>2500</v>
      </c>
      <c r="J380" s="1095"/>
      <c r="K380" s="1095"/>
      <c r="L380" s="1095"/>
      <c r="M380" s="1094">
        <v>2500</v>
      </c>
      <c r="N380" s="325"/>
      <c r="P380" s="330"/>
    </row>
    <row r="381" spans="1:16" s="329" customFormat="1" ht="18" customHeight="1" x14ac:dyDescent="0.3">
      <c r="A381" s="194">
        <v>375</v>
      </c>
      <c r="B381" s="322"/>
      <c r="C381" s="332"/>
      <c r="D381" s="1022" t="s">
        <v>972</v>
      </c>
      <c r="E381" s="317"/>
      <c r="F381" s="801"/>
      <c r="G381" s="802"/>
      <c r="H381" s="1436"/>
      <c r="I381" s="415">
        <f>SUM(J381:Q381)</f>
        <v>0</v>
      </c>
      <c r="J381" s="324"/>
      <c r="K381" s="324"/>
      <c r="L381" s="324"/>
      <c r="M381" s="1094">
        <v>0</v>
      </c>
      <c r="N381" s="325"/>
      <c r="P381" s="330"/>
    </row>
    <row r="382" spans="1:16" s="196" customFormat="1" ht="18" customHeight="1" x14ac:dyDescent="0.3">
      <c r="A382" s="194">
        <v>376</v>
      </c>
      <c r="B382" s="63"/>
      <c r="C382" s="59"/>
      <c r="D382" s="156" t="s">
        <v>286</v>
      </c>
      <c r="E382" s="795"/>
      <c r="F382" s="799">
        <v>510</v>
      </c>
      <c r="G382" s="800">
        <v>228</v>
      </c>
      <c r="H382" s="1435" t="s">
        <v>24</v>
      </c>
      <c r="I382" s="1450"/>
      <c r="J382" s="358"/>
      <c r="K382" s="358"/>
      <c r="L382" s="358"/>
      <c r="M382" s="358"/>
      <c r="N382" s="359"/>
      <c r="P382" s="197"/>
    </row>
    <row r="383" spans="1:16" s="329" customFormat="1" ht="18" customHeight="1" x14ac:dyDescent="0.3">
      <c r="A383" s="194">
        <v>377</v>
      </c>
      <c r="B383" s="322"/>
      <c r="C383" s="332"/>
      <c r="D383" s="327" t="s">
        <v>252</v>
      </c>
      <c r="E383" s="317"/>
      <c r="F383" s="801"/>
      <c r="G383" s="802"/>
      <c r="H383" s="1436"/>
      <c r="I383" s="1450">
        <f>SUM(J383:N383)</f>
        <v>510</v>
      </c>
      <c r="J383" s="324"/>
      <c r="K383" s="324"/>
      <c r="L383" s="324"/>
      <c r="M383" s="358">
        <v>510</v>
      </c>
      <c r="N383" s="325"/>
      <c r="P383" s="330"/>
    </row>
    <row r="384" spans="1:16" s="329" customFormat="1" ht="18" customHeight="1" x14ac:dyDescent="0.3">
      <c r="A384" s="194">
        <v>378</v>
      </c>
      <c r="B384" s="322"/>
      <c r="C384" s="332"/>
      <c r="D384" s="1022" t="s">
        <v>921</v>
      </c>
      <c r="E384" s="317"/>
      <c r="F384" s="801"/>
      <c r="G384" s="802"/>
      <c r="H384" s="1436"/>
      <c r="I384" s="799">
        <f>SUM(J384:N384)</f>
        <v>737</v>
      </c>
      <c r="J384" s="1095"/>
      <c r="K384" s="1095"/>
      <c r="L384" s="1095"/>
      <c r="M384" s="1094">
        <v>737</v>
      </c>
      <c r="N384" s="325"/>
      <c r="P384" s="330"/>
    </row>
    <row r="385" spans="1:16" s="329" customFormat="1" ht="18" customHeight="1" x14ac:dyDescent="0.3">
      <c r="A385" s="194">
        <v>379</v>
      </c>
      <c r="B385" s="322"/>
      <c r="C385" s="332"/>
      <c r="D385" s="1022" t="s">
        <v>972</v>
      </c>
      <c r="E385" s="317"/>
      <c r="F385" s="801"/>
      <c r="G385" s="802"/>
      <c r="H385" s="1436"/>
      <c r="I385" s="415">
        <f>SUM(J385:Q385)</f>
        <v>67</v>
      </c>
      <c r="J385" s="324"/>
      <c r="K385" s="324"/>
      <c r="L385" s="324"/>
      <c r="M385" s="1094">
        <v>67</v>
      </c>
      <c r="N385" s="325"/>
      <c r="P385" s="330"/>
    </row>
    <row r="386" spans="1:16" s="329" customFormat="1" ht="18" customHeight="1" x14ac:dyDescent="0.3">
      <c r="A386" s="194">
        <v>380</v>
      </c>
      <c r="B386" s="322"/>
      <c r="C386" s="332"/>
      <c r="D386" s="156" t="s">
        <v>612</v>
      </c>
      <c r="E386" s="317"/>
      <c r="F386" s="801"/>
      <c r="G386" s="802"/>
      <c r="H386" s="1435" t="s">
        <v>24</v>
      </c>
      <c r="I386" s="1450"/>
      <c r="J386" s="324"/>
      <c r="K386" s="324"/>
      <c r="L386" s="324"/>
      <c r="M386" s="358"/>
      <c r="N386" s="325"/>
      <c r="P386" s="330"/>
    </row>
    <row r="387" spans="1:16" s="329" customFormat="1" ht="18" customHeight="1" x14ac:dyDescent="0.3">
      <c r="A387" s="194">
        <v>381</v>
      </c>
      <c r="B387" s="322"/>
      <c r="C387" s="332"/>
      <c r="D387" s="327" t="s">
        <v>252</v>
      </c>
      <c r="E387" s="317"/>
      <c r="F387" s="801"/>
      <c r="G387" s="802"/>
      <c r="H387" s="1436"/>
      <c r="I387" s="1450">
        <f>SUM(J387:N387)</f>
        <v>30000</v>
      </c>
      <c r="J387" s="324"/>
      <c r="K387" s="324"/>
      <c r="L387" s="324"/>
      <c r="M387" s="358">
        <v>30000</v>
      </c>
      <c r="N387" s="325"/>
      <c r="P387" s="330"/>
    </row>
    <row r="388" spans="1:16" s="329" customFormat="1" ht="18" customHeight="1" x14ac:dyDescent="0.3">
      <c r="A388" s="194">
        <v>382</v>
      </c>
      <c r="B388" s="322"/>
      <c r="C388" s="332"/>
      <c r="D388" s="1022" t="s">
        <v>921</v>
      </c>
      <c r="E388" s="317"/>
      <c r="F388" s="801"/>
      <c r="G388" s="802"/>
      <c r="H388" s="1436"/>
      <c r="I388" s="799">
        <f>SUM(J388:N388)</f>
        <v>0</v>
      </c>
      <c r="J388" s="1095"/>
      <c r="K388" s="1095"/>
      <c r="L388" s="1095"/>
      <c r="M388" s="1094">
        <v>0</v>
      </c>
      <c r="N388" s="325"/>
      <c r="P388" s="330"/>
    </row>
    <row r="389" spans="1:16" s="329" customFormat="1" ht="18" customHeight="1" x14ac:dyDescent="0.3">
      <c r="A389" s="194">
        <v>383</v>
      </c>
      <c r="B389" s="322"/>
      <c r="C389" s="332"/>
      <c r="D389" s="1022" t="s">
        <v>972</v>
      </c>
      <c r="E389" s="317"/>
      <c r="F389" s="801"/>
      <c r="G389" s="802"/>
      <c r="H389" s="1436"/>
      <c r="I389" s="415">
        <f>SUM(J389:Q389)</f>
        <v>0</v>
      </c>
      <c r="J389" s="324"/>
      <c r="K389" s="324"/>
      <c r="L389" s="324"/>
      <c r="M389" s="1094">
        <v>0</v>
      </c>
      <c r="N389" s="325"/>
      <c r="P389" s="330"/>
    </row>
    <row r="390" spans="1:16" s="3" customFormat="1" ht="22.5" customHeight="1" x14ac:dyDescent="0.3">
      <c r="A390" s="194">
        <v>384</v>
      </c>
      <c r="B390" s="58"/>
      <c r="C390" s="59">
        <v>51</v>
      </c>
      <c r="D390" s="190" t="s">
        <v>63</v>
      </c>
      <c r="E390" s="795">
        <v>3852</v>
      </c>
      <c r="F390" s="795">
        <v>7000</v>
      </c>
      <c r="G390" s="796">
        <v>3840</v>
      </c>
      <c r="H390" s="1433" t="s">
        <v>23</v>
      </c>
      <c r="I390" s="317"/>
      <c r="J390" s="352"/>
      <c r="K390" s="352"/>
      <c r="L390" s="352"/>
      <c r="M390" s="352"/>
      <c r="N390" s="353"/>
      <c r="P390" s="7"/>
    </row>
    <row r="391" spans="1:16" s="318" customFormat="1" ht="18" customHeight="1" x14ac:dyDescent="0.3">
      <c r="A391" s="194">
        <v>385</v>
      </c>
      <c r="B391" s="315"/>
      <c r="C391" s="332"/>
      <c r="D391" s="316" t="s">
        <v>252</v>
      </c>
      <c r="E391" s="317"/>
      <c r="F391" s="317"/>
      <c r="G391" s="798"/>
      <c r="H391" s="1434"/>
      <c r="I391" s="317">
        <f>SUM(J391:N391)</f>
        <v>7000</v>
      </c>
      <c r="J391" s="312"/>
      <c r="K391" s="312"/>
      <c r="L391" s="312"/>
      <c r="M391" s="312">
        <v>7000</v>
      </c>
      <c r="N391" s="313"/>
    </row>
    <row r="392" spans="1:16" s="318" customFormat="1" ht="18" customHeight="1" x14ac:dyDescent="0.3">
      <c r="A392" s="194">
        <v>386</v>
      </c>
      <c r="B392" s="315"/>
      <c r="C392" s="332"/>
      <c r="D392" s="1003" t="s">
        <v>921</v>
      </c>
      <c r="E392" s="317"/>
      <c r="F392" s="317"/>
      <c r="G392" s="798"/>
      <c r="H392" s="1434"/>
      <c r="I392" s="1448">
        <f>SUM(J392:N392)</f>
        <v>13692</v>
      </c>
      <c r="J392" s="1093"/>
      <c r="K392" s="1093"/>
      <c r="L392" s="1093"/>
      <c r="M392" s="1093">
        <v>13692</v>
      </c>
      <c r="N392" s="313"/>
    </row>
    <row r="393" spans="1:16" s="318" customFormat="1" ht="18" customHeight="1" x14ac:dyDescent="0.3">
      <c r="A393" s="194">
        <v>387</v>
      </c>
      <c r="B393" s="315"/>
      <c r="C393" s="332"/>
      <c r="D393" s="1002" t="s">
        <v>972</v>
      </c>
      <c r="E393" s="317"/>
      <c r="F393" s="317"/>
      <c r="G393" s="798"/>
      <c r="H393" s="1434"/>
      <c r="I393" s="415">
        <f>SUM(J393:Q393)</f>
        <v>3020</v>
      </c>
      <c r="J393" s="312"/>
      <c r="K393" s="312"/>
      <c r="L393" s="312"/>
      <c r="M393" s="1094">
        <v>3020</v>
      </c>
      <c r="N393" s="313"/>
    </row>
    <row r="394" spans="1:16" s="11" customFormat="1" ht="22.5" customHeight="1" x14ac:dyDescent="0.35">
      <c r="A394" s="194">
        <v>388</v>
      </c>
      <c r="B394" s="191"/>
      <c r="C394" s="59">
        <v>52</v>
      </c>
      <c r="D394" s="190" t="s">
        <v>64</v>
      </c>
      <c r="E394" s="795">
        <v>979</v>
      </c>
      <c r="F394" s="795">
        <v>1278</v>
      </c>
      <c r="G394" s="796">
        <v>1474</v>
      </c>
      <c r="H394" s="1433" t="s">
        <v>23</v>
      </c>
      <c r="I394" s="317"/>
      <c r="J394" s="352"/>
      <c r="K394" s="352"/>
      <c r="L394" s="352"/>
      <c r="M394" s="352"/>
      <c r="N394" s="353"/>
      <c r="P394" s="654"/>
    </row>
    <row r="395" spans="1:16" s="318" customFormat="1" ht="18" customHeight="1" x14ac:dyDescent="0.3">
      <c r="A395" s="194">
        <v>389</v>
      </c>
      <c r="B395" s="315"/>
      <c r="C395" s="332"/>
      <c r="D395" s="316" t="s">
        <v>252</v>
      </c>
      <c r="E395" s="317"/>
      <c r="F395" s="317"/>
      <c r="G395" s="798"/>
      <c r="H395" s="1434"/>
      <c r="I395" s="317">
        <f>SUM(J395:N395)</f>
        <v>4910</v>
      </c>
      <c r="J395" s="312">
        <v>4600</v>
      </c>
      <c r="K395" s="312">
        <v>310</v>
      </c>
      <c r="L395" s="312"/>
      <c r="M395" s="312"/>
      <c r="N395" s="313"/>
    </row>
    <row r="396" spans="1:16" s="318" customFormat="1" ht="18" customHeight="1" x14ac:dyDescent="0.3">
      <c r="A396" s="194">
        <v>390</v>
      </c>
      <c r="B396" s="315"/>
      <c r="C396" s="332"/>
      <c r="D396" s="1003" t="s">
        <v>921</v>
      </c>
      <c r="E396" s="317"/>
      <c r="F396" s="317"/>
      <c r="G396" s="798"/>
      <c r="H396" s="1434"/>
      <c r="I396" s="1448">
        <f>SUM(J396:N396)</f>
        <v>4910</v>
      </c>
      <c r="J396" s="1093">
        <v>4600</v>
      </c>
      <c r="K396" s="1093">
        <v>310</v>
      </c>
      <c r="L396" s="312"/>
      <c r="M396" s="312"/>
      <c r="N396" s="313"/>
    </row>
    <row r="397" spans="1:16" s="318" customFormat="1" ht="18" customHeight="1" x14ac:dyDescent="0.3">
      <c r="A397" s="194">
        <v>391</v>
      </c>
      <c r="B397" s="315"/>
      <c r="C397" s="332"/>
      <c r="D397" s="1002" t="s">
        <v>973</v>
      </c>
      <c r="E397" s="317"/>
      <c r="F397" s="317"/>
      <c r="G397" s="798"/>
      <c r="H397" s="1434"/>
      <c r="I397" s="415">
        <f>SUM(J397:Q397)</f>
        <v>846</v>
      </c>
      <c r="J397" s="1094">
        <v>793</v>
      </c>
      <c r="K397" s="1094">
        <v>53</v>
      </c>
      <c r="L397" s="312"/>
      <c r="M397" s="312"/>
      <c r="N397" s="313"/>
    </row>
    <row r="398" spans="1:16" s="11" customFormat="1" ht="22.5" customHeight="1" x14ac:dyDescent="0.35">
      <c r="A398" s="194">
        <v>392</v>
      </c>
      <c r="B398" s="191"/>
      <c r="C398" s="59">
        <v>53</v>
      </c>
      <c r="D398" s="190" t="s">
        <v>228</v>
      </c>
      <c r="E398" s="795">
        <v>765</v>
      </c>
      <c r="F398" s="795">
        <v>2430</v>
      </c>
      <c r="G398" s="796">
        <v>577</v>
      </c>
      <c r="H398" s="1433" t="s">
        <v>24</v>
      </c>
      <c r="I398" s="317"/>
      <c r="J398" s="352"/>
      <c r="K398" s="352"/>
      <c r="L398" s="352"/>
      <c r="M398" s="352"/>
      <c r="N398" s="353"/>
      <c r="P398" s="654"/>
    </row>
    <row r="399" spans="1:16" s="318" customFormat="1" ht="18" customHeight="1" x14ac:dyDescent="0.3">
      <c r="A399" s="194">
        <v>393</v>
      </c>
      <c r="B399" s="315"/>
      <c r="C399" s="332"/>
      <c r="D399" s="316" t="s">
        <v>252</v>
      </c>
      <c r="E399" s="317"/>
      <c r="F399" s="317"/>
      <c r="G399" s="798"/>
      <c r="H399" s="1434"/>
      <c r="I399" s="317">
        <f>SUM(J399:N399)</f>
        <v>3334</v>
      </c>
      <c r="J399" s="312">
        <v>2950</v>
      </c>
      <c r="K399" s="312">
        <v>384</v>
      </c>
      <c r="L399" s="312"/>
      <c r="M399" s="312"/>
      <c r="N399" s="313"/>
    </row>
    <row r="400" spans="1:16" s="318" customFormat="1" ht="18" customHeight="1" x14ac:dyDescent="0.3">
      <c r="A400" s="194">
        <v>394</v>
      </c>
      <c r="B400" s="315"/>
      <c r="C400" s="332"/>
      <c r="D400" s="1003" t="s">
        <v>921</v>
      </c>
      <c r="E400" s="317"/>
      <c r="F400" s="317"/>
      <c r="G400" s="798"/>
      <c r="H400" s="1434"/>
      <c r="I400" s="1448">
        <f>SUM(J400:N400)</f>
        <v>3334</v>
      </c>
      <c r="J400" s="1093">
        <v>2950</v>
      </c>
      <c r="K400" s="1093">
        <v>384</v>
      </c>
      <c r="L400" s="312"/>
      <c r="M400" s="312"/>
      <c r="N400" s="313"/>
    </row>
    <row r="401" spans="1:16" s="318" customFormat="1" ht="18" customHeight="1" x14ac:dyDescent="0.3">
      <c r="A401" s="194">
        <v>395</v>
      </c>
      <c r="B401" s="315"/>
      <c r="C401" s="332"/>
      <c r="D401" s="1002" t="s">
        <v>973</v>
      </c>
      <c r="E401" s="317"/>
      <c r="F401" s="317"/>
      <c r="G401" s="798"/>
      <c r="H401" s="1434"/>
      <c r="I401" s="415">
        <f>SUM(J401:Q401)</f>
        <v>0</v>
      </c>
      <c r="J401" s="1094">
        <v>0</v>
      </c>
      <c r="K401" s="1094">
        <v>0</v>
      </c>
      <c r="L401" s="312"/>
      <c r="M401" s="312"/>
      <c r="N401" s="313"/>
    </row>
    <row r="402" spans="1:16" s="11" customFormat="1" ht="22.5" customHeight="1" x14ac:dyDescent="0.35">
      <c r="A402" s="194">
        <v>396</v>
      </c>
      <c r="B402" s="191"/>
      <c r="C402" s="59">
        <v>54</v>
      </c>
      <c r="D402" s="190" t="s">
        <v>65</v>
      </c>
      <c r="E402" s="795"/>
      <c r="F402" s="795">
        <v>100</v>
      </c>
      <c r="G402" s="796"/>
      <c r="H402" s="1433" t="s">
        <v>24</v>
      </c>
      <c r="I402" s="317"/>
      <c r="J402" s="352"/>
      <c r="K402" s="352"/>
      <c r="L402" s="352"/>
      <c r="M402" s="352"/>
      <c r="N402" s="353"/>
      <c r="P402" s="654"/>
    </row>
    <row r="403" spans="1:16" s="318" customFormat="1" ht="18" customHeight="1" x14ac:dyDescent="0.3">
      <c r="A403" s="194">
        <v>397</v>
      </c>
      <c r="B403" s="315"/>
      <c r="C403" s="332"/>
      <c r="D403" s="316" t="s">
        <v>252</v>
      </c>
      <c r="E403" s="317"/>
      <c r="F403" s="317"/>
      <c r="G403" s="798"/>
      <c r="H403" s="1434"/>
      <c r="I403" s="317">
        <f>SUM(J403:N403)</f>
        <v>100</v>
      </c>
      <c r="J403" s="312"/>
      <c r="K403" s="312"/>
      <c r="L403" s="312"/>
      <c r="M403" s="312">
        <v>100</v>
      </c>
      <c r="N403" s="313"/>
    </row>
    <row r="404" spans="1:16" s="318" customFormat="1" ht="18" customHeight="1" x14ac:dyDescent="0.3">
      <c r="A404" s="194">
        <v>398</v>
      </c>
      <c r="B404" s="315"/>
      <c r="C404" s="332"/>
      <c r="D404" s="1003" t="s">
        <v>921</v>
      </c>
      <c r="E404" s="317"/>
      <c r="F404" s="317"/>
      <c r="G404" s="798"/>
      <c r="H404" s="1434"/>
      <c r="I404" s="1448">
        <f>SUM(J404:N404)</f>
        <v>1500</v>
      </c>
      <c r="J404" s="1093"/>
      <c r="K404" s="1093"/>
      <c r="L404" s="1093"/>
      <c r="M404" s="1093">
        <v>1500</v>
      </c>
      <c r="N404" s="313"/>
    </row>
    <row r="405" spans="1:16" s="318" customFormat="1" ht="18" customHeight="1" x14ac:dyDescent="0.3">
      <c r="A405" s="194">
        <v>399</v>
      </c>
      <c r="B405" s="315"/>
      <c r="C405" s="332"/>
      <c r="D405" s="1002" t="s">
        <v>972</v>
      </c>
      <c r="E405" s="317"/>
      <c r="F405" s="317"/>
      <c r="G405" s="798"/>
      <c r="H405" s="1434"/>
      <c r="I405" s="415">
        <f>SUM(J405:Q405)</f>
        <v>0</v>
      </c>
      <c r="J405" s="312"/>
      <c r="K405" s="312"/>
      <c r="L405" s="312"/>
      <c r="M405" s="1094">
        <v>0</v>
      </c>
      <c r="N405" s="313"/>
    </row>
    <row r="406" spans="1:16" s="11" customFormat="1" ht="22.5" customHeight="1" x14ac:dyDescent="0.35">
      <c r="A406" s="194">
        <v>400</v>
      </c>
      <c r="B406" s="191"/>
      <c r="C406" s="59">
        <v>55</v>
      </c>
      <c r="D406" s="190" t="s">
        <v>240</v>
      </c>
      <c r="E406" s="795">
        <v>6000</v>
      </c>
      <c r="F406" s="795">
        <v>6000</v>
      </c>
      <c r="G406" s="796"/>
      <c r="H406" s="1433" t="s">
        <v>23</v>
      </c>
      <c r="I406" s="317"/>
      <c r="J406" s="352"/>
      <c r="K406" s="352"/>
      <c r="L406" s="352"/>
      <c r="M406" s="352"/>
      <c r="N406" s="353"/>
      <c r="P406" s="654"/>
    </row>
    <row r="407" spans="1:16" s="11" customFormat="1" ht="22.5" customHeight="1" x14ac:dyDescent="0.35">
      <c r="A407" s="194">
        <v>401</v>
      </c>
      <c r="B407" s="191"/>
      <c r="C407" s="59">
        <v>56</v>
      </c>
      <c r="D407" s="190" t="s">
        <v>250</v>
      </c>
      <c r="E407" s="795">
        <v>12000</v>
      </c>
      <c r="F407" s="795">
        <v>12000</v>
      </c>
      <c r="G407" s="796">
        <v>12000</v>
      </c>
      <c r="H407" s="1433" t="s">
        <v>23</v>
      </c>
      <c r="I407" s="317"/>
      <c r="J407" s="352"/>
      <c r="K407" s="352"/>
      <c r="L407" s="352"/>
      <c r="M407" s="352"/>
      <c r="N407" s="353"/>
      <c r="P407" s="654"/>
    </row>
    <row r="408" spans="1:16" s="318" customFormat="1" ht="18" customHeight="1" x14ac:dyDescent="0.3">
      <c r="A408" s="194">
        <v>402</v>
      </c>
      <c r="B408" s="315"/>
      <c r="C408" s="332"/>
      <c r="D408" s="316" t="s">
        <v>252</v>
      </c>
      <c r="E408" s="317"/>
      <c r="F408" s="317"/>
      <c r="G408" s="798"/>
      <c r="H408" s="1434"/>
      <c r="I408" s="317">
        <f>SUM(J408:N408)</f>
        <v>12000</v>
      </c>
      <c r="J408" s="312"/>
      <c r="K408" s="312"/>
      <c r="L408" s="312"/>
      <c r="M408" s="312"/>
      <c r="N408" s="313">
        <v>12000</v>
      </c>
    </row>
    <row r="409" spans="1:16" s="318" customFormat="1" ht="18" customHeight="1" x14ac:dyDescent="0.3">
      <c r="A409" s="194">
        <v>403</v>
      </c>
      <c r="B409" s="315"/>
      <c r="C409" s="332"/>
      <c r="D409" s="1003" t="s">
        <v>921</v>
      </c>
      <c r="E409" s="317"/>
      <c r="F409" s="317"/>
      <c r="G409" s="798"/>
      <c r="H409" s="1434"/>
      <c r="I409" s="1448">
        <f>SUM(J409:N409)</f>
        <v>12000</v>
      </c>
      <c r="J409" s="1093"/>
      <c r="K409" s="1093"/>
      <c r="L409" s="1093"/>
      <c r="M409" s="1093"/>
      <c r="N409" s="1104">
        <v>12000</v>
      </c>
    </row>
    <row r="410" spans="1:16" s="318" customFormat="1" ht="18" customHeight="1" x14ac:dyDescent="0.3">
      <c r="A410" s="194">
        <v>404</v>
      </c>
      <c r="B410" s="315"/>
      <c r="C410" s="332"/>
      <c r="D410" s="1002" t="s">
        <v>973</v>
      </c>
      <c r="E410" s="317"/>
      <c r="F410" s="317"/>
      <c r="G410" s="798"/>
      <c r="H410" s="1434"/>
      <c r="I410" s="415">
        <f>SUM(J410:Q410)</f>
        <v>6000</v>
      </c>
      <c r="J410" s="312"/>
      <c r="K410" s="312"/>
      <c r="L410" s="312"/>
      <c r="M410" s="312"/>
      <c r="N410" s="1102">
        <v>6000</v>
      </c>
    </row>
    <row r="411" spans="1:16" s="11" customFormat="1" ht="22.5" customHeight="1" x14ac:dyDescent="0.35">
      <c r="A411" s="194">
        <v>405</v>
      </c>
      <c r="B411" s="191"/>
      <c r="C411" s="59">
        <v>57</v>
      </c>
      <c r="D411" s="190" t="s">
        <v>66</v>
      </c>
      <c r="E411" s="795">
        <v>60000</v>
      </c>
      <c r="F411" s="795">
        <v>60000</v>
      </c>
      <c r="G411" s="796">
        <v>80000</v>
      </c>
      <c r="H411" s="1433" t="s">
        <v>23</v>
      </c>
      <c r="I411" s="317"/>
      <c r="J411" s="352"/>
      <c r="K411" s="352"/>
      <c r="L411" s="352"/>
      <c r="M411" s="352"/>
      <c r="N411" s="353"/>
      <c r="P411" s="654"/>
    </row>
    <row r="412" spans="1:16" s="318" customFormat="1" ht="18" customHeight="1" x14ac:dyDescent="0.3">
      <c r="A412" s="194">
        <v>406</v>
      </c>
      <c r="B412" s="315"/>
      <c r="C412" s="332"/>
      <c r="D412" s="316" t="s">
        <v>252</v>
      </c>
      <c r="E412" s="317"/>
      <c r="F412" s="317"/>
      <c r="G412" s="798"/>
      <c r="H412" s="1434"/>
      <c r="I412" s="317">
        <f>SUM(J412:N412)</f>
        <v>85000</v>
      </c>
      <c r="J412" s="312"/>
      <c r="K412" s="312"/>
      <c r="L412" s="312"/>
      <c r="M412" s="312"/>
      <c r="N412" s="313">
        <v>85000</v>
      </c>
    </row>
    <row r="413" spans="1:16" s="318" customFormat="1" ht="18" customHeight="1" x14ac:dyDescent="0.3">
      <c r="A413" s="194">
        <v>407</v>
      </c>
      <c r="B413" s="315"/>
      <c r="C413" s="332"/>
      <c r="D413" s="1003" t="s">
        <v>921</v>
      </c>
      <c r="E413" s="317"/>
      <c r="F413" s="317"/>
      <c r="G413" s="798"/>
      <c r="H413" s="1434"/>
      <c r="I413" s="1448">
        <f>SUM(J413:N413)</f>
        <v>85000</v>
      </c>
      <c r="J413" s="1093"/>
      <c r="K413" s="1093"/>
      <c r="L413" s="1093"/>
      <c r="M413" s="1093"/>
      <c r="N413" s="1104">
        <v>85000</v>
      </c>
    </row>
    <row r="414" spans="1:16" s="318" customFormat="1" ht="18" customHeight="1" x14ac:dyDescent="0.3">
      <c r="A414" s="194">
        <v>408</v>
      </c>
      <c r="B414" s="315"/>
      <c r="C414" s="332"/>
      <c r="D414" s="1002" t="s">
        <v>973</v>
      </c>
      <c r="E414" s="317"/>
      <c r="F414" s="317"/>
      <c r="G414" s="798"/>
      <c r="H414" s="1434"/>
      <c r="I414" s="415">
        <f>SUM(J414:Q414)</f>
        <v>40000</v>
      </c>
      <c r="J414" s="312"/>
      <c r="K414" s="312"/>
      <c r="L414" s="312"/>
      <c r="M414" s="312"/>
      <c r="N414" s="1102">
        <v>40000</v>
      </c>
    </row>
    <row r="415" spans="1:16" s="11" customFormat="1" ht="22.5" customHeight="1" x14ac:dyDescent="0.35">
      <c r="A415" s="194">
        <v>409</v>
      </c>
      <c r="B415" s="191"/>
      <c r="C415" s="59">
        <v>58</v>
      </c>
      <c r="D415" s="190" t="s">
        <v>819</v>
      </c>
      <c r="E415" s="795">
        <v>724979</v>
      </c>
      <c r="F415" s="795">
        <v>744824</v>
      </c>
      <c r="G415" s="796">
        <v>889032</v>
      </c>
      <c r="H415" s="1433" t="s">
        <v>23</v>
      </c>
      <c r="I415" s="317"/>
      <c r="J415" s="352"/>
      <c r="K415" s="352"/>
      <c r="L415" s="352"/>
      <c r="M415" s="352"/>
      <c r="N415" s="353"/>
      <c r="P415" s="654"/>
    </row>
    <row r="416" spans="1:16" s="318" customFormat="1" ht="18" customHeight="1" x14ac:dyDescent="0.3">
      <c r="A416" s="194">
        <v>410</v>
      </c>
      <c r="B416" s="315"/>
      <c r="C416" s="332"/>
      <c r="D416" s="316" t="s">
        <v>252</v>
      </c>
      <c r="E416" s="317"/>
      <c r="F416" s="317"/>
      <c r="G416" s="798"/>
      <c r="H416" s="1434"/>
      <c r="I416" s="317">
        <f>SUM(J416:N416)</f>
        <v>886415</v>
      </c>
      <c r="J416" s="312"/>
      <c r="K416" s="312"/>
      <c r="L416" s="312"/>
      <c r="M416" s="312"/>
      <c r="N416" s="313">
        <v>886415</v>
      </c>
    </row>
    <row r="417" spans="1:16" s="318" customFormat="1" ht="18" customHeight="1" x14ac:dyDescent="0.3">
      <c r="A417" s="194">
        <v>411</v>
      </c>
      <c r="B417" s="315"/>
      <c r="C417" s="332"/>
      <c r="D417" s="1003" t="s">
        <v>921</v>
      </c>
      <c r="E417" s="317"/>
      <c r="F417" s="317"/>
      <c r="G417" s="798"/>
      <c r="H417" s="1434"/>
      <c r="I417" s="1448">
        <f>SUM(J417:N417)</f>
        <v>916794</v>
      </c>
      <c r="J417" s="1093"/>
      <c r="K417" s="1093"/>
      <c r="L417" s="1093"/>
      <c r="M417" s="1093"/>
      <c r="N417" s="1104">
        <v>916794</v>
      </c>
    </row>
    <row r="418" spans="1:16" s="318" customFormat="1" ht="18" customHeight="1" x14ac:dyDescent="0.3">
      <c r="A418" s="194">
        <v>412</v>
      </c>
      <c r="B418" s="315"/>
      <c r="C418" s="332"/>
      <c r="D418" s="1002" t="s">
        <v>972</v>
      </c>
      <c r="E418" s="317"/>
      <c r="F418" s="317"/>
      <c r="G418" s="798"/>
      <c r="H418" s="1434"/>
      <c r="I418" s="415">
        <f>SUM(J418:Q418)</f>
        <v>476722</v>
      </c>
      <c r="J418" s="312"/>
      <c r="K418" s="312"/>
      <c r="L418" s="312"/>
      <c r="M418" s="312"/>
      <c r="N418" s="1102">
        <v>476722</v>
      </c>
    </row>
    <row r="419" spans="1:16" s="11" customFormat="1" ht="22.5" customHeight="1" x14ac:dyDescent="0.35">
      <c r="A419" s="194">
        <v>413</v>
      </c>
      <c r="B419" s="191"/>
      <c r="C419" s="59">
        <v>59</v>
      </c>
      <c r="D419" s="190" t="s">
        <v>262</v>
      </c>
      <c r="E419" s="795">
        <v>109620</v>
      </c>
      <c r="F419" s="795">
        <v>130708</v>
      </c>
      <c r="G419" s="796">
        <v>90207</v>
      </c>
      <c r="H419" s="1433" t="s">
        <v>23</v>
      </c>
      <c r="I419" s="317"/>
      <c r="J419" s="352"/>
      <c r="K419" s="352"/>
      <c r="L419" s="352"/>
      <c r="M419" s="352"/>
      <c r="N419" s="353"/>
      <c r="P419" s="654"/>
    </row>
    <row r="420" spans="1:16" s="7" customFormat="1" ht="22.5" customHeight="1" x14ac:dyDescent="0.3">
      <c r="A420" s="194">
        <v>414</v>
      </c>
      <c r="B420" s="61"/>
      <c r="C420" s="59">
        <v>60</v>
      </c>
      <c r="D420" s="189" t="s">
        <v>301</v>
      </c>
      <c r="E420" s="795">
        <v>1780</v>
      </c>
      <c r="F420" s="795">
        <v>4320</v>
      </c>
      <c r="G420" s="796">
        <v>1419</v>
      </c>
      <c r="H420" s="1433" t="s">
        <v>24</v>
      </c>
      <c r="I420" s="317"/>
      <c r="J420" s="352"/>
      <c r="K420" s="352"/>
      <c r="L420" s="352"/>
      <c r="M420" s="352"/>
      <c r="N420" s="353"/>
    </row>
    <row r="421" spans="1:16" s="318" customFormat="1" ht="18" customHeight="1" x14ac:dyDescent="0.3">
      <c r="A421" s="194">
        <v>415</v>
      </c>
      <c r="B421" s="315"/>
      <c r="C421" s="332"/>
      <c r="D421" s="316" t="s">
        <v>252</v>
      </c>
      <c r="E421" s="317"/>
      <c r="F421" s="317"/>
      <c r="G421" s="798"/>
      <c r="H421" s="1434"/>
      <c r="I421" s="317">
        <f>SUM(J421:N421)</f>
        <v>4320</v>
      </c>
      <c r="J421" s="312"/>
      <c r="K421" s="312"/>
      <c r="L421" s="312">
        <v>4320</v>
      </c>
      <c r="M421" s="312"/>
      <c r="N421" s="313"/>
    </row>
    <row r="422" spans="1:16" s="318" customFormat="1" ht="18" customHeight="1" x14ac:dyDescent="0.3">
      <c r="A422" s="194">
        <v>416</v>
      </c>
      <c r="B422" s="315"/>
      <c r="C422" s="332"/>
      <c r="D422" s="1003" t="s">
        <v>921</v>
      </c>
      <c r="E422" s="317"/>
      <c r="F422" s="317"/>
      <c r="G422" s="798"/>
      <c r="H422" s="1434"/>
      <c r="I422" s="1448">
        <f>SUM(J422:N422)</f>
        <v>4767</v>
      </c>
      <c r="J422" s="1093"/>
      <c r="K422" s="1093"/>
      <c r="L422" s="1093">
        <v>4767</v>
      </c>
      <c r="M422" s="312"/>
      <c r="N422" s="313"/>
    </row>
    <row r="423" spans="1:16" s="318" customFormat="1" ht="18" customHeight="1" x14ac:dyDescent="0.3">
      <c r="A423" s="194">
        <v>417</v>
      </c>
      <c r="B423" s="315"/>
      <c r="C423" s="332"/>
      <c r="D423" s="1002" t="s">
        <v>972</v>
      </c>
      <c r="E423" s="317"/>
      <c r="F423" s="317"/>
      <c r="G423" s="798"/>
      <c r="H423" s="1434"/>
      <c r="I423" s="415">
        <f>SUM(J423:Q423)</f>
        <v>689</v>
      </c>
      <c r="J423" s="312"/>
      <c r="K423" s="312"/>
      <c r="L423" s="1094">
        <v>689</v>
      </c>
      <c r="M423" s="312"/>
      <c r="N423" s="313"/>
    </row>
    <row r="424" spans="1:16" s="7" customFormat="1" ht="22.5" customHeight="1" x14ac:dyDescent="0.3">
      <c r="A424" s="194">
        <v>418</v>
      </c>
      <c r="B424" s="61"/>
      <c r="C424" s="59">
        <v>61</v>
      </c>
      <c r="D424" s="189" t="s">
        <v>302</v>
      </c>
      <c r="E424" s="795"/>
      <c r="F424" s="795"/>
      <c r="G424" s="796"/>
      <c r="H424" s="1433" t="s">
        <v>24</v>
      </c>
      <c r="I424" s="317"/>
      <c r="J424" s="352"/>
      <c r="K424" s="352"/>
      <c r="L424" s="352"/>
      <c r="M424" s="352"/>
      <c r="N424" s="353"/>
    </row>
    <row r="425" spans="1:16" s="7" customFormat="1" ht="18" customHeight="1" x14ac:dyDescent="0.3">
      <c r="A425" s="194">
        <v>419</v>
      </c>
      <c r="B425" s="61"/>
      <c r="C425" s="59"/>
      <c r="D425" s="316" t="s">
        <v>252</v>
      </c>
      <c r="E425" s="795"/>
      <c r="F425" s="795"/>
      <c r="G425" s="796"/>
      <c r="H425" s="1433"/>
      <c r="I425" s="317">
        <f>SUM(J425:N425)</f>
        <v>4000</v>
      </c>
      <c r="J425" s="352"/>
      <c r="K425" s="352"/>
      <c r="L425" s="352"/>
      <c r="M425" s="352"/>
      <c r="N425" s="313">
        <v>4000</v>
      </c>
    </row>
    <row r="426" spans="1:16" s="7" customFormat="1" ht="18" customHeight="1" x14ac:dyDescent="0.3">
      <c r="A426" s="194">
        <v>420</v>
      </c>
      <c r="B426" s="61"/>
      <c r="C426" s="59"/>
      <c r="D426" s="1003" t="s">
        <v>921</v>
      </c>
      <c r="E426" s="795"/>
      <c r="F426" s="795"/>
      <c r="G426" s="796"/>
      <c r="H426" s="1433"/>
      <c r="I426" s="1448">
        <f>SUM(J426:N426)</f>
        <v>4000</v>
      </c>
      <c r="J426" s="1092"/>
      <c r="K426" s="1092"/>
      <c r="L426" s="1092"/>
      <c r="M426" s="1092"/>
      <c r="N426" s="1104">
        <v>4000</v>
      </c>
    </row>
    <row r="427" spans="1:16" s="7" customFormat="1" ht="18" customHeight="1" x14ac:dyDescent="0.3">
      <c r="A427" s="194">
        <v>421</v>
      </c>
      <c r="B427" s="61"/>
      <c r="C427" s="59"/>
      <c r="D427" s="1002" t="s">
        <v>973</v>
      </c>
      <c r="E427" s="795"/>
      <c r="F427" s="795"/>
      <c r="G427" s="796"/>
      <c r="H427" s="1433"/>
      <c r="I427" s="415">
        <f>SUM(J427:Q427)</f>
        <v>0</v>
      </c>
      <c r="J427" s="352"/>
      <c r="K427" s="352"/>
      <c r="L427" s="352"/>
      <c r="M427" s="352"/>
      <c r="N427" s="1102">
        <v>0</v>
      </c>
    </row>
    <row r="428" spans="1:16" s="3" customFormat="1" ht="22.5" customHeight="1" x14ac:dyDescent="0.3">
      <c r="A428" s="194">
        <v>422</v>
      </c>
      <c r="B428" s="58"/>
      <c r="C428" s="59">
        <v>62</v>
      </c>
      <c r="D428" s="190" t="s">
        <v>67</v>
      </c>
      <c r="E428" s="795">
        <v>2000</v>
      </c>
      <c r="F428" s="795">
        <v>2000</v>
      </c>
      <c r="G428" s="796">
        <v>2000</v>
      </c>
      <c r="H428" s="1433" t="s">
        <v>24</v>
      </c>
      <c r="I428" s="317"/>
      <c r="J428" s="352"/>
      <c r="K428" s="352"/>
      <c r="L428" s="352"/>
      <c r="M428" s="352"/>
      <c r="N428" s="353"/>
      <c r="P428" s="7"/>
    </row>
    <row r="429" spans="1:16" s="318" customFormat="1" ht="18" customHeight="1" x14ac:dyDescent="0.3">
      <c r="A429" s="194">
        <v>423</v>
      </c>
      <c r="B429" s="315"/>
      <c r="C429" s="332"/>
      <c r="D429" s="316" t="s">
        <v>252</v>
      </c>
      <c r="E429" s="317"/>
      <c r="F429" s="317"/>
      <c r="G429" s="798"/>
      <c r="H429" s="1434"/>
      <c r="I429" s="317">
        <f>SUM(J429:N429)</f>
        <v>2000</v>
      </c>
      <c r="J429" s="312"/>
      <c r="K429" s="312"/>
      <c r="L429" s="312">
        <v>2000</v>
      </c>
      <c r="M429" s="312"/>
      <c r="N429" s="313"/>
    </row>
    <row r="430" spans="1:16" s="318" customFormat="1" ht="18" customHeight="1" x14ac:dyDescent="0.3">
      <c r="A430" s="194">
        <v>424</v>
      </c>
      <c r="B430" s="315"/>
      <c r="C430" s="332"/>
      <c r="D430" s="1003" t="s">
        <v>921</v>
      </c>
      <c r="E430" s="317"/>
      <c r="F430" s="317"/>
      <c r="G430" s="798"/>
      <c r="H430" s="1434"/>
      <c r="I430" s="1448">
        <f>SUM(J430:N430)</f>
        <v>2000</v>
      </c>
      <c r="J430" s="1093"/>
      <c r="K430" s="1093"/>
      <c r="L430" s="1093">
        <v>2000</v>
      </c>
      <c r="M430" s="312"/>
      <c r="N430" s="313"/>
    </row>
    <row r="431" spans="1:16" s="318" customFormat="1" ht="18" customHeight="1" x14ac:dyDescent="0.3">
      <c r="A431" s="194">
        <v>425</v>
      </c>
      <c r="B431" s="315"/>
      <c r="C431" s="332"/>
      <c r="D431" s="1002" t="s">
        <v>973</v>
      </c>
      <c r="E431" s="317"/>
      <c r="F431" s="317"/>
      <c r="G431" s="798"/>
      <c r="H431" s="1434"/>
      <c r="I431" s="415">
        <f>SUM(J431:Q431)</f>
        <v>1004</v>
      </c>
      <c r="J431" s="312"/>
      <c r="K431" s="312"/>
      <c r="L431" s="1094">
        <v>1004</v>
      </c>
      <c r="M431" s="312"/>
      <c r="N431" s="313"/>
    </row>
    <row r="432" spans="1:16" s="3" customFormat="1" ht="22.5" customHeight="1" x14ac:dyDescent="0.3">
      <c r="A432" s="194">
        <v>426</v>
      </c>
      <c r="B432" s="58"/>
      <c r="C432" s="59">
        <v>63</v>
      </c>
      <c r="D432" s="190" t="s">
        <v>287</v>
      </c>
      <c r="E432" s="795"/>
      <c r="F432" s="795"/>
      <c r="G432" s="796"/>
      <c r="H432" s="1433" t="s">
        <v>24</v>
      </c>
      <c r="I432" s="317"/>
      <c r="J432" s="352"/>
      <c r="K432" s="352"/>
      <c r="L432" s="352"/>
      <c r="M432" s="352"/>
      <c r="N432" s="353"/>
      <c r="P432" s="7"/>
    </row>
    <row r="433" spans="1:16" s="3" customFormat="1" ht="22.5" customHeight="1" x14ac:dyDescent="0.3">
      <c r="A433" s="194">
        <v>427</v>
      </c>
      <c r="B433" s="58"/>
      <c r="C433" s="59">
        <v>64</v>
      </c>
      <c r="D433" s="190" t="s">
        <v>68</v>
      </c>
      <c r="E433" s="795">
        <v>1000</v>
      </c>
      <c r="F433" s="795">
        <v>1000</v>
      </c>
      <c r="G433" s="796">
        <v>1000</v>
      </c>
      <c r="H433" s="1433" t="s">
        <v>24</v>
      </c>
      <c r="I433" s="317"/>
      <c r="J433" s="352"/>
      <c r="K433" s="352"/>
      <c r="L433" s="352"/>
      <c r="M433" s="352"/>
      <c r="N433" s="353"/>
      <c r="P433" s="7"/>
    </row>
    <row r="434" spans="1:16" s="318" customFormat="1" ht="18" customHeight="1" x14ac:dyDescent="0.3">
      <c r="A434" s="194">
        <v>428</v>
      </c>
      <c r="B434" s="315"/>
      <c r="C434" s="332"/>
      <c r="D434" s="316" t="s">
        <v>252</v>
      </c>
      <c r="E434" s="317"/>
      <c r="F434" s="317"/>
      <c r="G434" s="798"/>
      <c r="H434" s="1434"/>
      <c r="I434" s="317">
        <f>SUM(J434:N434)</f>
        <v>1000</v>
      </c>
      <c r="J434" s="312"/>
      <c r="K434" s="312"/>
      <c r="L434" s="312">
        <v>1000</v>
      </c>
      <c r="M434" s="312"/>
      <c r="N434" s="313"/>
    </row>
    <row r="435" spans="1:16" s="318" customFormat="1" ht="18" customHeight="1" x14ac:dyDescent="0.3">
      <c r="A435" s="194">
        <v>429</v>
      </c>
      <c r="B435" s="315"/>
      <c r="C435" s="332"/>
      <c r="D435" s="1003" t="s">
        <v>921</v>
      </c>
      <c r="E435" s="317"/>
      <c r="F435" s="317"/>
      <c r="G435" s="798"/>
      <c r="H435" s="1434"/>
      <c r="I435" s="1448">
        <f>SUM(J435:N435)</f>
        <v>1000</v>
      </c>
      <c r="J435" s="1093"/>
      <c r="K435" s="1093"/>
      <c r="L435" s="1093">
        <v>1000</v>
      </c>
      <c r="M435" s="312"/>
      <c r="N435" s="313"/>
    </row>
    <row r="436" spans="1:16" s="318" customFormat="1" ht="18" customHeight="1" x14ac:dyDescent="0.3">
      <c r="A436" s="194">
        <v>430</v>
      </c>
      <c r="B436" s="315"/>
      <c r="C436" s="332"/>
      <c r="D436" s="1002" t="s">
        <v>973</v>
      </c>
      <c r="E436" s="317"/>
      <c r="F436" s="317"/>
      <c r="G436" s="798"/>
      <c r="H436" s="1434"/>
      <c r="I436" s="415">
        <f>SUM(J436:Q436)</f>
        <v>502</v>
      </c>
      <c r="J436" s="312"/>
      <c r="K436" s="312"/>
      <c r="L436" s="1094">
        <v>502</v>
      </c>
      <c r="M436" s="312"/>
      <c r="N436" s="313"/>
    </row>
    <row r="437" spans="1:16" s="7" customFormat="1" ht="22.5" customHeight="1" x14ac:dyDescent="0.3">
      <c r="A437" s="194">
        <v>431</v>
      </c>
      <c r="B437" s="61"/>
      <c r="C437" s="59">
        <v>65</v>
      </c>
      <c r="D437" s="190" t="s">
        <v>363</v>
      </c>
      <c r="E437" s="795"/>
      <c r="F437" s="795"/>
      <c r="G437" s="796">
        <v>3000</v>
      </c>
      <c r="H437" s="1433" t="s">
        <v>23</v>
      </c>
      <c r="I437" s="317"/>
      <c r="J437" s="352"/>
      <c r="K437" s="352"/>
      <c r="L437" s="352"/>
      <c r="M437" s="352"/>
      <c r="N437" s="353"/>
    </row>
    <row r="438" spans="1:16" s="7" customFormat="1" ht="18" customHeight="1" x14ac:dyDescent="0.3">
      <c r="A438" s="194">
        <v>432</v>
      </c>
      <c r="B438" s="61"/>
      <c r="C438" s="59"/>
      <c r="D438" s="316" t="s">
        <v>252</v>
      </c>
      <c r="E438" s="795"/>
      <c r="F438" s="795"/>
      <c r="G438" s="796"/>
      <c r="H438" s="1433"/>
      <c r="I438" s="317">
        <f>SUM(J438:N438)</f>
        <v>3000</v>
      </c>
      <c r="J438" s="352"/>
      <c r="K438" s="352"/>
      <c r="L438" s="312"/>
      <c r="M438" s="352"/>
      <c r="N438" s="313">
        <v>3000</v>
      </c>
    </row>
    <row r="439" spans="1:16" s="7" customFormat="1" ht="18" customHeight="1" x14ac:dyDescent="0.3">
      <c r="A439" s="194">
        <v>433</v>
      </c>
      <c r="B439" s="61"/>
      <c r="C439" s="59"/>
      <c r="D439" s="1003" t="s">
        <v>921</v>
      </c>
      <c r="E439" s="795"/>
      <c r="F439" s="795"/>
      <c r="G439" s="796"/>
      <c r="H439" s="1433"/>
      <c r="I439" s="1448">
        <f>SUM(J439:N439)</f>
        <v>3000</v>
      </c>
      <c r="J439" s="1092"/>
      <c r="K439" s="1092"/>
      <c r="L439" s="1093"/>
      <c r="M439" s="1092"/>
      <c r="N439" s="1104">
        <v>3000</v>
      </c>
    </row>
    <row r="440" spans="1:16" s="7" customFormat="1" ht="18" customHeight="1" x14ac:dyDescent="0.3">
      <c r="A440" s="194">
        <v>434</v>
      </c>
      <c r="B440" s="61"/>
      <c r="C440" s="59"/>
      <c r="D440" s="1002" t="s">
        <v>973</v>
      </c>
      <c r="E440" s="795"/>
      <c r="F440" s="795"/>
      <c r="G440" s="796"/>
      <c r="H440" s="1433"/>
      <c r="I440" s="415">
        <f>SUM(J440:Q440)</f>
        <v>1500</v>
      </c>
      <c r="J440" s="352"/>
      <c r="K440" s="352"/>
      <c r="L440" s="312"/>
      <c r="M440" s="352"/>
      <c r="N440" s="1102">
        <v>1500</v>
      </c>
    </row>
    <row r="441" spans="1:16" s="3" customFormat="1" ht="22.5" customHeight="1" x14ac:dyDescent="0.3">
      <c r="A441" s="194">
        <v>435</v>
      </c>
      <c r="B441" s="58"/>
      <c r="C441" s="59">
        <v>66</v>
      </c>
      <c r="D441" s="190" t="s">
        <v>69</v>
      </c>
      <c r="E441" s="795">
        <v>1375</v>
      </c>
      <c r="F441" s="795"/>
      <c r="G441" s="796"/>
      <c r="H441" s="1433" t="s">
        <v>23</v>
      </c>
      <c r="I441" s="317"/>
      <c r="J441" s="352"/>
      <c r="K441" s="352"/>
      <c r="L441" s="352"/>
      <c r="M441" s="352"/>
      <c r="N441" s="353"/>
      <c r="P441" s="7"/>
    </row>
    <row r="442" spans="1:16" s="3" customFormat="1" ht="22.5" customHeight="1" x14ac:dyDescent="0.3">
      <c r="A442" s="194">
        <v>436</v>
      </c>
      <c r="B442" s="58"/>
      <c r="C442" s="59">
        <v>67</v>
      </c>
      <c r="D442" s="190" t="s">
        <v>70</v>
      </c>
      <c r="E442" s="795">
        <v>5200</v>
      </c>
      <c r="F442" s="795">
        <v>6350</v>
      </c>
      <c r="G442" s="796">
        <v>6665</v>
      </c>
      <c r="H442" s="1433" t="s">
        <v>23</v>
      </c>
      <c r="I442" s="317"/>
      <c r="J442" s="352"/>
      <c r="K442" s="352"/>
      <c r="L442" s="352"/>
      <c r="M442" s="352"/>
      <c r="N442" s="353"/>
      <c r="P442" s="7"/>
    </row>
    <row r="443" spans="1:16" s="318" customFormat="1" ht="18" customHeight="1" x14ac:dyDescent="0.3">
      <c r="A443" s="194">
        <v>437</v>
      </c>
      <c r="B443" s="315"/>
      <c r="C443" s="332"/>
      <c r="D443" s="316" t="s">
        <v>252</v>
      </c>
      <c r="E443" s="317"/>
      <c r="F443" s="317"/>
      <c r="G443" s="798"/>
      <c r="H443" s="1434"/>
      <c r="I443" s="317">
        <f>SUM(J443:N443)</f>
        <v>7350</v>
      </c>
      <c r="J443" s="312"/>
      <c r="K443" s="312"/>
      <c r="L443" s="312">
        <f>6825+525</f>
        <v>7350</v>
      </c>
      <c r="M443" s="312"/>
      <c r="N443" s="313"/>
    </row>
    <row r="444" spans="1:16" s="318" customFormat="1" ht="18" customHeight="1" x14ac:dyDescent="0.3">
      <c r="A444" s="194">
        <v>438</v>
      </c>
      <c r="B444" s="315"/>
      <c r="C444" s="332"/>
      <c r="D444" s="1003" t="s">
        <v>921</v>
      </c>
      <c r="E444" s="317"/>
      <c r="F444" s="317"/>
      <c r="G444" s="798"/>
      <c r="H444" s="1434"/>
      <c r="I444" s="1448">
        <f>SUM(J444:N444)</f>
        <v>7350</v>
      </c>
      <c r="J444" s="1093"/>
      <c r="K444" s="1093"/>
      <c r="L444" s="1093">
        <v>7350</v>
      </c>
      <c r="M444" s="312"/>
      <c r="N444" s="313"/>
    </row>
    <row r="445" spans="1:16" s="318" customFormat="1" ht="18" customHeight="1" x14ac:dyDescent="0.3">
      <c r="A445" s="194">
        <v>439</v>
      </c>
      <c r="B445" s="315"/>
      <c r="C445" s="332"/>
      <c r="D445" s="1002" t="s">
        <v>973</v>
      </c>
      <c r="E445" s="317"/>
      <c r="F445" s="317"/>
      <c r="G445" s="798"/>
      <c r="H445" s="1434"/>
      <c r="I445" s="415">
        <f>SUM(J445:Q445)</f>
        <v>2730</v>
      </c>
      <c r="J445" s="312"/>
      <c r="K445" s="312"/>
      <c r="L445" s="1094">
        <v>2730</v>
      </c>
      <c r="M445" s="312"/>
      <c r="N445" s="313"/>
    </row>
    <row r="446" spans="1:16" s="3" customFormat="1" ht="22.5" customHeight="1" x14ac:dyDescent="0.3">
      <c r="A446" s="194">
        <v>440</v>
      </c>
      <c r="B446" s="58"/>
      <c r="C446" s="59">
        <v>68</v>
      </c>
      <c r="D446" s="190" t="s">
        <v>71</v>
      </c>
      <c r="E446" s="795">
        <v>1974</v>
      </c>
      <c r="F446" s="795">
        <v>5830</v>
      </c>
      <c r="G446" s="796">
        <v>2227</v>
      </c>
      <c r="H446" s="1433" t="s">
        <v>24</v>
      </c>
      <c r="I446" s="317"/>
      <c r="J446" s="352"/>
      <c r="K446" s="352"/>
      <c r="L446" s="352"/>
      <c r="M446" s="352"/>
      <c r="N446" s="353"/>
      <c r="P446" s="7"/>
    </row>
    <row r="447" spans="1:16" s="318" customFormat="1" ht="18" customHeight="1" x14ac:dyDescent="0.3">
      <c r="A447" s="194">
        <v>441</v>
      </c>
      <c r="B447" s="315"/>
      <c r="C447" s="332"/>
      <c r="D447" s="316" t="s">
        <v>252</v>
      </c>
      <c r="E447" s="317"/>
      <c r="F447" s="317"/>
      <c r="G447" s="798"/>
      <c r="H447" s="1434"/>
      <c r="I447" s="317">
        <f>SUM(J447:N447)</f>
        <v>6448</v>
      </c>
      <c r="J447" s="312"/>
      <c r="K447" s="312"/>
      <c r="L447" s="312">
        <f>2845+3603</f>
        <v>6448</v>
      </c>
      <c r="M447" s="312"/>
      <c r="N447" s="313"/>
    </row>
    <row r="448" spans="1:16" s="318" customFormat="1" ht="18" customHeight="1" x14ac:dyDescent="0.3">
      <c r="A448" s="194">
        <v>442</v>
      </c>
      <c r="B448" s="315"/>
      <c r="C448" s="332"/>
      <c r="D448" s="1003" t="s">
        <v>921</v>
      </c>
      <c r="E448" s="317"/>
      <c r="F448" s="317"/>
      <c r="G448" s="798"/>
      <c r="H448" s="1434"/>
      <c r="I448" s="1448">
        <f>SUM(J448:N448)</f>
        <v>6448</v>
      </c>
      <c r="J448" s="1093"/>
      <c r="K448" s="1093"/>
      <c r="L448" s="1093">
        <v>6448</v>
      </c>
      <c r="M448" s="312"/>
      <c r="N448" s="313"/>
    </row>
    <row r="449" spans="1:16" s="318" customFormat="1" ht="18" customHeight="1" x14ac:dyDescent="0.3">
      <c r="A449" s="194">
        <v>443</v>
      </c>
      <c r="B449" s="315"/>
      <c r="C449" s="332"/>
      <c r="D449" s="1002" t="s">
        <v>973</v>
      </c>
      <c r="E449" s="317"/>
      <c r="F449" s="317"/>
      <c r="G449" s="798"/>
      <c r="H449" s="1434"/>
      <c r="I449" s="415">
        <f>SUM(J449:Q449)</f>
        <v>1182</v>
      </c>
      <c r="J449" s="312"/>
      <c r="K449" s="312"/>
      <c r="L449" s="1094">
        <v>1182</v>
      </c>
      <c r="M449" s="312"/>
      <c r="N449" s="313"/>
    </row>
    <row r="450" spans="1:16" s="3" customFormat="1" ht="22.5" customHeight="1" x14ac:dyDescent="0.3">
      <c r="A450" s="194">
        <v>444</v>
      </c>
      <c r="B450" s="58"/>
      <c r="C450" s="59">
        <v>69</v>
      </c>
      <c r="D450" s="190" t="s">
        <v>72</v>
      </c>
      <c r="E450" s="795">
        <v>227492</v>
      </c>
      <c r="F450" s="795">
        <v>269267</v>
      </c>
      <c r="G450" s="796">
        <v>250887</v>
      </c>
      <c r="H450" s="1433" t="s">
        <v>23</v>
      </c>
      <c r="I450" s="317"/>
      <c r="J450" s="352"/>
      <c r="K450" s="352"/>
      <c r="L450" s="352"/>
      <c r="M450" s="352"/>
      <c r="N450" s="353"/>
      <c r="P450" s="7"/>
    </row>
    <row r="451" spans="1:16" s="318" customFormat="1" ht="18" customHeight="1" x14ac:dyDescent="0.3">
      <c r="A451" s="194">
        <v>445</v>
      </c>
      <c r="B451" s="315"/>
      <c r="C451" s="332"/>
      <c r="D451" s="316" t="s">
        <v>252</v>
      </c>
      <c r="E451" s="317"/>
      <c r="F451" s="317"/>
      <c r="G451" s="798"/>
      <c r="H451" s="1434"/>
      <c r="I451" s="317">
        <f>SUM(J451:N451)</f>
        <v>511189</v>
      </c>
      <c r="J451" s="312">
        <f>211579+78930</f>
        <v>290509</v>
      </c>
      <c r="K451" s="312">
        <f>27320+26527</f>
        <v>53847</v>
      </c>
      <c r="L451" s="312">
        <f>77989+25000+63844</f>
        <v>166833</v>
      </c>
      <c r="M451" s="312"/>
      <c r="N451" s="313"/>
    </row>
    <row r="452" spans="1:16" s="318" customFormat="1" ht="18" customHeight="1" x14ac:dyDescent="0.3">
      <c r="A452" s="194">
        <v>446</v>
      </c>
      <c r="B452" s="315"/>
      <c r="C452" s="332"/>
      <c r="D452" s="1003" t="s">
        <v>921</v>
      </c>
      <c r="E452" s="317"/>
      <c r="F452" s="317"/>
      <c r="G452" s="798"/>
      <c r="H452" s="1434"/>
      <c r="I452" s="1448">
        <f>SUM(J452:N452)</f>
        <v>513289</v>
      </c>
      <c r="J452" s="1093">
        <v>290209</v>
      </c>
      <c r="K452" s="1093">
        <v>53847</v>
      </c>
      <c r="L452" s="1093">
        <v>169233</v>
      </c>
      <c r="M452" s="312"/>
      <c r="N452" s="313"/>
    </row>
    <row r="453" spans="1:16" s="318" customFormat="1" ht="18" customHeight="1" x14ac:dyDescent="0.3">
      <c r="A453" s="194">
        <v>447</v>
      </c>
      <c r="B453" s="315"/>
      <c r="C453" s="332"/>
      <c r="D453" s="1002" t="s">
        <v>972</v>
      </c>
      <c r="E453" s="317"/>
      <c r="F453" s="317"/>
      <c r="G453" s="798"/>
      <c r="H453" s="1434"/>
      <c r="I453" s="415">
        <f>SUM(J453:Q453)</f>
        <v>136344</v>
      </c>
      <c r="J453" s="1094">
        <v>75223</v>
      </c>
      <c r="K453" s="1094">
        <v>8270</v>
      </c>
      <c r="L453" s="1094">
        <v>52851</v>
      </c>
      <c r="M453" s="312"/>
      <c r="N453" s="313"/>
    </row>
    <row r="454" spans="1:16" s="7" customFormat="1" ht="22.5" customHeight="1" x14ac:dyDescent="0.3">
      <c r="A454" s="194">
        <v>448</v>
      </c>
      <c r="B454" s="61"/>
      <c r="C454" s="59">
        <v>70</v>
      </c>
      <c r="D454" s="189" t="s">
        <v>820</v>
      </c>
      <c r="E454" s="795"/>
      <c r="F454" s="795">
        <v>180</v>
      </c>
      <c r="G454" s="796">
        <v>45</v>
      </c>
      <c r="H454" s="1433" t="s">
        <v>23</v>
      </c>
      <c r="I454" s="317"/>
      <c r="J454" s="352"/>
      <c r="K454" s="352"/>
      <c r="L454" s="352"/>
      <c r="M454" s="352"/>
      <c r="N454" s="353"/>
    </row>
    <row r="455" spans="1:16" s="318" customFormat="1" ht="18" customHeight="1" x14ac:dyDescent="0.3">
      <c r="A455" s="194">
        <v>449</v>
      </c>
      <c r="B455" s="315"/>
      <c r="C455" s="332"/>
      <c r="D455" s="316" t="s">
        <v>252</v>
      </c>
      <c r="E455" s="317"/>
      <c r="F455" s="317"/>
      <c r="G455" s="798"/>
      <c r="H455" s="1434"/>
      <c r="I455" s="317">
        <f>SUM(J455:N455)</f>
        <v>180</v>
      </c>
      <c r="J455" s="312"/>
      <c r="K455" s="312"/>
      <c r="L455" s="312">
        <v>180</v>
      </c>
      <c r="M455" s="312"/>
      <c r="N455" s="313"/>
    </row>
    <row r="456" spans="1:16" s="318" customFormat="1" ht="18" customHeight="1" x14ac:dyDescent="0.3">
      <c r="A456" s="194">
        <v>450</v>
      </c>
      <c r="B456" s="315"/>
      <c r="C456" s="332"/>
      <c r="D456" s="1003" t="s">
        <v>921</v>
      </c>
      <c r="E456" s="317"/>
      <c r="F456" s="317"/>
      <c r="G456" s="798"/>
      <c r="H456" s="1434"/>
      <c r="I456" s="1448">
        <f>SUM(J456:N456)</f>
        <v>180</v>
      </c>
      <c r="J456" s="1093"/>
      <c r="K456" s="1093"/>
      <c r="L456" s="1093">
        <v>180</v>
      </c>
      <c r="M456" s="312"/>
      <c r="N456" s="313"/>
    </row>
    <row r="457" spans="1:16" s="318" customFormat="1" ht="18" customHeight="1" x14ac:dyDescent="0.3">
      <c r="A457" s="194">
        <v>451</v>
      </c>
      <c r="B457" s="315"/>
      <c r="C457" s="332"/>
      <c r="D457" s="1002" t="s">
        <v>973</v>
      </c>
      <c r="E457" s="317"/>
      <c r="F457" s="317"/>
      <c r="G457" s="798"/>
      <c r="H457" s="1434"/>
      <c r="I457" s="415">
        <f>SUM(J457:Q457)</f>
        <v>90</v>
      </c>
      <c r="J457" s="312"/>
      <c r="K457" s="312"/>
      <c r="L457" s="1094">
        <v>90</v>
      </c>
      <c r="M457" s="312"/>
      <c r="N457" s="313"/>
    </row>
    <row r="458" spans="1:16" s="3" customFormat="1" ht="22.5" customHeight="1" x14ac:dyDescent="0.3">
      <c r="A458" s="194">
        <v>452</v>
      </c>
      <c r="B458" s="58"/>
      <c r="C458" s="59">
        <v>71</v>
      </c>
      <c r="D458" s="190" t="s">
        <v>73</v>
      </c>
      <c r="E458" s="795">
        <v>8562</v>
      </c>
      <c r="F458" s="795">
        <v>124590</v>
      </c>
      <c r="G458" s="796">
        <v>71148</v>
      </c>
      <c r="H458" s="1433" t="s">
        <v>23</v>
      </c>
      <c r="I458" s="317"/>
      <c r="J458" s="352"/>
      <c r="K458" s="352"/>
      <c r="L458" s="352"/>
      <c r="M458" s="352"/>
      <c r="N458" s="353"/>
      <c r="P458" s="7"/>
    </row>
    <row r="459" spans="1:16" s="318" customFormat="1" ht="18" customHeight="1" x14ac:dyDescent="0.3">
      <c r="A459" s="194">
        <v>453</v>
      </c>
      <c r="B459" s="328"/>
      <c r="C459" s="332"/>
      <c r="D459" s="316" t="s">
        <v>252</v>
      </c>
      <c r="E459" s="806"/>
      <c r="F459" s="806"/>
      <c r="G459" s="807"/>
      <c r="H459" s="1437"/>
      <c r="I459" s="317">
        <f>SUM(J459:N459)</f>
        <v>90000</v>
      </c>
      <c r="J459" s="319"/>
      <c r="K459" s="319"/>
      <c r="L459" s="319">
        <v>5000</v>
      </c>
      <c r="M459" s="319"/>
      <c r="N459" s="320">
        <f>90000-5000</f>
        <v>85000</v>
      </c>
    </row>
    <row r="460" spans="1:16" s="318" customFormat="1" ht="18" customHeight="1" x14ac:dyDescent="0.3">
      <c r="A460" s="194">
        <v>454</v>
      </c>
      <c r="B460" s="328"/>
      <c r="C460" s="332"/>
      <c r="D460" s="1003" t="s">
        <v>921</v>
      </c>
      <c r="E460" s="806"/>
      <c r="F460" s="806"/>
      <c r="G460" s="807"/>
      <c r="H460" s="1437"/>
      <c r="I460" s="1448">
        <f>SUM(J460:N460)</f>
        <v>996505</v>
      </c>
      <c r="J460" s="1091"/>
      <c r="K460" s="1091"/>
      <c r="L460" s="1091">
        <v>5000</v>
      </c>
      <c r="M460" s="1091"/>
      <c r="N460" s="1110">
        <v>991505</v>
      </c>
    </row>
    <row r="461" spans="1:16" s="318" customFormat="1" ht="18" customHeight="1" x14ac:dyDescent="0.3">
      <c r="A461" s="194">
        <v>455</v>
      </c>
      <c r="B461" s="328"/>
      <c r="C461" s="332"/>
      <c r="D461" s="1002" t="s">
        <v>972</v>
      </c>
      <c r="E461" s="806"/>
      <c r="F461" s="806"/>
      <c r="G461" s="807"/>
      <c r="H461" s="1437"/>
      <c r="I461" s="415">
        <f>SUM(J461:Q461)</f>
        <v>57750</v>
      </c>
      <c r="J461" s="319"/>
      <c r="K461" s="319"/>
      <c r="L461" s="1097">
        <v>39</v>
      </c>
      <c r="M461" s="1097"/>
      <c r="N461" s="1099">
        <v>57711</v>
      </c>
    </row>
    <row r="462" spans="1:16" s="3" customFormat="1" ht="22.5" customHeight="1" x14ac:dyDescent="0.3">
      <c r="A462" s="194">
        <v>456</v>
      </c>
      <c r="B462" s="58"/>
      <c r="C462" s="59">
        <v>72</v>
      </c>
      <c r="D462" s="190" t="s">
        <v>74</v>
      </c>
      <c r="E462" s="795">
        <v>174608</v>
      </c>
      <c r="F462" s="795">
        <v>183480</v>
      </c>
      <c r="G462" s="796">
        <v>330427</v>
      </c>
      <c r="H462" s="1433" t="s">
        <v>23</v>
      </c>
      <c r="I462" s="317"/>
      <c r="J462" s="352"/>
      <c r="K462" s="352"/>
      <c r="L462" s="352"/>
      <c r="M462" s="352"/>
      <c r="N462" s="353"/>
      <c r="P462" s="7"/>
    </row>
    <row r="463" spans="1:16" s="318" customFormat="1" ht="18" customHeight="1" x14ac:dyDescent="0.3">
      <c r="A463" s="194">
        <v>457</v>
      </c>
      <c r="B463" s="315"/>
      <c r="C463" s="332"/>
      <c r="D463" s="316" t="s">
        <v>252</v>
      </c>
      <c r="E463" s="317"/>
      <c r="F463" s="317"/>
      <c r="G463" s="798"/>
      <c r="H463" s="1434"/>
      <c r="I463" s="317">
        <f>SUM(J463:N463)</f>
        <v>241986</v>
      </c>
      <c r="J463" s="312"/>
      <c r="K463" s="312"/>
      <c r="L463" s="312">
        <v>241986</v>
      </c>
      <c r="M463" s="312"/>
      <c r="N463" s="313"/>
    </row>
    <row r="464" spans="1:16" s="318" customFormat="1" ht="18" customHeight="1" x14ac:dyDescent="0.3">
      <c r="A464" s="194">
        <v>458</v>
      </c>
      <c r="B464" s="315"/>
      <c r="C464" s="332"/>
      <c r="D464" s="1003" t="s">
        <v>921</v>
      </c>
      <c r="E464" s="317"/>
      <c r="F464" s="317"/>
      <c r="G464" s="798"/>
      <c r="H464" s="1434"/>
      <c r="I464" s="1448">
        <f>SUM(J464:N464)</f>
        <v>1241986</v>
      </c>
      <c r="J464" s="1093"/>
      <c r="K464" s="1093"/>
      <c r="L464" s="1093">
        <v>1241986</v>
      </c>
      <c r="M464" s="312"/>
      <c r="N464" s="313"/>
    </row>
    <row r="465" spans="1:16" s="318" customFormat="1" ht="18" customHeight="1" x14ac:dyDescent="0.3">
      <c r="A465" s="194">
        <v>459</v>
      </c>
      <c r="B465" s="315"/>
      <c r="C465" s="332"/>
      <c r="D465" s="1002" t="s">
        <v>972</v>
      </c>
      <c r="E465" s="317"/>
      <c r="F465" s="317"/>
      <c r="G465" s="798"/>
      <c r="H465" s="1434"/>
      <c r="I465" s="415">
        <f>SUM(J465:Q465)</f>
        <v>114760</v>
      </c>
      <c r="J465" s="312"/>
      <c r="K465" s="312"/>
      <c r="L465" s="1094">
        <v>114760</v>
      </c>
      <c r="M465" s="312"/>
      <c r="N465" s="313"/>
    </row>
    <row r="466" spans="1:16" s="3" customFormat="1" ht="22.5" customHeight="1" x14ac:dyDescent="0.3">
      <c r="A466" s="194">
        <v>460</v>
      </c>
      <c r="B466" s="58"/>
      <c r="C466" s="59">
        <v>73</v>
      </c>
      <c r="D466" s="190" t="s">
        <v>75</v>
      </c>
      <c r="E466" s="795">
        <v>97363</v>
      </c>
      <c r="F466" s="795">
        <v>296384</v>
      </c>
      <c r="G466" s="796">
        <v>191921</v>
      </c>
      <c r="H466" s="1433" t="s">
        <v>24</v>
      </c>
      <c r="I466" s="317"/>
      <c r="J466" s="352"/>
      <c r="K466" s="352"/>
      <c r="L466" s="352"/>
      <c r="M466" s="352"/>
      <c r="N466" s="353"/>
      <c r="P466" s="7"/>
    </row>
    <row r="467" spans="1:16" s="318" customFormat="1" ht="18" customHeight="1" x14ac:dyDescent="0.3">
      <c r="A467" s="194">
        <v>461</v>
      </c>
      <c r="B467" s="315"/>
      <c r="C467" s="332"/>
      <c r="D467" s="316" t="s">
        <v>252</v>
      </c>
      <c r="E467" s="317"/>
      <c r="F467" s="317"/>
      <c r="G467" s="798"/>
      <c r="H467" s="1434"/>
      <c r="I467" s="317">
        <f>SUM(J467:N467)</f>
        <v>131877</v>
      </c>
      <c r="J467" s="312"/>
      <c r="K467" s="312"/>
      <c r="L467" s="312">
        <v>131877</v>
      </c>
      <c r="M467" s="312"/>
      <c r="N467" s="313"/>
    </row>
    <row r="468" spans="1:16" s="318" customFormat="1" ht="18" customHeight="1" x14ac:dyDescent="0.3">
      <c r="A468" s="194">
        <v>462</v>
      </c>
      <c r="B468" s="315"/>
      <c r="C468" s="332"/>
      <c r="D468" s="1003" t="s">
        <v>921</v>
      </c>
      <c r="E468" s="317"/>
      <c r="F468" s="317"/>
      <c r="G468" s="798"/>
      <c r="H468" s="1434"/>
      <c r="I468" s="1448">
        <f>SUM(J468:N468)</f>
        <v>131877</v>
      </c>
      <c r="J468" s="1093"/>
      <c r="K468" s="1093"/>
      <c r="L468" s="1093">
        <v>131877</v>
      </c>
      <c r="M468" s="312"/>
      <c r="N468" s="313"/>
    </row>
    <row r="469" spans="1:16" s="318" customFormat="1" ht="18" customHeight="1" x14ac:dyDescent="0.3">
      <c r="A469" s="194">
        <v>463</v>
      </c>
      <c r="B469" s="315"/>
      <c r="C469" s="332"/>
      <c r="D469" s="1002" t="s">
        <v>973</v>
      </c>
      <c r="E469" s="317"/>
      <c r="F469" s="317"/>
      <c r="G469" s="798"/>
      <c r="H469" s="1434"/>
      <c r="I469" s="415">
        <f>SUM(J469:Q469)</f>
        <v>63950</v>
      </c>
      <c r="J469" s="312"/>
      <c r="K469" s="312"/>
      <c r="L469" s="1094">
        <v>63950</v>
      </c>
      <c r="M469" s="312"/>
      <c r="N469" s="313"/>
    </row>
    <row r="470" spans="1:16" s="7" customFormat="1" ht="22.5" customHeight="1" x14ac:dyDescent="0.3">
      <c r="A470" s="194">
        <v>464</v>
      </c>
      <c r="B470" s="61"/>
      <c r="C470" s="59">
        <v>74</v>
      </c>
      <c r="D470" s="189" t="s">
        <v>288</v>
      </c>
      <c r="E470" s="795">
        <v>1667835</v>
      </c>
      <c r="F470" s="795">
        <v>2665054</v>
      </c>
      <c r="G470" s="796">
        <v>2665054</v>
      </c>
      <c r="H470" s="1433" t="s">
        <v>23</v>
      </c>
      <c r="I470" s="317"/>
      <c r="J470" s="352"/>
      <c r="K470" s="352"/>
      <c r="L470" s="352"/>
      <c r="M470" s="352"/>
      <c r="N470" s="353"/>
    </row>
    <row r="471" spans="1:16" s="318" customFormat="1" ht="18" customHeight="1" x14ac:dyDescent="0.3">
      <c r="A471" s="194">
        <v>465</v>
      </c>
      <c r="B471" s="315"/>
      <c r="C471" s="332"/>
      <c r="D471" s="316" t="s">
        <v>252</v>
      </c>
      <c r="E471" s="317"/>
      <c r="F471" s="317"/>
      <c r="G471" s="798"/>
      <c r="H471" s="1434"/>
      <c r="I471" s="317">
        <f>SUM(J471:N471)</f>
        <v>3487933</v>
      </c>
      <c r="J471" s="312"/>
      <c r="K471" s="312"/>
      <c r="L471" s="312"/>
      <c r="M471" s="312"/>
      <c r="N471" s="313">
        <v>3487933</v>
      </c>
    </row>
    <row r="472" spans="1:16" s="318" customFormat="1" ht="18" customHeight="1" x14ac:dyDescent="0.3">
      <c r="A472" s="194">
        <v>466</v>
      </c>
      <c r="B472" s="315"/>
      <c r="C472" s="332"/>
      <c r="D472" s="1003" t="s">
        <v>921</v>
      </c>
      <c r="E472" s="317"/>
      <c r="F472" s="317"/>
      <c r="G472" s="798"/>
      <c r="H472" s="1434"/>
      <c r="I472" s="1448">
        <f>SUM(J472:N472)</f>
        <v>3487933</v>
      </c>
      <c r="J472" s="1093"/>
      <c r="K472" s="1093"/>
      <c r="L472" s="1093"/>
      <c r="M472" s="1093"/>
      <c r="N472" s="1104">
        <v>3487933</v>
      </c>
    </row>
    <row r="473" spans="1:16" s="318" customFormat="1" ht="18" customHeight="1" x14ac:dyDescent="0.3">
      <c r="A473" s="194">
        <v>467</v>
      </c>
      <c r="B473" s="315"/>
      <c r="C473" s="332"/>
      <c r="D473" s="1002" t="s">
        <v>973</v>
      </c>
      <c r="E473" s="317"/>
      <c r="F473" s="317"/>
      <c r="G473" s="798"/>
      <c r="H473" s="1434"/>
      <c r="I473" s="415">
        <f>SUM(J473:Q473)</f>
        <v>1813724</v>
      </c>
      <c r="J473" s="312"/>
      <c r="K473" s="312"/>
      <c r="L473" s="312"/>
      <c r="M473" s="312"/>
      <c r="N473" s="1102">
        <v>1813724</v>
      </c>
    </row>
    <row r="474" spans="1:16" s="3" customFormat="1" ht="22.5" customHeight="1" x14ac:dyDescent="0.3">
      <c r="A474" s="194">
        <v>468</v>
      </c>
      <c r="B474" s="58"/>
      <c r="C474" s="59">
        <v>75</v>
      </c>
      <c r="D474" s="190" t="s">
        <v>76</v>
      </c>
      <c r="E474" s="795">
        <v>3000</v>
      </c>
      <c r="F474" s="795">
        <v>2276</v>
      </c>
      <c r="G474" s="796">
        <v>2276</v>
      </c>
      <c r="H474" s="1433" t="s">
        <v>24</v>
      </c>
      <c r="I474" s="317"/>
      <c r="J474" s="352"/>
      <c r="K474" s="352"/>
      <c r="L474" s="352"/>
      <c r="M474" s="352"/>
      <c r="N474" s="353"/>
      <c r="P474" s="7"/>
    </row>
    <row r="475" spans="1:16" s="318" customFormat="1" ht="18" customHeight="1" x14ac:dyDescent="0.3">
      <c r="A475" s="194">
        <v>469</v>
      </c>
      <c r="B475" s="315"/>
      <c r="C475" s="332"/>
      <c r="D475" s="316" t="s">
        <v>252</v>
      </c>
      <c r="E475" s="317"/>
      <c r="F475" s="317"/>
      <c r="G475" s="798"/>
      <c r="H475" s="1434"/>
      <c r="I475" s="317">
        <f>SUM(J475:N475)</f>
        <v>20000</v>
      </c>
      <c r="J475" s="312"/>
      <c r="K475" s="312"/>
      <c r="L475" s="312"/>
      <c r="M475" s="312"/>
      <c r="N475" s="313">
        <v>20000</v>
      </c>
    </row>
    <row r="476" spans="1:16" s="318" customFormat="1" ht="18" customHeight="1" x14ac:dyDescent="0.3">
      <c r="A476" s="194">
        <v>470</v>
      </c>
      <c r="B476" s="315"/>
      <c r="C476" s="332"/>
      <c r="D476" s="1003" t="s">
        <v>921</v>
      </c>
      <c r="E476" s="317"/>
      <c r="F476" s="317"/>
      <c r="G476" s="798"/>
      <c r="H476" s="1434"/>
      <c r="I476" s="1448">
        <f>SUM(J476:N476)</f>
        <v>20000</v>
      </c>
      <c r="J476" s="1093"/>
      <c r="K476" s="1093"/>
      <c r="L476" s="1093"/>
      <c r="M476" s="1093"/>
      <c r="N476" s="1104">
        <v>20000</v>
      </c>
    </row>
    <row r="477" spans="1:16" s="318" customFormat="1" ht="18" customHeight="1" x14ac:dyDescent="0.3">
      <c r="A477" s="194">
        <v>471</v>
      </c>
      <c r="B477" s="315"/>
      <c r="C477" s="332"/>
      <c r="D477" s="1002" t="s">
        <v>973</v>
      </c>
      <c r="E477" s="317"/>
      <c r="F477" s="317"/>
      <c r="G477" s="798"/>
      <c r="H477" s="1434"/>
      <c r="I477" s="415">
        <f>SUM(J477:Q477)</f>
        <v>3000</v>
      </c>
      <c r="J477" s="312"/>
      <c r="K477" s="312"/>
      <c r="L477" s="312"/>
      <c r="M477" s="312"/>
      <c r="N477" s="1102">
        <v>3000</v>
      </c>
    </row>
    <row r="478" spans="1:16" s="3" customFormat="1" ht="22.5" customHeight="1" x14ac:dyDescent="0.3">
      <c r="A478" s="194">
        <v>472</v>
      </c>
      <c r="B478" s="58"/>
      <c r="C478" s="59">
        <v>76</v>
      </c>
      <c r="D478" s="190" t="s">
        <v>79</v>
      </c>
      <c r="E478" s="795">
        <v>30000</v>
      </c>
      <c r="F478" s="795">
        <v>20000</v>
      </c>
      <c r="G478" s="796">
        <v>30000</v>
      </c>
      <c r="H478" s="1433" t="s">
        <v>24</v>
      </c>
      <c r="I478" s="317"/>
      <c r="J478" s="352"/>
      <c r="K478" s="352"/>
      <c r="L478" s="352"/>
      <c r="M478" s="352"/>
      <c r="N478" s="353"/>
      <c r="P478" s="7"/>
    </row>
    <row r="479" spans="1:16" s="318" customFormat="1" ht="18" customHeight="1" x14ac:dyDescent="0.3">
      <c r="A479" s="194">
        <v>473</v>
      </c>
      <c r="B479" s="315"/>
      <c r="C479" s="332"/>
      <c r="D479" s="316" t="s">
        <v>252</v>
      </c>
      <c r="E479" s="317"/>
      <c r="F479" s="317"/>
      <c r="G479" s="798"/>
      <c r="H479" s="1434"/>
      <c r="I479" s="317">
        <f>SUM(J479:N479)</f>
        <v>75000</v>
      </c>
      <c r="J479" s="312"/>
      <c r="K479" s="312"/>
      <c r="L479" s="312"/>
      <c r="M479" s="312"/>
      <c r="N479" s="313">
        <v>75000</v>
      </c>
    </row>
    <row r="480" spans="1:16" s="318" customFormat="1" ht="18" customHeight="1" x14ac:dyDescent="0.3">
      <c r="A480" s="194">
        <v>474</v>
      </c>
      <c r="B480" s="315"/>
      <c r="C480" s="332"/>
      <c r="D480" s="1003" t="s">
        <v>921</v>
      </c>
      <c r="E480" s="317"/>
      <c r="F480" s="317"/>
      <c r="G480" s="798"/>
      <c r="H480" s="1434"/>
      <c r="I480" s="1448">
        <f>SUM(J480:N480)</f>
        <v>75000</v>
      </c>
      <c r="J480" s="1093"/>
      <c r="K480" s="1093"/>
      <c r="L480" s="1093"/>
      <c r="M480" s="1093"/>
      <c r="N480" s="1104">
        <v>75000</v>
      </c>
    </row>
    <row r="481" spans="1:16" s="318" customFormat="1" ht="18" customHeight="1" x14ac:dyDescent="0.3">
      <c r="A481" s="194">
        <v>475</v>
      </c>
      <c r="B481" s="315"/>
      <c r="C481" s="332"/>
      <c r="D481" s="1002" t="s">
        <v>973</v>
      </c>
      <c r="E481" s="317"/>
      <c r="F481" s="317"/>
      <c r="G481" s="798"/>
      <c r="H481" s="1434"/>
      <c r="I481" s="415">
        <f>SUM(J481:Q481)</f>
        <v>37500</v>
      </c>
      <c r="J481" s="312"/>
      <c r="K481" s="312"/>
      <c r="L481" s="312"/>
      <c r="M481" s="312"/>
      <c r="N481" s="1102">
        <v>37500</v>
      </c>
    </row>
    <row r="482" spans="1:16" s="3" customFormat="1" ht="22.5" customHeight="1" x14ac:dyDescent="0.3">
      <c r="A482" s="194">
        <v>476</v>
      </c>
      <c r="B482" s="58"/>
      <c r="C482" s="59">
        <v>77</v>
      </c>
      <c r="D482" s="190" t="s">
        <v>822</v>
      </c>
      <c r="E482" s="795">
        <v>50000</v>
      </c>
      <c r="F482" s="795">
        <v>20000</v>
      </c>
      <c r="G482" s="796">
        <v>110364</v>
      </c>
      <c r="H482" s="1433" t="s">
        <v>24</v>
      </c>
      <c r="I482" s="317"/>
      <c r="J482" s="352"/>
      <c r="K482" s="352"/>
      <c r="L482" s="352"/>
      <c r="M482" s="352"/>
      <c r="N482" s="353"/>
      <c r="P482" s="7"/>
    </row>
    <row r="483" spans="1:16" s="3" customFormat="1" ht="20.100000000000001" customHeight="1" x14ac:dyDescent="0.3">
      <c r="A483" s="194">
        <v>477</v>
      </c>
      <c r="B483" s="58"/>
      <c r="C483" s="59"/>
      <c r="D483" s="316" t="s">
        <v>252</v>
      </c>
      <c r="E483" s="795"/>
      <c r="F483" s="795"/>
      <c r="G483" s="796"/>
      <c r="H483" s="1433"/>
      <c r="I483" s="317">
        <f>SUM(J483:N483)</f>
        <v>135364</v>
      </c>
      <c r="J483" s="352"/>
      <c r="K483" s="352"/>
      <c r="L483" s="352"/>
      <c r="M483" s="352"/>
      <c r="N483" s="313">
        <f>125364+10000</f>
        <v>135364</v>
      </c>
      <c r="P483" s="7"/>
    </row>
    <row r="484" spans="1:16" s="3" customFormat="1" ht="20.100000000000001" customHeight="1" x14ac:dyDescent="0.3">
      <c r="A484" s="194">
        <v>478</v>
      </c>
      <c r="B484" s="58"/>
      <c r="C484" s="59"/>
      <c r="D484" s="1003" t="s">
        <v>921</v>
      </c>
      <c r="E484" s="795"/>
      <c r="F484" s="795"/>
      <c r="G484" s="796"/>
      <c r="H484" s="1433"/>
      <c r="I484" s="1448">
        <f>SUM(J484:N484)</f>
        <v>135364</v>
      </c>
      <c r="J484" s="1092"/>
      <c r="K484" s="1092"/>
      <c r="L484" s="1092"/>
      <c r="M484" s="1092"/>
      <c r="N484" s="1104">
        <v>135364</v>
      </c>
      <c r="P484" s="7"/>
    </row>
    <row r="485" spans="1:16" s="3" customFormat="1" ht="20.100000000000001" customHeight="1" x14ac:dyDescent="0.3">
      <c r="A485" s="194">
        <v>479</v>
      </c>
      <c r="B485" s="58"/>
      <c r="C485" s="59"/>
      <c r="D485" s="1002" t="s">
        <v>973</v>
      </c>
      <c r="E485" s="795"/>
      <c r="F485" s="795"/>
      <c r="G485" s="796"/>
      <c r="H485" s="1433"/>
      <c r="I485" s="415">
        <f>SUM(J485:Q485)</f>
        <v>72682</v>
      </c>
      <c r="J485" s="352"/>
      <c r="K485" s="352"/>
      <c r="L485" s="352"/>
      <c r="M485" s="352"/>
      <c r="N485" s="1102">
        <v>72682</v>
      </c>
      <c r="P485" s="7"/>
    </row>
    <row r="486" spans="1:16" s="3" customFormat="1" ht="22.5" customHeight="1" x14ac:dyDescent="0.3">
      <c r="A486" s="194">
        <v>480</v>
      </c>
      <c r="B486" s="58"/>
      <c r="C486" s="59">
        <v>78</v>
      </c>
      <c r="D486" s="190" t="s">
        <v>80</v>
      </c>
      <c r="E486" s="795"/>
      <c r="F486" s="795"/>
      <c r="G486" s="796">
        <v>15576</v>
      </c>
      <c r="H486" s="1433" t="s">
        <v>24</v>
      </c>
      <c r="I486" s="317"/>
      <c r="J486" s="352"/>
      <c r="K486" s="352"/>
      <c r="L486" s="352"/>
      <c r="M486" s="352"/>
      <c r="N486" s="353"/>
      <c r="P486" s="7"/>
    </row>
    <row r="487" spans="1:16" s="3" customFormat="1" ht="18" customHeight="1" x14ac:dyDescent="0.3">
      <c r="A487" s="194">
        <v>481</v>
      </c>
      <c r="B487" s="58"/>
      <c r="C487" s="59"/>
      <c r="D487" s="316" t="s">
        <v>252</v>
      </c>
      <c r="E487" s="795"/>
      <c r="F487" s="795"/>
      <c r="G487" s="796"/>
      <c r="H487" s="1433"/>
      <c r="I487" s="317">
        <f>SUM(J487:N487)</f>
        <v>336000</v>
      </c>
      <c r="J487" s="352"/>
      <c r="K487" s="352"/>
      <c r="L487" s="312">
        <v>336000</v>
      </c>
      <c r="M487" s="352"/>
      <c r="N487" s="353"/>
      <c r="P487" s="7"/>
    </row>
    <row r="488" spans="1:16" s="3" customFormat="1" ht="18" customHeight="1" x14ac:dyDescent="0.3">
      <c r="A488" s="194">
        <v>482</v>
      </c>
      <c r="B488" s="58"/>
      <c r="C488" s="59"/>
      <c r="D488" s="1003" t="s">
        <v>921</v>
      </c>
      <c r="E488" s="795"/>
      <c r="F488" s="795"/>
      <c r="G488" s="796"/>
      <c r="H488" s="1433"/>
      <c r="I488" s="1448">
        <f>SUM(J488:N488)</f>
        <v>336000</v>
      </c>
      <c r="J488" s="1092"/>
      <c r="K488" s="1092"/>
      <c r="L488" s="1093">
        <v>336000</v>
      </c>
      <c r="M488" s="352"/>
      <c r="N488" s="353"/>
      <c r="P488" s="7"/>
    </row>
    <row r="489" spans="1:16" s="3" customFormat="1" ht="18" customHeight="1" x14ac:dyDescent="0.3">
      <c r="A489" s="194">
        <v>483</v>
      </c>
      <c r="B489" s="58"/>
      <c r="C489" s="59"/>
      <c r="D489" s="1002" t="s">
        <v>973</v>
      </c>
      <c r="E489" s="795"/>
      <c r="F489" s="795"/>
      <c r="G489" s="796"/>
      <c r="H489" s="1433"/>
      <c r="I489" s="415">
        <f>SUM(J489:Q489)</f>
        <v>11</v>
      </c>
      <c r="J489" s="352"/>
      <c r="K489" s="352"/>
      <c r="L489" s="1094">
        <v>11</v>
      </c>
      <c r="M489" s="352"/>
      <c r="N489" s="353"/>
      <c r="P489" s="7"/>
    </row>
    <row r="490" spans="1:16" s="3" customFormat="1" ht="22.5" customHeight="1" x14ac:dyDescent="0.3">
      <c r="A490" s="194">
        <v>484</v>
      </c>
      <c r="B490" s="58"/>
      <c r="C490" s="59">
        <v>79</v>
      </c>
      <c r="D490" s="190" t="s">
        <v>81</v>
      </c>
      <c r="E490" s="795">
        <v>22000</v>
      </c>
      <c r="F490" s="795">
        <v>22000</v>
      </c>
      <c r="G490" s="796">
        <v>22000</v>
      </c>
      <c r="H490" s="1433" t="s">
        <v>24</v>
      </c>
      <c r="I490" s="317"/>
      <c r="J490" s="352"/>
      <c r="K490" s="352"/>
      <c r="L490" s="352"/>
      <c r="M490" s="352"/>
      <c r="N490" s="353"/>
      <c r="P490" s="7"/>
    </row>
    <row r="491" spans="1:16" s="318" customFormat="1" ht="18" customHeight="1" x14ac:dyDescent="0.3">
      <c r="A491" s="194">
        <v>485</v>
      </c>
      <c r="B491" s="315"/>
      <c r="C491" s="332"/>
      <c r="D491" s="316" t="s">
        <v>252</v>
      </c>
      <c r="E491" s="317"/>
      <c r="F491" s="317"/>
      <c r="G491" s="798"/>
      <c r="H491" s="1434"/>
      <c r="I491" s="317">
        <f>SUM(J491:N491)</f>
        <v>38913</v>
      </c>
      <c r="J491" s="312"/>
      <c r="K491" s="312"/>
      <c r="L491" s="312">
        <f>38500+413</f>
        <v>38913</v>
      </c>
      <c r="M491" s="312"/>
      <c r="N491" s="313"/>
    </row>
    <row r="492" spans="1:16" s="318" customFormat="1" ht="18" customHeight="1" x14ac:dyDescent="0.3">
      <c r="A492" s="194">
        <v>486</v>
      </c>
      <c r="B492" s="315"/>
      <c r="C492" s="332"/>
      <c r="D492" s="1003" t="s">
        <v>921</v>
      </c>
      <c r="E492" s="317"/>
      <c r="F492" s="317"/>
      <c r="G492" s="798"/>
      <c r="H492" s="1434"/>
      <c r="I492" s="1448">
        <f>SUM(J492:N492)</f>
        <v>38913</v>
      </c>
      <c r="J492" s="1093"/>
      <c r="K492" s="1093"/>
      <c r="L492" s="1093">
        <v>38913</v>
      </c>
      <c r="M492" s="312"/>
      <c r="N492" s="313"/>
    </row>
    <row r="493" spans="1:16" s="318" customFormat="1" ht="18" customHeight="1" x14ac:dyDescent="0.3">
      <c r="A493" s="194">
        <v>487</v>
      </c>
      <c r="B493" s="315"/>
      <c r="C493" s="332"/>
      <c r="D493" s="1002" t="s">
        <v>973</v>
      </c>
      <c r="E493" s="317"/>
      <c r="F493" s="317"/>
      <c r="G493" s="798"/>
      <c r="H493" s="1434"/>
      <c r="I493" s="415">
        <f>SUM(J493:Q493)</f>
        <v>16315</v>
      </c>
      <c r="J493" s="312"/>
      <c r="K493" s="312"/>
      <c r="L493" s="1094">
        <v>16315</v>
      </c>
      <c r="M493" s="312"/>
      <c r="N493" s="313"/>
    </row>
    <row r="494" spans="1:16" s="3" customFormat="1" ht="22.5" customHeight="1" x14ac:dyDescent="0.3">
      <c r="A494" s="194">
        <v>488</v>
      </c>
      <c r="B494" s="58"/>
      <c r="C494" s="59">
        <v>80</v>
      </c>
      <c r="D494" s="190" t="s">
        <v>821</v>
      </c>
      <c r="E494" s="795">
        <v>3175</v>
      </c>
      <c r="F494" s="795"/>
      <c r="G494" s="796"/>
      <c r="H494" s="1433" t="s">
        <v>24</v>
      </c>
      <c r="I494" s="317"/>
      <c r="J494" s="352"/>
      <c r="K494" s="352"/>
      <c r="L494" s="352"/>
      <c r="M494" s="352"/>
      <c r="N494" s="353"/>
      <c r="P494" s="7"/>
    </row>
    <row r="495" spans="1:16" s="3" customFormat="1" ht="22.5" customHeight="1" x14ac:dyDescent="0.3">
      <c r="A495" s="194">
        <v>489</v>
      </c>
      <c r="B495" s="58"/>
      <c r="C495" s="59">
        <v>81</v>
      </c>
      <c r="D495" s="190" t="s">
        <v>82</v>
      </c>
      <c r="E495" s="795"/>
      <c r="F495" s="795"/>
      <c r="G495" s="796"/>
      <c r="H495" s="1433" t="s">
        <v>24</v>
      </c>
      <c r="I495" s="317"/>
      <c r="J495" s="352"/>
      <c r="K495" s="352"/>
      <c r="L495" s="352"/>
      <c r="M495" s="352"/>
      <c r="N495" s="353"/>
      <c r="P495" s="7"/>
    </row>
    <row r="496" spans="1:16" s="3" customFormat="1" ht="18" customHeight="1" x14ac:dyDescent="0.3">
      <c r="A496" s="194">
        <v>490</v>
      </c>
      <c r="B496" s="58"/>
      <c r="C496" s="59"/>
      <c r="D496" s="316" t="s">
        <v>252</v>
      </c>
      <c r="E496" s="795"/>
      <c r="F496" s="795"/>
      <c r="G496" s="796"/>
      <c r="H496" s="1433"/>
      <c r="I496" s="317">
        <f>SUM(J496:N496)</f>
        <v>102870</v>
      </c>
      <c r="J496" s="352"/>
      <c r="K496" s="352"/>
      <c r="L496" s="312">
        <v>102870</v>
      </c>
      <c r="M496" s="352"/>
      <c r="N496" s="353"/>
      <c r="P496" s="7"/>
    </row>
    <row r="497" spans="1:16" s="3" customFormat="1" ht="18" customHeight="1" x14ac:dyDescent="0.3">
      <c r="A497" s="194">
        <v>491</v>
      </c>
      <c r="B497" s="58"/>
      <c r="C497" s="59"/>
      <c r="D497" s="1003" t="s">
        <v>921</v>
      </c>
      <c r="E497" s="795"/>
      <c r="F497" s="795"/>
      <c r="G497" s="796"/>
      <c r="H497" s="1433"/>
      <c r="I497" s="1448">
        <f>SUM(J497:N497)</f>
        <v>102870</v>
      </c>
      <c r="J497" s="1092"/>
      <c r="K497" s="1092"/>
      <c r="L497" s="1093">
        <v>102870</v>
      </c>
      <c r="M497" s="352"/>
      <c r="N497" s="353"/>
      <c r="P497" s="7"/>
    </row>
    <row r="498" spans="1:16" s="3" customFormat="1" ht="18" customHeight="1" x14ac:dyDescent="0.3">
      <c r="A498" s="194">
        <v>492</v>
      </c>
      <c r="B498" s="58"/>
      <c r="C498" s="59"/>
      <c r="D498" s="1002" t="s">
        <v>973</v>
      </c>
      <c r="E498" s="795"/>
      <c r="F498" s="795"/>
      <c r="G498" s="796"/>
      <c r="H498" s="1433"/>
      <c r="I498" s="415">
        <f>SUM(J498:Q498)</f>
        <v>67870</v>
      </c>
      <c r="J498" s="352"/>
      <c r="K498" s="352"/>
      <c r="L498" s="1094">
        <v>67870</v>
      </c>
      <c r="M498" s="352"/>
      <c r="N498" s="353"/>
      <c r="P498" s="7"/>
    </row>
    <row r="499" spans="1:16" s="3" customFormat="1" ht="22.5" customHeight="1" x14ac:dyDescent="0.3">
      <c r="A499" s="194">
        <v>493</v>
      </c>
      <c r="B499" s="58"/>
      <c r="C499" s="59">
        <v>82</v>
      </c>
      <c r="D499" s="190" t="s">
        <v>438</v>
      </c>
      <c r="E499" s="795">
        <v>65000</v>
      </c>
      <c r="F499" s="795">
        <v>30000</v>
      </c>
      <c r="G499" s="796">
        <v>95000</v>
      </c>
      <c r="H499" s="1433" t="s">
        <v>24</v>
      </c>
      <c r="I499" s="317"/>
      <c r="J499" s="352"/>
      <c r="K499" s="352"/>
      <c r="L499" s="352"/>
      <c r="M499" s="352"/>
      <c r="N499" s="353"/>
      <c r="P499" s="7"/>
    </row>
    <row r="500" spans="1:16" s="318" customFormat="1" ht="18" customHeight="1" x14ac:dyDescent="0.3">
      <c r="A500" s="194">
        <v>494</v>
      </c>
      <c r="B500" s="315"/>
      <c r="C500" s="332"/>
      <c r="D500" s="316" t="s">
        <v>252</v>
      </c>
      <c r="E500" s="317"/>
      <c r="F500" s="317"/>
      <c r="G500" s="798"/>
      <c r="H500" s="1434"/>
      <c r="I500" s="317">
        <f>SUM(J500:N500)</f>
        <v>140200</v>
      </c>
      <c r="J500" s="312"/>
      <c r="K500" s="312"/>
      <c r="L500" s="312"/>
      <c r="M500" s="312"/>
      <c r="N500" s="313">
        <v>140200</v>
      </c>
    </row>
    <row r="501" spans="1:16" s="318" customFormat="1" ht="18" customHeight="1" x14ac:dyDescent="0.3">
      <c r="A501" s="194">
        <v>495</v>
      </c>
      <c r="B501" s="315"/>
      <c r="C501" s="332"/>
      <c r="D501" s="1003" t="s">
        <v>921</v>
      </c>
      <c r="E501" s="317"/>
      <c r="F501" s="317"/>
      <c r="G501" s="798"/>
      <c r="H501" s="1434"/>
      <c r="I501" s="1448">
        <f>SUM(J501:N501)</f>
        <v>140200</v>
      </c>
      <c r="J501" s="1093"/>
      <c r="K501" s="1093"/>
      <c r="L501" s="1093"/>
      <c r="M501" s="1093"/>
      <c r="N501" s="1104">
        <v>140200</v>
      </c>
    </row>
    <row r="502" spans="1:16" s="318" customFormat="1" ht="18" customHeight="1" x14ac:dyDescent="0.3">
      <c r="A502" s="194">
        <v>496</v>
      </c>
      <c r="B502" s="315"/>
      <c r="C502" s="332"/>
      <c r="D502" s="1002" t="s">
        <v>973</v>
      </c>
      <c r="E502" s="317"/>
      <c r="F502" s="317"/>
      <c r="G502" s="798"/>
      <c r="H502" s="1434"/>
      <c r="I502" s="415">
        <f>SUM(J502:Q502)</f>
        <v>140200</v>
      </c>
      <c r="J502" s="312"/>
      <c r="K502" s="312"/>
      <c r="L502" s="312"/>
      <c r="M502" s="312"/>
      <c r="N502" s="1102">
        <v>140200</v>
      </c>
    </row>
    <row r="503" spans="1:16" s="3" customFormat="1" ht="32.25" customHeight="1" x14ac:dyDescent="0.3">
      <c r="A503" s="194">
        <v>497</v>
      </c>
      <c r="B503" s="58"/>
      <c r="C503" s="184">
        <v>83</v>
      </c>
      <c r="D503" s="189" t="s">
        <v>823</v>
      </c>
      <c r="E503" s="795">
        <v>32505</v>
      </c>
      <c r="F503" s="795">
        <v>39748</v>
      </c>
      <c r="G503" s="796">
        <v>17785</v>
      </c>
      <c r="H503" s="1433" t="s">
        <v>24</v>
      </c>
      <c r="I503" s="317"/>
      <c r="J503" s="352"/>
      <c r="K503" s="352"/>
      <c r="L503" s="352"/>
      <c r="M503" s="352"/>
      <c r="N503" s="313"/>
      <c r="P503" s="7"/>
    </row>
    <row r="504" spans="1:16" s="318" customFormat="1" ht="18" customHeight="1" x14ac:dyDescent="0.3">
      <c r="A504" s="194">
        <v>498</v>
      </c>
      <c r="B504" s="315"/>
      <c r="C504" s="332"/>
      <c r="D504" s="316" t="s">
        <v>252</v>
      </c>
      <c r="E504" s="317"/>
      <c r="F504" s="317"/>
      <c r="G504" s="798"/>
      <c r="H504" s="1434"/>
      <c r="I504" s="317">
        <f>SUM(J504:N504)</f>
        <v>61213</v>
      </c>
      <c r="J504" s="312"/>
      <c r="K504" s="312"/>
      <c r="L504" s="312">
        <f>42250+18963</f>
        <v>61213</v>
      </c>
      <c r="M504" s="312"/>
      <c r="N504" s="313"/>
    </row>
    <row r="505" spans="1:16" s="318" customFormat="1" ht="18" customHeight="1" x14ac:dyDescent="0.3">
      <c r="A505" s="194">
        <v>499</v>
      </c>
      <c r="B505" s="315"/>
      <c r="C505" s="332"/>
      <c r="D505" s="1003" t="s">
        <v>921</v>
      </c>
      <c r="E505" s="317"/>
      <c r="F505" s="317"/>
      <c r="G505" s="798"/>
      <c r="H505" s="1434"/>
      <c r="I505" s="1448">
        <f>SUM(J505:N505)</f>
        <v>61213</v>
      </c>
      <c r="J505" s="1093"/>
      <c r="K505" s="1093"/>
      <c r="L505" s="1093">
        <v>61213</v>
      </c>
      <c r="M505" s="312"/>
      <c r="N505" s="313"/>
    </row>
    <row r="506" spans="1:16" s="318" customFormat="1" ht="18" customHeight="1" x14ac:dyDescent="0.3">
      <c r="A506" s="194">
        <v>500</v>
      </c>
      <c r="B506" s="315"/>
      <c r="C506" s="332"/>
      <c r="D506" s="1002" t="s">
        <v>973</v>
      </c>
      <c r="E506" s="317"/>
      <c r="F506" s="317"/>
      <c r="G506" s="798"/>
      <c r="H506" s="1434"/>
      <c r="I506" s="415">
        <f>SUM(J506:Q506)</f>
        <v>14006</v>
      </c>
      <c r="J506" s="312"/>
      <c r="K506" s="312"/>
      <c r="L506" s="1094">
        <v>14006</v>
      </c>
      <c r="M506" s="312"/>
      <c r="N506" s="313"/>
    </row>
    <row r="507" spans="1:16" s="7" customFormat="1" ht="22.5" customHeight="1" x14ac:dyDescent="0.3">
      <c r="A507" s="194">
        <v>501</v>
      </c>
      <c r="B507" s="61"/>
      <c r="C507" s="59">
        <v>84</v>
      </c>
      <c r="D507" s="189" t="s">
        <v>881</v>
      </c>
      <c r="E507" s="795"/>
      <c r="F507" s="795"/>
      <c r="G507" s="796"/>
      <c r="H507" s="1433" t="s">
        <v>24</v>
      </c>
      <c r="I507" s="317"/>
      <c r="J507" s="352"/>
      <c r="K507" s="352"/>
      <c r="L507" s="352"/>
      <c r="M507" s="352"/>
      <c r="N507" s="353"/>
    </row>
    <row r="508" spans="1:16" s="7" customFormat="1" ht="18" customHeight="1" x14ac:dyDescent="0.3">
      <c r="A508" s="194">
        <v>502</v>
      </c>
      <c r="B508" s="61"/>
      <c r="C508" s="59"/>
      <c r="D508" s="316" t="s">
        <v>252</v>
      </c>
      <c r="E508" s="795"/>
      <c r="F508" s="795"/>
      <c r="G508" s="796"/>
      <c r="H508" s="1432"/>
      <c r="I508" s="317">
        <f>SUM(J508:N508)</f>
        <v>7500</v>
      </c>
      <c r="J508" s="352"/>
      <c r="K508" s="352"/>
      <c r="L508" s="352"/>
      <c r="M508" s="352"/>
      <c r="N508" s="313">
        <v>7500</v>
      </c>
    </row>
    <row r="509" spans="1:16" s="7" customFormat="1" ht="18" customHeight="1" x14ac:dyDescent="0.3">
      <c r="A509" s="194">
        <v>503</v>
      </c>
      <c r="B509" s="61"/>
      <c r="C509" s="59"/>
      <c r="D509" s="1003" t="s">
        <v>921</v>
      </c>
      <c r="E509" s="795"/>
      <c r="F509" s="795"/>
      <c r="G509" s="796"/>
      <c r="H509" s="1432"/>
      <c r="I509" s="1448">
        <f>SUM(J509:N509)</f>
        <v>6620</v>
      </c>
      <c r="J509" s="1092"/>
      <c r="K509" s="1092"/>
      <c r="L509" s="1092"/>
      <c r="M509" s="1092"/>
      <c r="N509" s="1104">
        <v>6620</v>
      </c>
    </row>
    <row r="510" spans="1:16" s="7" customFormat="1" ht="18" customHeight="1" x14ac:dyDescent="0.3">
      <c r="A510" s="194">
        <v>504</v>
      </c>
      <c r="B510" s="61"/>
      <c r="C510" s="59"/>
      <c r="D510" s="1002" t="s">
        <v>972</v>
      </c>
      <c r="E510" s="795"/>
      <c r="F510" s="795"/>
      <c r="G510" s="796"/>
      <c r="H510" s="1432"/>
      <c r="I510" s="415">
        <f>SUM(J510:Q510)</f>
        <v>6620</v>
      </c>
      <c r="J510" s="352"/>
      <c r="K510" s="352"/>
      <c r="L510" s="352"/>
      <c r="M510" s="352"/>
      <c r="N510" s="1102">
        <v>6620</v>
      </c>
    </row>
    <row r="511" spans="1:16" s="7" customFormat="1" ht="22.5" customHeight="1" x14ac:dyDescent="0.3">
      <c r="A511" s="194">
        <v>505</v>
      </c>
      <c r="B511" s="61"/>
      <c r="C511" s="59">
        <v>85</v>
      </c>
      <c r="D511" s="190" t="s">
        <v>56</v>
      </c>
      <c r="E511" s="795"/>
      <c r="F511" s="795"/>
      <c r="G511" s="796"/>
      <c r="H511" s="1432" t="s">
        <v>24</v>
      </c>
      <c r="I511" s="1449"/>
      <c r="J511" s="356"/>
      <c r="K511" s="356"/>
      <c r="L511" s="356"/>
      <c r="M511" s="356"/>
      <c r="N511" s="357"/>
    </row>
    <row r="512" spans="1:16" s="7" customFormat="1" ht="18" customHeight="1" x14ac:dyDescent="0.3">
      <c r="A512" s="194">
        <v>506</v>
      </c>
      <c r="B512" s="61"/>
      <c r="C512" s="59"/>
      <c r="D512" s="316" t="s">
        <v>252</v>
      </c>
      <c r="E512" s="795"/>
      <c r="F512" s="795"/>
      <c r="G512" s="796"/>
      <c r="H512" s="1432"/>
      <c r="I512" s="317">
        <f>SUM(J512:N512)</f>
        <v>11000</v>
      </c>
      <c r="J512" s="356"/>
      <c r="K512" s="356"/>
      <c r="L512" s="356"/>
      <c r="M512" s="356"/>
      <c r="N512" s="369">
        <v>11000</v>
      </c>
    </row>
    <row r="513" spans="1:16" s="7" customFormat="1" ht="18" customHeight="1" x14ac:dyDescent="0.3">
      <c r="A513" s="194">
        <v>507</v>
      </c>
      <c r="B513" s="61"/>
      <c r="C513" s="59"/>
      <c r="D513" s="1003" t="s">
        <v>921</v>
      </c>
      <c r="E513" s="795"/>
      <c r="F513" s="795"/>
      <c r="G513" s="796"/>
      <c r="H513" s="1432"/>
      <c r="I513" s="1448">
        <f>SUM(J513:N513)</f>
        <v>11000</v>
      </c>
      <c r="J513" s="1455"/>
      <c r="K513" s="1455"/>
      <c r="L513" s="1455"/>
      <c r="M513" s="1455"/>
      <c r="N513" s="1111">
        <v>11000</v>
      </c>
    </row>
    <row r="514" spans="1:16" s="7" customFormat="1" ht="18" customHeight="1" x14ac:dyDescent="0.3">
      <c r="A514" s="194">
        <v>508</v>
      </c>
      <c r="B514" s="61"/>
      <c r="C514" s="59"/>
      <c r="D514" s="1002" t="s">
        <v>973</v>
      </c>
      <c r="E514" s="795"/>
      <c r="F514" s="795"/>
      <c r="G514" s="796"/>
      <c r="H514" s="1432"/>
      <c r="I514" s="415">
        <f>SUM(J514:Q514)</f>
        <v>10800</v>
      </c>
      <c r="J514" s="356"/>
      <c r="K514" s="356"/>
      <c r="L514" s="356"/>
      <c r="M514" s="356"/>
      <c r="N514" s="1103">
        <v>10800</v>
      </c>
    </row>
    <row r="515" spans="1:16" s="3" customFormat="1" ht="22.5" customHeight="1" x14ac:dyDescent="0.3">
      <c r="A515" s="194">
        <v>509</v>
      </c>
      <c r="B515" s="58"/>
      <c r="C515" s="59">
        <v>86</v>
      </c>
      <c r="D515" s="190" t="s">
        <v>83</v>
      </c>
      <c r="E515" s="795">
        <v>1810</v>
      </c>
      <c r="F515" s="795">
        <v>3945</v>
      </c>
      <c r="G515" s="796">
        <v>767</v>
      </c>
      <c r="H515" s="1433" t="s">
        <v>23</v>
      </c>
      <c r="I515" s="317"/>
      <c r="J515" s="352"/>
      <c r="K515" s="352"/>
      <c r="L515" s="352"/>
      <c r="M515" s="352"/>
      <c r="N515" s="353"/>
      <c r="P515" s="7"/>
    </row>
    <row r="516" spans="1:16" s="318" customFormat="1" ht="18" customHeight="1" x14ac:dyDescent="0.3">
      <c r="A516" s="194">
        <v>510</v>
      </c>
      <c r="B516" s="315"/>
      <c r="C516" s="332"/>
      <c r="D516" s="316" t="s">
        <v>252</v>
      </c>
      <c r="E516" s="317"/>
      <c r="F516" s="317"/>
      <c r="G516" s="798"/>
      <c r="H516" s="1434"/>
      <c r="I516" s="317">
        <f>SUM(J516:N516)</f>
        <v>2100</v>
      </c>
      <c r="J516" s="312">
        <v>400</v>
      </c>
      <c r="K516" s="312">
        <v>200</v>
      </c>
      <c r="L516" s="312">
        <v>1500</v>
      </c>
      <c r="M516" s="312"/>
      <c r="N516" s="313"/>
    </row>
    <row r="517" spans="1:16" s="318" customFormat="1" ht="18" customHeight="1" x14ac:dyDescent="0.3">
      <c r="A517" s="194">
        <v>511</v>
      </c>
      <c r="B517" s="315"/>
      <c r="C517" s="332"/>
      <c r="D517" s="1003" t="s">
        <v>921</v>
      </c>
      <c r="E517" s="317"/>
      <c r="F517" s="317"/>
      <c r="G517" s="798"/>
      <c r="H517" s="1434"/>
      <c r="I517" s="1448">
        <f>SUM(J517:N517)</f>
        <v>5278</v>
      </c>
      <c r="J517" s="1093">
        <v>900</v>
      </c>
      <c r="K517" s="1093">
        <v>500</v>
      </c>
      <c r="L517" s="1093">
        <v>3878</v>
      </c>
      <c r="M517" s="312"/>
      <c r="N517" s="313"/>
    </row>
    <row r="518" spans="1:16" s="318" customFormat="1" ht="18" customHeight="1" x14ac:dyDescent="0.3">
      <c r="A518" s="194">
        <v>512</v>
      </c>
      <c r="B518" s="315"/>
      <c r="C518" s="332"/>
      <c r="D518" s="1002" t="s">
        <v>972</v>
      </c>
      <c r="E518" s="317"/>
      <c r="F518" s="317"/>
      <c r="G518" s="798"/>
      <c r="H518" s="1434"/>
      <c r="I518" s="415">
        <f>SUM(J518:Q518)</f>
        <v>54</v>
      </c>
      <c r="J518" s="1094">
        <v>16</v>
      </c>
      <c r="K518" s="1094">
        <v>0</v>
      </c>
      <c r="L518" s="1094">
        <v>38</v>
      </c>
      <c r="M518" s="312"/>
      <c r="N518" s="313"/>
    </row>
    <row r="519" spans="1:16" s="7" customFormat="1" ht="22.5" customHeight="1" x14ac:dyDescent="0.3">
      <c r="A519" s="194">
        <v>513</v>
      </c>
      <c r="B519" s="61"/>
      <c r="C519" s="59">
        <v>87</v>
      </c>
      <c r="D519" s="189" t="s">
        <v>304</v>
      </c>
      <c r="E519" s="795">
        <v>459</v>
      </c>
      <c r="F519" s="795">
        <v>2607</v>
      </c>
      <c r="G519" s="796">
        <v>1288</v>
      </c>
      <c r="H519" s="1433" t="s">
        <v>24</v>
      </c>
      <c r="I519" s="317"/>
      <c r="J519" s="352"/>
      <c r="K519" s="352"/>
      <c r="L519" s="352"/>
      <c r="M519" s="352"/>
      <c r="N519" s="353"/>
    </row>
    <row r="520" spans="1:16" s="318" customFormat="1" ht="18" customHeight="1" x14ac:dyDescent="0.3">
      <c r="A520" s="194">
        <v>514</v>
      </c>
      <c r="B520" s="315"/>
      <c r="C520" s="332"/>
      <c r="D520" s="316" t="s">
        <v>252</v>
      </c>
      <c r="E520" s="317"/>
      <c r="F520" s="317"/>
      <c r="G520" s="798"/>
      <c r="H520" s="1434"/>
      <c r="I520" s="317">
        <f>SUM(J520:N520)</f>
        <v>2319</v>
      </c>
      <c r="J520" s="312"/>
      <c r="K520" s="312"/>
      <c r="L520" s="312">
        <f>1000+1319</f>
        <v>2319</v>
      </c>
      <c r="M520" s="312"/>
      <c r="N520" s="313"/>
    </row>
    <row r="521" spans="1:16" s="318" customFormat="1" ht="18" customHeight="1" x14ac:dyDescent="0.3">
      <c r="A521" s="194">
        <v>515</v>
      </c>
      <c r="B521" s="315"/>
      <c r="C521" s="332"/>
      <c r="D521" s="1003" t="s">
        <v>921</v>
      </c>
      <c r="E521" s="317"/>
      <c r="F521" s="317"/>
      <c r="G521" s="798"/>
      <c r="H521" s="1434"/>
      <c r="I521" s="1448">
        <f>SUM(J521:N521)</f>
        <v>6108</v>
      </c>
      <c r="J521" s="1093"/>
      <c r="K521" s="1093"/>
      <c r="L521" s="1093">
        <v>6108</v>
      </c>
      <c r="M521" s="312"/>
      <c r="N521" s="313"/>
    </row>
    <row r="522" spans="1:16" s="318" customFormat="1" ht="18" customHeight="1" x14ac:dyDescent="0.3">
      <c r="A522" s="194">
        <v>516</v>
      </c>
      <c r="B522" s="315"/>
      <c r="C522" s="332"/>
      <c r="D522" s="1002" t="s">
        <v>972</v>
      </c>
      <c r="E522" s="317"/>
      <c r="F522" s="317"/>
      <c r="G522" s="798"/>
      <c r="H522" s="1434"/>
      <c r="I522" s="415">
        <f>SUM(J522:Q522)</f>
        <v>1057</v>
      </c>
      <c r="J522" s="312"/>
      <c r="K522" s="312"/>
      <c r="L522" s="1094">
        <v>1057</v>
      </c>
      <c r="M522" s="312"/>
      <c r="N522" s="313"/>
    </row>
    <row r="523" spans="1:16" s="3" customFormat="1" ht="22.5" customHeight="1" x14ac:dyDescent="0.3">
      <c r="A523" s="194">
        <v>517</v>
      </c>
      <c r="B523" s="58"/>
      <c r="C523" s="59">
        <v>88</v>
      </c>
      <c r="D523" s="190" t="s">
        <v>305</v>
      </c>
      <c r="E523" s="795">
        <v>114140</v>
      </c>
      <c r="F523" s="795">
        <v>192554</v>
      </c>
      <c r="G523" s="796">
        <v>167016</v>
      </c>
      <c r="H523" s="1433" t="s">
        <v>23</v>
      </c>
      <c r="I523" s="317"/>
      <c r="J523" s="352"/>
      <c r="K523" s="352"/>
      <c r="L523" s="352"/>
      <c r="M523" s="352"/>
      <c r="N523" s="353"/>
      <c r="P523" s="7"/>
    </row>
    <row r="524" spans="1:16" s="318" customFormat="1" ht="18" customHeight="1" x14ac:dyDescent="0.3">
      <c r="A524" s="194">
        <v>518</v>
      </c>
      <c r="B524" s="315"/>
      <c r="C524" s="332"/>
      <c r="D524" s="316" t="s">
        <v>252</v>
      </c>
      <c r="E524" s="317"/>
      <c r="F524" s="317"/>
      <c r="G524" s="798"/>
      <c r="H524" s="1434"/>
      <c r="I524" s="317">
        <f>SUM(J524:N524)</f>
        <v>191158</v>
      </c>
      <c r="J524" s="312"/>
      <c r="K524" s="312"/>
      <c r="L524" s="312">
        <f>144000+47158</f>
        <v>191158</v>
      </c>
      <c r="M524" s="312"/>
      <c r="N524" s="313"/>
    </row>
    <row r="525" spans="1:16" s="318" customFormat="1" ht="18" customHeight="1" x14ac:dyDescent="0.3">
      <c r="A525" s="194">
        <v>519</v>
      </c>
      <c r="B525" s="315"/>
      <c r="C525" s="332"/>
      <c r="D525" s="1003" t="s">
        <v>921</v>
      </c>
      <c r="E525" s="317"/>
      <c r="F525" s="317"/>
      <c r="G525" s="798"/>
      <c r="H525" s="1434"/>
      <c r="I525" s="1448">
        <f>SUM(J525:N525)</f>
        <v>183158</v>
      </c>
      <c r="J525" s="1093"/>
      <c r="K525" s="1093"/>
      <c r="L525" s="1093">
        <v>183158</v>
      </c>
      <c r="M525" s="312"/>
      <c r="N525" s="313"/>
    </row>
    <row r="526" spans="1:16" s="318" customFormat="1" ht="18" customHeight="1" x14ac:dyDescent="0.3">
      <c r="A526" s="194">
        <v>520</v>
      </c>
      <c r="B526" s="315"/>
      <c r="C526" s="332"/>
      <c r="D526" s="1002" t="s">
        <v>972</v>
      </c>
      <c r="E526" s="317"/>
      <c r="F526" s="317"/>
      <c r="G526" s="798"/>
      <c r="H526" s="1434"/>
      <c r="I526" s="415">
        <f>SUM(J526:Q526)</f>
        <v>42367</v>
      </c>
      <c r="J526" s="312"/>
      <c r="K526" s="312"/>
      <c r="L526" s="1094">
        <v>42367</v>
      </c>
      <c r="M526" s="312"/>
      <c r="N526" s="313"/>
    </row>
    <row r="527" spans="1:16" s="3" customFormat="1" ht="22.5" customHeight="1" x14ac:dyDescent="0.3">
      <c r="A527" s="194">
        <v>521</v>
      </c>
      <c r="B527" s="58"/>
      <c r="C527" s="59">
        <v>89</v>
      </c>
      <c r="D527" s="190" t="s">
        <v>77</v>
      </c>
      <c r="E527" s="808">
        <v>97736</v>
      </c>
      <c r="F527" s="808">
        <v>298187</v>
      </c>
      <c r="G527" s="809">
        <v>162972</v>
      </c>
      <c r="H527" s="1433" t="s">
        <v>23</v>
      </c>
      <c r="I527" s="317"/>
      <c r="J527" s="352"/>
      <c r="K527" s="352"/>
      <c r="L527" s="352"/>
      <c r="M527" s="352"/>
      <c r="N527" s="353"/>
      <c r="P527" s="7"/>
    </row>
    <row r="528" spans="1:16" s="318" customFormat="1" ht="18" customHeight="1" x14ac:dyDescent="0.3">
      <c r="A528" s="194">
        <v>522</v>
      </c>
      <c r="B528" s="315"/>
      <c r="C528" s="332"/>
      <c r="D528" s="316" t="s">
        <v>252</v>
      </c>
      <c r="E528" s="317"/>
      <c r="F528" s="317"/>
      <c r="G528" s="798"/>
      <c r="H528" s="1434"/>
      <c r="I528" s="317">
        <f>SUM(J528:N528)</f>
        <v>241302</v>
      </c>
      <c r="J528" s="312"/>
      <c r="K528" s="312"/>
      <c r="L528" s="312">
        <v>241302</v>
      </c>
      <c r="M528" s="312"/>
      <c r="N528" s="313"/>
    </row>
    <row r="529" spans="1:16" s="318" customFormat="1" ht="18" customHeight="1" x14ac:dyDescent="0.3">
      <c r="A529" s="194">
        <v>523</v>
      </c>
      <c r="B529" s="315"/>
      <c r="C529" s="332"/>
      <c r="D529" s="1003" t="s">
        <v>921</v>
      </c>
      <c r="E529" s="317"/>
      <c r="F529" s="317"/>
      <c r="G529" s="798"/>
      <c r="H529" s="1434"/>
      <c r="I529" s="1448">
        <f>SUM(J529:N529)</f>
        <v>247662</v>
      </c>
      <c r="J529" s="1093"/>
      <c r="K529" s="1093"/>
      <c r="L529" s="1093">
        <v>247662</v>
      </c>
      <c r="M529" s="312"/>
      <c r="N529" s="313"/>
    </row>
    <row r="530" spans="1:16" s="318" customFormat="1" ht="18" customHeight="1" x14ac:dyDescent="0.3">
      <c r="A530" s="194">
        <v>524</v>
      </c>
      <c r="B530" s="315"/>
      <c r="C530" s="332"/>
      <c r="D530" s="1002" t="s">
        <v>972</v>
      </c>
      <c r="E530" s="317"/>
      <c r="F530" s="317"/>
      <c r="G530" s="798"/>
      <c r="H530" s="1434"/>
      <c r="I530" s="415">
        <f>SUM(J530:Q530)</f>
        <v>81404</v>
      </c>
      <c r="J530" s="312"/>
      <c r="K530" s="312"/>
      <c r="L530" s="1094">
        <v>81404</v>
      </c>
      <c r="M530" s="312"/>
      <c r="N530" s="313"/>
    </row>
    <row r="531" spans="1:16" s="3" customFormat="1" ht="22.5" customHeight="1" x14ac:dyDescent="0.3">
      <c r="A531" s="194">
        <v>525</v>
      </c>
      <c r="B531" s="58"/>
      <c r="C531" s="59">
        <v>90</v>
      </c>
      <c r="D531" s="190" t="s">
        <v>78</v>
      </c>
      <c r="E531" s="795">
        <v>4017</v>
      </c>
      <c r="F531" s="795">
        <v>12630</v>
      </c>
      <c r="G531" s="796">
        <v>20030</v>
      </c>
      <c r="H531" s="1433" t="s">
        <v>23</v>
      </c>
      <c r="I531" s="317"/>
      <c r="J531" s="352"/>
      <c r="K531" s="352"/>
      <c r="L531" s="352"/>
      <c r="M531" s="352"/>
      <c r="N531" s="353"/>
      <c r="P531" s="7"/>
    </row>
    <row r="532" spans="1:16" s="318" customFormat="1" ht="18" customHeight="1" x14ac:dyDescent="0.3">
      <c r="A532" s="194">
        <v>526</v>
      </c>
      <c r="B532" s="315"/>
      <c r="C532" s="332"/>
      <c r="D532" s="316" t="s">
        <v>252</v>
      </c>
      <c r="E532" s="317"/>
      <c r="F532" s="317"/>
      <c r="G532" s="798"/>
      <c r="H532" s="1434"/>
      <c r="I532" s="317">
        <f>SUM(J532:N532)</f>
        <v>13970</v>
      </c>
      <c r="J532" s="312"/>
      <c r="K532" s="312"/>
      <c r="L532" s="312">
        <v>13970</v>
      </c>
      <c r="M532" s="312"/>
      <c r="N532" s="313"/>
    </row>
    <row r="533" spans="1:16" s="318" customFormat="1" ht="18" customHeight="1" x14ac:dyDescent="0.3">
      <c r="A533" s="194">
        <v>527</v>
      </c>
      <c r="B533" s="315"/>
      <c r="C533" s="332"/>
      <c r="D533" s="1003" t="s">
        <v>921</v>
      </c>
      <c r="E533" s="317"/>
      <c r="F533" s="317"/>
      <c r="G533" s="798"/>
      <c r="H533" s="1434"/>
      <c r="I533" s="1448">
        <f>SUM(J533:N533)</f>
        <v>13970</v>
      </c>
      <c r="J533" s="1093"/>
      <c r="K533" s="1093"/>
      <c r="L533" s="1093">
        <v>13970</v>
      </c>
      <c r="M533" s="312"/>
      <c r="N533" s="313"/>
    </row>
    <row r="534" spans="1:16" s="318" customFormat="1" ht="18" customHeight="1" x14ac:dyDescent="0.3">
      <c r="A534" s="194">
        <v>528</v>
      </c>
      <c r="B534" s="315"/>
      <c r="C534" s="332"/>
      <c r="D534" s="1002" t="s">
        <v>973</v>
      </c>
      <c r="E534" s="317"/>
      <c r="F534" s="317"/>
      <c r="G534" s="798"/>
      <c r="H534" s="1434"/>
      <c r="I534" s="415">
        <f>SUM(J534:Q534)</f>
        <v>8712</v>
      </c>
      <c r="J534" s="312"/>
      <c r="K534" s="312"/>
      <c r="L534" s="1094">
        <v>8712</v>
      </c>
      <c r="M534" s="312"/>
      <c r="N534" s="313"/>
    </row>
    <row r="535" spans="1:16" s="3" customFormat="1" ht="22.5" customHeight="1" x14ac:dyDescent="0.3">
      <c r="A535" s="194">
        <v>529</v>
      </c>
      <c r="B535" s="58"/>
      <c r="C535" s="59">
        <v>91</v>
      </c>
      <c r="D535" s="190" t="s">
        <v>613</v>
      </c>
      <c r="E535" s="795">
        <v>1488721</v>
      </c>
      <c r="F535" s="795">
        <v>1645456</v>
      </c>
      <c r="G535" s="796">
        <f>1557456-12000</f>
        <v>1545456</v>
      </c>
      <c r="H535" s="1433" t="s">
        <v>23</v>
      </c>
      <c r="I535" s="317"/>
      <c r="J535" s="352"/>
      <c r="K535" s="352"/>
      <c r="L535" s="352"/>
      <c r="M535" s="352"/>
      <c r="N535" s="353"/>
    </row>
    <row r="536" spans="1:16" s="3" customFormat="1" ht="20.100000000000001" customHeight="1" x14ac:dyDescent="0.3">
      <c r="A536" s="194">
        <v>530</v>
      </c>
      <c r="B536" s="58"/>
      <c r="C536" s="59"/>
      <c r="D536" s="70" t="s">
        <v>777</v>
      </c>
      <c r="E536" s="795"/>
      <c r="F536" s="795"/>
      <c r="G536" s="796"/>
      <c r="H536" s="1433"/>
      <c r="I536" s="317"/>
      <c r="J536" s="352"/>
      <c r="K536" s="352"/>
      <c r="L536" s="352"/>
      <c r="M536" s="352"/>
      <c r="N536" s="353"/>
    </row>
    <row r="537" spans="1:16" s="318" customFormat="1" ht="18" customHeight="1" x14ac:dyDescent="0.3">
      <c r="A537" s="194">
        <v>531</v>
      </c>
      <c r="B537" s="315"/>
      <c r="C537" s="332"/>
      <c r="D537" s="331" t="s">
        <v>252</v>
      </c>
      <c r="E537" s="317"/>
      <c r="F537" s="317"/>
      <c r="G537" s="798"/>
      <c r="H537" s="1434"/>
      <c r="I537" s="317">
        <f>SUM(J537:N537)</f>
        <v>1776573</v>
      </c>
      <c r="J537" s="312"/>
      <c r="K537" s="312"/>
      <c r="L537" s="312"/>
      <c r="M537" s="312"/>
      <c r="N537" s="313">
        <v>1776573</v>
      </c>
    </row>
    <row r="538" spans="1:16" s="318" customFormat="1" ht="18" customHeight="1" x14ac:dyDescent="0.3">
      <c r="A538" s="194">
        <v>532</v>
      </c>
      <c r="B538" s="315"/>
      <c r="C538" s="332"/>
      <c r="D538" s="1384" t="s">
        <v>921</v>
      </c>
      <c r="E538" s="317"/>
      <c r="F538" s="317"/>
      <c r="G538" s="798"/>
      <c r="H538" s="1434"/>
      <c r="I538" s="1448">
        <f>SUM(J538:N538)</f>
        <v>1776573</v>
      </c>
      <c r="J538" s="1093"/>
      <c r="K538" s="1093"/>
      <c r="L538" s="1093"/>
      <c r="M538" s="1093"/>
      <c r="N538" s="1104">
        <v>1776573</v>
      </c>
    </row>
    <row r="539" spans="1:16" s="318" customFormat="1" ht="18" customHeight="1" x14ac:dyDescent="0.3">
      <c r="A539" s="194">
        <v>533</v>
      </c>
      <c r="B539" s="315"/>
      <c r="C539" s="332"/>
      <c r="D539" s="1383" t="s">
        <v>973</v>
      </c>
      <c r="E539" s="317"/>
      <c r="F539" s="317"/>
      <c r="G539" s="798"/>
      <c r="H539" s="1434"/>
      <c r="I539" s="415">
        <f>SUM(J539:Q539)</f>
        <v>875175</v>
      </c>
      <c r="J539" s="312"/>
      <c r="K539" s="312"/>
      <c r="L539" s="312"/>
      <c r="M539" s="312"/>
      <c r="N539" s="1102">
        <v>875175</v>
      </c>
    </row>
    <row r="540" spans="1:16" s="318" customFormat="1" ht="20.100000000000001" customHeight="1" x14ac:dyDescent="0.3">
      <c r="A540" s="194">
        <v>534</v>
      </c>
      <c r="B540" s="315"/>
      <c r="C540" s="332"/>
      <c r="D540" s="70" t="s">
        <v>776</v>
      </c>
      <c r="E540" s="317"/>
      <c r="F540" s="317"/>
      <c r="G540" s="796">
        <v>12000</v>
      </c>
      <c r="H540" s="1434"/>
      <c r="I540" s="317"/>
      <c r="J540" s="312"/>
      <c r="K540" s="312"/>
      <c r="L540" s="312"/>
      <c r="M540" s="312"/>
      <c r="N540" s="313"/>
    </row>
    <row r="541" spans="1:16" s="318" customFormat="1" ht="18" customHeight="1" x14ac:dyDescent="0.3">
      <c r="A541" s="194">
        <v>535</v>
      </c>
      <c r="B541" s="315"/>
      <c r="C541" s="332"/>
      <c r="D541" s="331" t="s">
        <v>252</v>
      </c>
      <c r="E541" s="317"/>
      <c r="F541" s="317"/>
      <c r="G541" s="798"/>
      <c r="H541" s="1434"/>
      <c r="I541" s="317">
        <f>SUM(J541:N541)</f>
        <v>22980</v>
      </c>
      <c r="J541" s="312"/>
      <c r="K541" s="312"/>
      <c r="L541" s="312"/>
      <c r="M541" s="312"/>
      <c r="N541" s="313">
        <v>22980</v>
      </c>
    </row>
    <row r="542" spans="1:16" s="318" customFormat="1" ht="18" customHeight="1" x14ac:dyDescent="0.3">
      <c r="A542" s="194">
        <v>536</v>
      </c>
      <c r="B542" s="315"/>
      <c r="C542" s="332"/>
      <c r="D542" s="1384" t="s">
        <v>921</v>
      </c>
      <c r="E542" s="317"/>
      <c r="F542" s="317"/>
      <c r="G542" s="798"/>
      <c r="H542" s="1434"/>
      <c r="I542" s="1448">
        <f>SUM(J542:N542)</f>
        <v>22980</v>
      </c>
      <c r="J542" s="1093"/>
      <c r="K542" s="1093"/>
      <c r="L542" s="1093"/>
      <c r="M542" s="1093"/>
      <c r="N542" s="1104">
        <v>22980</v>
      </c>
    </row>
    <row r="543" spans="1:16" s="318" customFormat="1" ht="18" customHeight="1" x14ac:dyDescent="0.3">
      <c r="A543" s="194">
        <v>537</v>
      </c>
      <c r="B543" s="315"/>
      <c r="C543" s="332"/>
      <c r="D543" s="1383" t="s">
        <v>973</v>
      </c>
      <c r="E543" s="317"/>
      <c r="F543" s="317"/>
      <c r="G543" s="798"/>
      <c r="H543" s="1434"/>
      <c r="I543" s="415">
        <f>SUM(J543:Q543)</f>
        <v>11592</v>
      </c>
      <c r="J543" s="312"/>
      <c r="K543" s="312"/>
      <c r="L543" s="312"/>
      <c r="M543" s="312"/>
      <c r="N543" s="1102">
        <v>11592</v>
      </c>
    </row>
    <row r="544" spans="1:16" s="318" customFormat="1" ht="32.25" customHeight="1" x14ac:dyDescent="0.3">
      <c r="A544" s="194">
        <v>538</v>
      </c>
      <c r="B544" s="315"/>
      <c r="C544" s="184">
        <v>92</v>
      </c>
      <c r="D544" s="190" t="s">
        <v>824</v>
      </c>
      <c r="E544" s="795">
        <v>20988</v>
      </c>
      <c r="F544" s="795">
        <v>23000</v>
      </c>
      <c r="G544" s="796">
        <v>22857</v>
      </c>
      <c r="H544" s="1433" t="s">
        <v>23</v>
      </c>
      <c r="I544" s="317"/>
      <c r="J544" s="312"/>
      <c r="K544" s="312"/>
      <c r="L544" s="312"/>
      <c r="M544" s="312"/>
      <c r="N544" s="313"/>
    </row>
    <row r="545" spans="1:16" s="318" customFormat="1" ht="18" customHeight="1" x14ac:dyDescent="0.3">
      <c r="A545" s="194">
        <v>539</v>
      </c>
      <c r="B545" s="315"/>
      <c r="C545" s="332"/>
      <c r="D545" s="316" t="s">
        <v>252</v>
      </c>
      <c r="E545" s="317"/>
      <c r="F545" s="317"/>
      <c r="G545" s="798"/>
      <c r="H545" s="1433"/>
      <c r="I545" s="317">
        <f>SUM(J545:N545)</f>
        <v>26000</v>
      </c>
      <c r="J545" s="312"/>
      <c r="K545" s="312"/>
      <c r="L545" s="312"/>
      <c r="M545" s="312"/>
      <c r="N545" s="313">
        <v>26000</v>
      </c>
    </row>
    <row r="546" spans="1:16" s="318" customFormat="1" ht="18" customHeight="1" x14ac:dyDescent="0.3">
      <c r="A546" s="194">
        <v>540</v>
      </c>
      <c r="B546" s="315"/>
      <c r="C546" s="332"/>
      <c r="D546" s="1003" t="s">
        <v>921</v>
      </c>
      <c r="E546" s="317"/>
      <c r="F546" s="317"/>
      <c r="G546" s="798"/>
      <c r="H546" s="1433"/>
      <c r="I546" s="1448">
        <f>SUM(J546:N546)</f>
        <v>26000</v>
      </c>
      <c r="J546" s="1093"/>
      <c r="K546" s="1093"/>
      <c r="L546" s="1093"/>
      <c r="M546" s="1093"/>
      <c r="N546" s="1104">
        <v>26000</v>
      </c>
    </row>
    <row r="547" spans="1:16" s="318" customFormat="1" ht="18" customHeight="1" x14ac:dyDescent="0.3">
      <c r="A547" s="194">
        <v>541</v>
      </c>
      <c r="B547" s="315"/>
      <c r="C547" s="332"/>
      <c r="D547" s="1002" t="s">
        <v>973</v>
      </c>
      <c r="E547" s="317"/>
      <c r="F547" s="317"/>
      <c r="G547" s="798"/>
      <c r="H547" s="1433"/>
      <c r="I547" s="415">
        <f>SUM(J547:Q547)</f>
        <v>15147</v>
      </c>
      <c r="J547" s="312"/>
      <c r="K547" s="312"/>
      <c r="L547" s="312"/>
      <c r="M547" s="312"/>
      <c r="N547" s="1102">
        <v>15147</v>
      </c>
    </row>
    <row r="548" spans="1:16" s="3" customFormat="1" ht="22.5" customHeight="1" x14ac:dyDescent="0.3">
      <c r="A548" s="194">
        <v>542</v>
      </c>
      <c r="B548" s="58"/>
      <c r="C548" s="59">
        <v>93</v>
      </c>
      <c r="D548" s="190" t="s">
        <v>314</v>
      </c>
      <c r="E548" s="795">
        <v>44816</v>
      </c>
      <c r="F548" s="795">
        <v>73957</v>
      </c>
      <c r="G548" s="796">
        <v>60202</v>
      </c>
      <c r="H548" s="1433" t="s">
        <v>24</v>
      </c>
      <c r="I548" s="317"/>
      <c r="J548" s="352"/>
      <c r="K548" s="352"/>
      <c r="L548" s="352"/>
      <c r="M548" s="352"/>
      <c r="N548" s="353"/>
    </row>
    <row r="549" spans="1:16" s="318" customFormat="1" ht="18" customHeight="1" x14ac:dyDescent="0.3">
      <c r="A549" s="194">
        <v>543</v>
      </c>
      <c r="B549" s="315"/>
      <c r="C549" s="332"/>
      <c r="D549" s="316" t="s">
        <v>252</v>
      </c>
      <c r="E549" s="317"/>
      <c r="F549" s="317"/>
      <c r="G549" s="798"/>
      <c r="H549" s="1434"/>
      <c r="I549" s="317">
        <f>SUM(J549:N549)</f>
        <v>86894</v>
      </c>
      <c r="J549" s="312"/>
      <c r="K549" s="312"/>
      <c r="L549" s="312">
        <v>86894</v>
      </c>
      <c r="M549" s="312"/>
      <c r="N549" s="313"/>
    </row>
    <row r="550" spans="1:16" s="318" customFormat="1" ht="18" customHeight="1" x14ac:dyDescent="0.3">
      <c r="A550" s="194">
        <v>544</v>
      </c>
      <c r="B550" s="315"/>
      <c r="C550" s="332"/>
      <c r="D550" s="1003" t="s">
        <v>921</v>
      </c>
      <c r="E550" s="317"/>
      <c r="F550" s="317"/>
      <c r="G550" s="798"/>
      <c r="H550" s="1434"/>
      <c r="I550" s="1448">
        <f>SUM(J550:N550)</f>
        <v>94036</v>
      </c>
      <c r="J550" s="1093"/>
      <c r="K550" s="1093"/>
      <c r="L550" s="1093">
        <v>94036</v>
      </c>
      <c r="M550" s="312"/>
      <c r="N550" s="313"/>
    </row>
    <row r="551" spans="1:16" s="318" customFormat="1" ht="18" customHeight="1" x14ac:dyDescent="0.3">
      <c r="A551" s="194">
        <v>545</v>
      </c>
      <c r="B551" s="315"/>
      <c r="C551" s="332"/>
      <c r="D551" s="1002" t="s">
        <v>972</v>
      </c>
      <c r="E551" s="317"/>
      <c r="F551" s="317"/>
      <c r="G551" s="798"/>
      <c r="H551" s="1434"/>
      <c r="I551" s="415">
        <f>SUM(J551:Q551)</f>
        <v>24243</v>
      </c>
      <c r="J551" s="312"/>
      <c r="K551" s="312"/>
      <c r="L551" s="1094">
        <v>24243</v>
      </c>
      <c r="M551" s="312"/>
      <c r="N551" s="313"/>
    </row>
    <row r="552" spans="1:16" s="3" customFormat="1" ht="22.5" customHeight="1" x14ac:dyDescent="0.3">
      <c r="A552" s="194">
        <v>546</v>
      </c>
      <c r="B552" s="58"/>
      <c r="C552" s="59"/>
      <c r="D552" s="111" t="s">
        <v>247</v>
      </c>
      <c r="E552" s="795"/>
      <c r="F552" s="795"/>
      <c r="G552" s="796"/>
      <c r="H552" s="1433"/>
      <c r="I552" s="1449"/>
      <c r="J552" s="356"/>
      <c r="K552" s="356"/>
      <c r="L552" s="356"/>
      <c r="M552" s="356"/>
      <c r="N552" s="357"/>
      <c r="O552" s="7"/>
      <c r="P552" s="7"/>
    </row>
    <row r="553" spans="1:16" s="3" customFormat="1" ht="22.5" customHeight="1" x14ac:dyDescent="0.3">
      <c r="A553" s="194">
        <v>547</v>
      </c>
      <c r="B553" s="58"/>
      <c r="C553" s="59">
        <v>94</v>
      </c>
      <c r="D553" s="70" t="s">
        <v>8</v>
      </c>
      <c r="E553" s="795">
        <v>283378</v>
      </c>
      <c r="F553" s="795">
        <v>390800</v>
      </c>
      <c r="G553" s="796">
        <v>448683</v>
      </c>
      <c r="H553" s="1433" t="s">
        <v>23</v>
      </c>
      <c r="I553" s="317"/>
      <c r="J553" s="352"/>
      <c r="K553" s="352"/>
      <c r="L553" s="352"/>
      <c r="M553" s="352"/>
      <c r="N553" s="353"/>
      <c r="P553" s="7"/>
    </row>
    <row r="554" spans="1:16" s="318" customFormat="1" ht="18" customHeight="1" x14ac:dyDescent="0.3">
      <c r="A554" s="194">
        <v>548</v>
      </c>
      <c r="B554" s="315"/>
      <c r="C554" s="332"/>
      <c r="D554" s="331" t="s">
        <v>252</v>
      </c>
      <c r="E554" s="317"/>
      <c r="F554" s="317"/>
      <c r="G554" s="798"/>
      <c r="H554" s="1434"/>
      <c r="I554" s="317">
        <f>SUM(J554:N554)</f>
        <v>471000</v>
      </c>
      <c r="J554" s="312"/>
      <c r="K554" s="312"/>
      <c r="L554" s="312">
        <v>6000</v>
      </c>
      <c r="M554" s="312"/>
      <c r="N554" s="313">
        <v>465000</v>
      </c>
    </row>
    <row r="555" spans="1:16" s="318" customFormat="1" ht="18" customHeight="1" x14ac:dyDescent="0.3">
      <c r="A555" s="194">
        <v>549</v>
      </c>
      <c r="B555" s="315"/>
      <c r="C555" s="332"/>
      <c r="D555" s="1384" t="s">
        <v>921</v>
      </c>
      <c r="E555" s="317"/>
      <c r="F555" s="317"/>
      <c r="G555" s="798"/>
      <c r="H555" s="1434"/>
      <c r="I555" s="1448">
        <f>SUM(J555:N555)</f>
        <v>471640</v>
      </c>
      <c r="J555" s="1093"/>
      <c r="K555" s="1093"/>
      <c r="L555" s="1093">
        <v>6640</v>
      </c>
      <c r="M555" s="1093"/>
      <c r="N555" s="1104">
        <v>465000</v>
      </c>
    </row>
    <row r="556" spans="1:16" s="318" customFormat="1" ht="18" customHeight="1" x14ac:dyDescent="0.3">
      <c r="A556" s="194">
        <v>550</v>
      </c>
      <c r="B556" s="315"/>
      <c r="C556" s="332"/>
      <c r="D556" s="1383" t="s">
        <v>972</v>
      </c>
      <c r="E556" s="317"/>
      <c r="F556" s="317"/>
      <c r="G556" s="798"/>
      <c r="H556" s="1434"/>
      <c r="I556" s="415">
        <f>SUM(J556:Q556)</f>
        <v>270063</v>
      </c>
      <c r="J556" s="312"/>
      <c r="K556" s="312"/>
      <c r="L556" s="1094">
        <v>592</v>
      </c>
      <c r="M556" s="1738"/>
      <c r="N556" s="1102">
        <v>269471</v>
      </c>
    </row>
    <row r="557" spans="1:16" s="3" customFormat="1" ht="22.5" customHeight="1" x14ac:dyDescent="0.3">
      <c r="A557" s="194">
        <v>551</v>
      </c>
      <c r="B557" s="58"/>
      <c r="C557" s="59">
        <v>95</v>
      </c>
      <c r="D557" s="70" t="s">
        <v>246</v>
      </c>
      <c r="E557" s="795">
        <v>57000</v>
      </c>
      <c r="F557" s="795">
        <v>84700</v>
      </c>
      <c r="G557" s="796">
        <v>88700</v>
      </c>
      <c r="H557" s="1433" t="s">
        <v>23</v>
      </c>
      <c r="I557" s="317"/>
      <c r="J557" s="352"/>
      <c r="K557" s="352"/>
      <c r="L557" s="352"/>
      <c r="M557" s="352"/>
      <c r="N557" s="353"/>
      <c r="P557" s="7"/>
    </row>
    <row r="558" spans="1:16" s="318" customFormat="1" ht="18" customHeight="1" x14ac:dyDescent="0.3">
      <c r="A558" s="194">
        <v>552</v>
      </c>
      <c r="B558" s="315"/>
      <c r="C558" s="332"/>
      <c r="D558" s="331" t="s">
        <v>252</v>
      </c>
      <c r="E558" s="317"/>
      <c r="F558" s="317"/>
      <c r="G558" s="798"/>
      <c r="H558" s="1434"/>
      <c r="I558" s="317">
        <f>SUM(J558:N558)</f>
        <v>89000</v>
      </c>
      <c r="J558" s="312"/>
      <c r="K558" s="312"/>
      <c r="L558" s="312"/>
      <c r="M558" s="312"/>
      <c r="N558" s="313">
        <v>89000</v>
      </c>
    </row>
    <row r="559" spans="1:16" s="318" customFormat="1" ht="18" customHeight="1" x14ac:dyDescent="0.3">
      <c r="A559" s="194">
        <v>553</v>
      </c>
      <c r="B559" s="315"/>
      <c r="C559" s="332"/>
      <c r="D559" s="1384" t="s">
        <v>921</v>
      </c>
      <c r="E559" s="317"/>
      <c r="F559" s="317"/>
      <c r="G559" s="798"/>
      <c r="H559" s="1434"/>
      <c r="I559" s="1448">
        <f>SUM(J559:N559)</f>
        <v>89000</v>
      </c>
      <c r="J559" s="1093"/>
      <c r="K559" s="1093"/>
      <c r="L559" s="1093"/>
      <c r="M559" s="1093"/>
      <c r="N559" s="1104">
        <v>89000</v>
      </c>
    </row>
    <row r="560" spans="1:16" s="318" customFormat="1" ht="18" customHeight="1" x14ac:dyDescent="0.3">
      <c r="A560" s="194">
        <v>554</v>
      </c>
      <c r="B560" s="315"/>
      <c r="C560" s="332"/>
      <c r="D560" s="1383" t="s">
        <v>973</v>
      </c>
      <c r="E560" s="317"/>
      <c r="F560" s="317"/>
      <c r="G560" s="798"/>
      <c r="H560" s="1434"/>
      <c r="I560" s="415">
        <f>SUM(J560:Q560)</f>
        <v>51892</v>
      </c>
      <c r="J560" s="312"/>
      <c r="K560" s="312"/>
      <c r="L560" s="312"/>
      <c r="M560" s="312"/>
      <c r="N560" s="1102">
        <v>51892</v>
      </c>
    </row>
    <row r="561" spans="1:16" s="3" customFormat="1" ht="22.5" customHeight="1" x14ac:dyDescent="0.3">
      <c r="A561" s="194">
        <v>555</v>
      </c>
      <c r="B561" s="58"/>
      <c r="C561" s="59">
        <v>96</v>
      </c>
      <c r="D561" s="70" t="s">
        <v>9</v>
      </c>
      <c r="E561" s="795">
        <v>270000</v>
      </c>
      <c r="F561" s="795">
        <v>383700</v>
      </c>
      <c r="G561" s="796">
        <v>383700</v>
      </c>
      <c r="H561" s="1433" t="s">
        <v>23</v>
      </c>
      <c r="I561" s="317"/>
      <c r="J561" s="352"/>
      <c r="K561" s="352"/>
      <c r="L561" s="352"/>
      <c r="M561" s="352"/>
      <c r="N561" s="353"/>
      <c r="P561" s="7"/>
    </row>
    <row r="562" spans="1:16" s="318" customFormat="1" ht="18" customHeight="1" x14ac:dyDescent="0.3">
      <c r="A562" s="194">
        <v>556</v>
      </c>
      <c r="B562" s="315"/>
      <c r="C562" s="332"/>
      <c r="D562" s="331" t="s">
        <v>252</v>
      </c>
      <c r="E562" s="317"/>
      <c r="F562" s="317"/>
      <c r="G562" s="798"/>
      <c r="H562" s="1434"/>
      <c r="I562" s="317">
        <f>SUM(J562:N562)</f>
        <v>399000</v>
      </c>
      <c r="J562" s="312"/>
      <c r="K562" s="312"/>
      <c r="L562" s="312"/>
      <c r="M562" s="312"/>
      <c r="N562" s="313">
        <v>399000</v>
      </c>
    </row>
    <row r="563" spans="1:16" s="318" customFormat="1" ht="18" customHeight="1" x14ac:dyDescent="0.3">
      <c r="A563" s="194">
        <v>557</v>
      </c>
      <c r="B563" s="315"/>
      <c r="C563" s="332"/>
      <c r="D563" s="1384" t="s">
        <v>921</v>
      </c>
      <c r="E563" s="317"/>
      <c r="F563" s="317"/>
      <c r="G563" s="798"/>
      <c r="H563" s="1434"/>
      <c r="I563" s="1448">
        <f>SUM(J563:N563)</f>
        <v>399000</v>
      </c>
      <c r="J563" s="1093"/>
      <c r="K563" s="1093"/>
      <c r="L563" s="1093"/>
      <c r="M563" s="1093"/>
      <c r="N563" s="1104">
        <v>399000</v>
      </c>
    </row>
    <row r="564" spans="1:16" s="318" customFormat="1" ht="18" customHeight="1" x14ac:dyDescent="0.3">
      <c r="A564" s="194">
        <v>558</v>
      </c>
      <c r="B564" s="315"/>
      <c r="C564" s="332"/>
      <c r="D564" s="1383" t="s">
        <v>973</v>
      </c>
      <c r="E564" s="317"/>
      <c r="F564" s="317"/>
      <c r="G564" s="798"/>
      <c r="H564" s="1434"/>
      <c r="I564" s="415">
        <f>SUM(J564:Q564)</f>
        <v>231475</v>
      </c>
      <c r="J564" s="312"/>
      <c r="K564" s="312"/>
      <c r="L564" s="312"/>
      <c r="M564" s="312"/>
      <c r="N564" s="1102">
        <v>231475</v>
      </c>
    </row>
    <row r="565" spans="1:16" s="3" customFormat="1" ht="22.5" customHeight="1" x14ac:dyDescent="0.3">
      <c r="A565" s="194">
        <v>559</v>
      </c>
      <c r="B565" s="58"/>
      <c r="C565" s="59">
        <v>97</v>
      </c>
      <c r="D565" s="70" t="s">
        <v>7</v>
      </c>
      <c r="E565" s="795">
        <v>45000</v>
      </c>
      <c r="F565" s="795">
        <v>71700</v>
      </c>
      <c r="G565" s="796">
        <v>71700</v>
      </c>
      <c r="H565" s="1433" t="s">
        <v>23</v>
      </c>
      <c r="I565" s="317"/>
      <c r="J565" s="352"/>
      <c r="K565" s="352"/>
      <c r="L565" s="352"/>
      <c r="M565" s="352"/>
      <c r="N565" s="353"/>
      <c r="P565" s="7"/>
    </row>
    <row r="566" spans="1:16" s="318" customFormat="1" ht="18" customHeight="1" x14ac:dyDescent="0.3">
      <c r="A566" s="194">
        <v>560</v>
      </c>
      <c r="B566" s="315"/>
      <c r="C566" s="332"/>
      <c r="D566" s="331" t="s">
        <v>252</v>
      </c>
      <c r="E566" s="317"/>
      <c r="F566" s="317"/>
      <c r="G566" s="798"/>
      <c r="H566" s="1434"/>
      <c r="I566" s="317">
        <f>SUM(J566:N566)</f>
        <v>72000</v>
      </c>
      <c r="J566" s="312"/>
      <c r="K566" s="312"/>
      <c r="L566" s="312"/>
      <c r="M566" s="312"/>
      <c r="N566" s="313">
        <v>72000</v>
      </c>
    </row>
    <row r="567" spans="1:16" s="318" customFormat="1" ht="18" customHeight="1" x14ac:dyDescent="0.3">
      <c r="A567" s="194">
        <v>561</v>
      </c>
      <c r="B567" s="315"/>
      <c r="C567" s="332"/>
      <c r="D567" s="1384" t="s">
        <v>921</v>
      </c>
      <c r="E567" s="317"/>
      <c r="F567" s="317"/>
      <c r="G567" s="798"/>
      <c r="H567" s="1434"/>
      <c r="I567" s="1448">
        <f>SUM(J567:N567)</f>
        <v>72000</v>
      </c>
      <c r="J567" s="1093"/>
      <c r="K567" s="1093"/>
      <c r="L567" s="1093"/>
      <c r="M567" s="1093"/>
      <c r="N567" s="1104">
        <v>72000</v>
      </c>
    </row>
    <row r="568" spans="1:16" s="318" customFormat="1" ht="18" customHeight="1" x14ac:dyDescent="0.3">
      <c r="A568" s="194">
        <v>562</v>
      </c>
      <c r="B568" s="315"/>
      <c r="C568" s="332"/>
      <c r="D568" s="1383" t="s">
        <v>973</v>
      </c>
      <c r="E568" s="317"/>
      <c r="F568" s="317"/>
      <c r="G568" s="798"/>
      <c r="H568" s="1434"/>
      <c r="I568" s="415">
        <f>SUM(J568:Q568)</f>
        <v>41975</v>
      </c>
      <c r="J568" s="312"/>
      <c r="K568" s="312"/>
      <c r="L568" s="312"/>
      <c r="M568" s="312"/>
      <c r="N568" s="1102">
        <v>41975</v>
      </c>
    </row>
    <row r="569" spans="1:16" s="3" customFormat="1" ht="22.5" customHeight="1" x14ac:dyDescent="0.3">
      <c r="A569" s="194">
        <v>563</v>
      </c>
      <c r="B569" s="58"/>
      <c r="C569" s="59">
        <v>162</v>
      </c>
      <c r="D569" s="70" t="s">
        <v>780</v>
      </c>
      <c r="E569" s="795"/>
      <c r="F569" s="795"/>
      <c r="G569" s="796"/>
      <c r="H569" s="1433" t="s">
        <v>23</v>
      </c>
      <c r="I569" s="317"/>
      <c r="J569" s="352"/>
      <c r="K569" s="352"/>
      <c r="L569" s="352"/>
      <c r="M569" s="352"/>
      <c r="N569" s="313"/>
      <c r="P569" s="7"/>
    </row>
    <row r="570" spans="1:16" s="3" customFormat="1" ht="18" customHeight="1" x14ac:dyDescent="0.3">
      <c r="A570" s="194">
        <v>564</v>
      </c>
      <c r="B570" s="58"/>
      <c r="C570" s="59"/>
      <c r="D570" s="331" t="s">
        <v>252</v>
      </c>
      <c r="E570" s="795"/>
      <c r="F570" s="795"/>
      <c r="G570" s="796"/>
      <c r="H570" s="1433"/>
      <c r="I570" s="317">
        <f>SUM(J570:N570)</f>
        <v>20000</v>
      </c>
      <c r="J570" s="352"/>
      <c r="K570" s="352"/>
      <c r="L570" s="352"/>
      <c r="M570" s="352"/>
      <c r="N570" s="313">
        <v>20000</v>
      </c>
      <c r="P570" s="7"/>
    </row>
    <row r="571" spans="1:16" s="3" customFormat="1" ht="18" customHeight="1" x14ac:dyDescent="0.3">
      <c r="A571" s="194">
        <v>565</v>
      </c>
      <c r="B571" s="58"/>
      <c r="C571" s="59"/>
      <c r="D571" s="1384" t="s">
        <v>921</v>
      </c>
      <c r="E571" s="795"/>
      <c r="F571" s="795"/>
      <c r="G571" s="796"/>
      <c r="H571" s="1433"/>
      <c r="I571" s="1448">
        <f>SUM(J571:N571)</f>
        <v>20000</v>
      </c>
      <c r="J571" s="1092"/>
      <c r="K571" s="1092"/>
      <c r="L571" s="1092"/>
      <c r="M571" s="1092"/>
      <c r="N571" s="1104">
        <v>20000</v>
      </c>
      <c r="P571" s="7"/>
    </row>
    <row r="572" spans="1:16" s="3" customFormat="1" ht="18" customHeight="1" x14ac:dyDescent="0.3">
      <c r="A572" s="194">
        <v>566</v>
      </c>
      <c r="B572" s="58"/>
      <c r="C572" s="59"/>
      <c r="D572" s="1383" t="s">
        <v>973</v>
      </c>
      <c r="E572" s="795"/>
      <c r="F572" s="795"/>
      <c r="G572" s="796"/>
      <c r="H572" s="1433"/>
      <c r="I572" s="415">
        <f>SUM(J572:Q572)</f>
        <v>10000</v>
      </c>
      <c r="J572" s="352"/>
      <c r="K572" s="352"/>
      <c r="L572" s="352"/>
      <c r="M572" s="352"/>
      <c r="N572" s="1102">
        <v>10000</v>
      </c>
      <c r="P572" s="7"/>
    </row>
    <row r="573" spans="1:16" s="3" customFormat="1" ht="22.5" customHeight="1" x14ac:dyDescent="0.3">
      <c r="A573" s="194">
        <v>567</v>
      </c>
      <c r="B573" s="58"/>
      <c r="C573" s="59"/>
      <c r="D573" s="111" t="s">
        <v>248</v>
      </c>
      <c r="E573" s="795"/>
      <c r="F573" s="795"/>
      <c r="G573" s="796"/>
      <c r="H573" s="1433"/>
      <c r="I573" s="1449"/>
      <c r="J573" s="356"/>
      <c r="K573" s="356"/>
      <c r="L573" s="356"/>
      <c r="M573" s="356"/>
      <c r="N573" s="1740"/>
      <c r="O573" s="7"/>
      <c r="P573" s="7"/>
    </row>
    <row r="574" spans="1:16" s="3" customFormat="1" ht="22.5" customHeight="1" x14ac:dyDescent="0.3">
      <c r="A574" s="194">
        <v>568</v>
      </c>
      <c r="B574" s="58"/>
      <c r="C574" s="59">
        <v>98</v>
      </c>
      <c r="D574" s="70" t="s">
        <v>364</v>
      </c>
      <c r="E574" s="795">
        <v>40000</v>
      </c>
      <c r="F574" s="795">
        <v>60000</v>
      </c>
      <c r="G574" s="796">
        <v>77429</v>
      </c>
      <c r="H574" s="1433" t="s">
        <v>23</v>
      </c>
      <c r="I574" s="317"/>
      <c r="J574" s="352"/>
      <c r="K574" s="352"/>
      <c r="L574" s="352"/>
      <c r="M574" s="352"/>
      <c r="N574" s="353"/>
      <c r="P574" s="7"/>
    </row>
    <row r="575" spans="1:16" s="3" customFormat="1" ht="18" customHeight="1" x14ac:dyDescent="0.3">
      <c r="A575" s="194">
        <v>569</v>
      </c>
      <c r="B575" s="58"/>
      <c r="C575" s="59"/>
      <c r="D575" s="331" t="s">
        <v>252</v>
      </c>
      <c r="E575" s="795"/>
      <c r="F575" s="795"/>
      <c r="G575" s="796"/>
      <c r="H575" s="1433"/>
      <c r="I575" s="317">
        <f>SUM(J575:N575)</f>
        <v>75000</v>
      </c>
      <c r="J575" s="352"/>
      <c r="K575" s="352"/>
      <c r="L575" s="352"/>
      <c r="M575" s="352"/>
      <c r="N575" s="313">
        <v>75000</v>
      </c>
      <c r="P575" s="7"/>
    </row>
    <row r="576" spans="1:16" s="3" customFormat="1" ht="18" customHeight="1" x14ac:dyDescent="0.3">
      <c r="A576" s="194">
        <v>570</v>
      </c>
      <c r="B576" s="58"/>
      <c r="C576" s="59"/>
      <c r="D576" s="1384" t="s">
        <v>921</v>
      </c>
      <c r="E576" s="795"/>
      <c r="F576" s="795"/>
      <c r="G576" s="796"/>
      <c r="H576" s="1433"/>
      <c r="I576" s="1448">
        <f>SUM(J576:N576)</f>
        <v>75000</v>
      </c>
      <c r="J576" s="1092"/>
      <c r="K576" s="1092"/>
      <c r="L576" s="1092"/>
      <c r="M576" s="1092"/>
      <c r="N576" s="1104">
        <v>75000</v>
      </c>
      <c r="P576" s="7"/>
    </row>
    <row r="577" spans="1:16" s="3" customFormat="1" ht="18" customHeight="1" x14ac:dyDescent="0.3">
      <c r="A577" s="194">
        <v>571</v>
      </c>
      <c r="B577" s="58"/>
      <c r="C577" s="59"/>
      <c r="D577" s="1383" t="s">
        <v>973</v>
      </c>
      <c r="E577" s="795"/>
      <c r="F577" s="795"/>
      <c r="G577" s="796"/>
      <c r="H577" s="1433"/>
      <c r="I577" s="415">
        <f>SUM(J577:Q577)</f>
        <v>43952</v>
      </c>
      <c r="J577" s="352"/>
      <c r="K577" s="352"/>
      <c r="L577" s="352"/>
      <c r="M577" s="352"/>
      <c r="N577" s="1102">
        <v>43952</v>
      </c>
      <c r="P577" s="7"/>
    </row>
    <row r="578" spans="1:16" s="3" customFormat="1" ht="22.5" customHeight="1" x14ac:dyDescent="0.3">
      <c r="A578" s="194">
        <v>572</v>
      </c>
      <c r="B578" s="58"/>
      <c r="C578" s="59">
        <v>99</v>
      </c>
      <c r="D578" s="70" t="s">
        <v>249</v>
      </c>
      <c r="E578" s="795">
        <v>200436</v>
      </c>
      <c r="F578" s="795">
        <v>188233</v>
      </c>
      <c r="G578" s="796">
        <v>238819</v>
      </c>
      <c r="H578" s="1433" t="s">
        <v>23</v>
      </c>
      <c r="I578" s="317"/>
      <c r="J578" s="352"/>
      <c r="K578" s="352"/>
      <c r="L578" s="352"/>
      <c r="M578" s="352"/>
      <c r="N578" s="313"/>
      <c r="P578" s="7"/>
    </row>
    <row r="579" spans="1:16" s="3" customFormat="1" ht="18" customHeight="1" x14ac:dyDescent="0.3">
      <c r="A579" s="194">
        <v>573</v>
      </c>
      <c r="B579" s="58"/>
      <c r="C579" s="59"/>
      <c r="D579" s="331" t="s">
        <v>252</v>
      </c>
      <c r="E579" s="795"/>
      <c r="F579" s="795"/>
      <c r="G579" s="796"/>
      <c r="H579" s="1433"/>
      <c r="I579" s="317">
        <f>SUM(J579:N579)</f>
        <v>197941</v>
      </c>
      <c r="J579" s="352"/>
      <c r="K579" s="352"/>
      <c r="L579" s="352"/>
      <c r="M579" s="352"/>
      <c r="N579" s="313">
        <v>197941</v>
      </c>
      <c r="P579" s="7"/>
    </row>
    <row r="580" spans="1:16" s="3" customFormat="1" ht="18" customHeight="1" x14ac:dyDescent="0.3">
      <c r="A580" s="194">
        <v>574</v>
      </c>
      <c r="B580" s="58"/>
      <c r="C580" s="59"/>
      <c r="D580" s="1384" t="s">
        <v>921</v>
      </c>
      <c r="E580" s="795"/>
      <c r="F580" s="795"/>
      <c r="G580" s="796"/>
      <c r="H580" s="1433"/>
      <c r="I580" s="1448">
        <f>SUM(J580:N580)</f>
        <v>197941</v>
      </c>
      <c r="J580" s="1092"/>
      <c r="K580" s="1092"/>
      <c r="L580" s="1092"/>
      <c r="M580" s="1092"/>
      <c r="N580" s="1104">
        <v>197941</v>
      </c>
      <c r="P580" s="7"/>
    </row>
    <row r="581" spans="1:16" s="3" customFormat="1" ht="18" customHeight="1" x14ac:dyDescent="0.3">
      <c r="A581" s="194">
        <v>575</v>
      </c>
      <c r="B581" s="58"/>
      <c r="C581" s="59"/>
      <c r="D581" s="1383" t="s">
        <v>973</v>
      </c>
      <c r="E581" s="795"/>
      <c r="F581" s="795"/>
      <c r="G581" s="796"/>
      <c r="H581" s="1433"/>
      <c r="I581" s="415">
        <f>SUM(J581:Q581)</f>
        <v>118872</v>
      </c>
      <c r="J581" s="352"/>
      <c r="K581" s="352"/>
      <c r="L581" s="352"/>
      <c r="M581" s="352"/>
      <c r="N581" s="1102">
        <v>118872</v>
      </c>
      <c r="P581" s="7"/>
    </row>
    <row r="582" spans="1:16" s="7" customFormat="1" ht="22.5" customHeight="1" x14ac:dyDescent="0.3">
      <c r="A582" s="194">
        <v>576</v>
      </c>
      <c r="B582" s="61"/>
      <c r="C582" s="59">
        <v>100</v>
      </c>
      <c r="D582" s="190" t="s">
        <v>365</v>
      </c>
      <c r="E582" s="795">
        <v>123846</v>
      </c>
      <c r="F582" s="795">
        <v>146170</v>
      </c>
      <c r="G582" s="796">
        <v>73566</v>
      </c>
      <c r="H582" s="1433" t="s">
        <v>23</v>
      </c>
      <c r="I582" s="317"/>
      <c r="J582" s="352"/>
      <c r="K582" s="352"/>
      <c r="L582" s="352"/>
      <c r="M582" s="352"/>
      <c r="N582" s="353"/>
    </row>
    <row r="583" spans="1:16" s="318" customFormat="1" ht="18" customHeight="1" x14ac:dyDescent="0.3">
      <c r="A583" s="194">
        <v>577</v>
      </c>
      <c r="B583" s="315"/>
      <c r="C583" s="332"/>
      <c r="D583" s="316" t="s">
        <v>252</v>
      </c>
      <c r="E583" s="317"/>
      <c r="F583" s="317"/>
      <c r="G583" s="798"/>
      <c r="H583" s="1434"/>
      <c r="I583" s="317">
        <f>SUM(J583:N583)</f>
        <v>62035</v>
      </c>
      <c r="J583" s="312"/>
      <c r="K583" s="312"/>
      <c r="L583" s="312">
        <v>62035</v>
      </c>
      <c r="M583" s="312"/>
      <c r="N583" s="313"/>
    </row>
    <row r="584" spans="1:16" s="318" customFormat="1" ht="18" customHeight="1" x14ac:dyDescent="0.3">
      <c r="A584" s="194">
        <v>578</v>
      </c>
      <c r="B584" s="315"/>
      <c r="C584" s="332"/>
      <c r="D584" s="1003" t="s">
        <v>921</v>
      </c>
      <c r="E584" s="317"/>
      <c r="F584" s="317"/>
      <c r="G584" s="798"/>
      <c r="H584" s="1434"/>
      <c r="I584" s="1448">
        <f>SUM(J584:N584)</f>
        <v>72160</v>
      </c>
      <c r="J584" s="1093"/>
      <c r="K584" s="1093"/>
      <c r="L584" s="1093">
        <v>72160</v>
      </c>
      <c r="M584" s="312"/>
      <c r="N584" s="313"/>
    </row>
    <row r="585" spans="1:16" s="318" customFormat="1" ht="18" customHeight="1" x14ac:dyDescent="0.3">
      <c r="A585" s="194">
        <v>579</v>
      </c>
      <c r="B585" s="315"/>
      <c r="C585" s="332"/>
      <c r="D585" s="1002" t="s">
        <v>972</v>
      </c>
      <c r="E585" s="317"/>
      <c r="F585" s="317"/>
      <c r="G585" s="798"/>
      <c r="H585" s="1434"/>
      <c r="I585" s="415">
        <f>SUM(J585:Q585)</f>
        <v>31874</v>
      </c>
      <c r="J585" s="312"/>
      <c r="K585" s="312"/>
      <c r="L585" s="1094">
        <v>31874</v>
      </c>
      <c r="M585" s="312"/>
      <c r="N585" s="313"/>
    </row>
    <row r="586" spans="1:16" s="3" customFormat="1" ht="22.5" customHeight="1" x14ac:dyDescent="0.3">
      <c r="A586" s="194">
        <v>580</v>
      </c>
      <c r="B586" s="58"/>
      <c r="C586" s="59">
        <v>101</v>
      </c>
      <c r="D586" s="190" t="s">
        <v>84</v>
      </c>
      <c r="E586" s="795">
        <v>13500</v>
      </c>
      <c r="F586" s="795">
        <v>12500</v>
      </c>
      <c r="G586" s="796">
        <v>10000</v>
      </c>
      <c r="H586" s="1433" t="s">
        <v>23</v>
      </c>
      <c r="I586" s="317"/>
      <c r="J586" s="352"/>
      <c r="K586" s="352"/>
      <c r="L586" s="352"/>
      <c r="M586" s="352"/>
      <c r="N586" s="353"/>
      <c r="P586" s="7"/>
    </row>
    <row r="587" spans="1:16" s="318" customFormat="1" ht="18" customHeight="1" x14ac:dyDescent="0.3">
      <c r="A587" s="194">
        <v>581</v>
      </c>
      <c r="B587" s="315"/>
      <c r="C587" s="332"/>
      <c r="D587" s="316" t="s">
        <v>252</v>
      </c>
      <c r="E587" s="317"/>
      <c r="F587" s="317"/>
      <c r="G587" s="798"/>
      <c r="H587" s="1434"/>
      <c r="I587" s="317">
        <f>SUM(J587:N587)</f>
        <v>2500</v>
      </c>
      <c r="J587" s="312"/>
      <c r="K587" s="312"/>
      <c r="L587" s="312">
        <v>2500</v>
      </c>
      <c r="M587" s="312"/>
      <c r="N587" s="313"/>
    </row>
    <row r="588" spans="1:16" s="318" customFormat="1" ht="18" customHeight="1" x14ac:dyDescent="0.3">
      <c r="A588" s="194">
        <v>582</v>
      </c>
      <c r="B588" s="315"/>
      <c r="C588" s="332"/>
      <c r="D588" s="1003" t="s">
        <v>921</v>
      </c>
      <c r="E588" s="317"/>
      <c r="F588" s="317"/>
      <c r="G588" s="798"/>
      <c r="H588" s="1434"/>
      <c r="I588" s="1448">
        <f>SUM(J588:N588)</f>
        <v>2500</v>
      </c>
      <c r="J588" s="1093"/>
      <c r="K588" s="1093"/>
      <c r="L588" s="1093">
        <v>2500</v>
      </c>
      <c r="M588" s="312"/>
      <c r="N588" s="313"/>
    </row>
    <row r="589" spans="1:16" s="318" customFormat="1" ht="18" customHeight="1" x14ac:dyDescent="0.3">
      <c r="A589" s="194">
        <v>583</v>
      </c>
      <c r="B589" s="315"/>
      <c r="C589" s="332"/>
      <c r="D589" s="1002" t="s">
        <v>973</v>
      </c>
      <c r="E589" s="317"/>
      <c r="F589" s="317"/>
      <c r="G589" s="798"/>
      <c r="H589" s="1434"/>
      <c r="I589" s="415">
        <f>SUM(J589:Q589)</f>
        <v>2500</v>
      </c>
      <c r="J589" s="312"/>
      <c r="K589" s="312"/>
      <c r="L589" s="1094">
        <v>2500</v>
      </c>
      <c r="M589" s="312"/>
      <c r="N589" s="313"/>
    </row>
    <row r="590" spans="1:16" s="3" customFormat="1" ht="22.5" customHeight="1" x14ac:dyDescent="0.3">
      <c r="A590" s="194">
        <v>584</v>
      </c>
      <c r="B590" s="58"/>
      <c r="C590" s="59">
        <v>102</v>
      </c>
      <c r="D590" s="190" t="s">
        <v>85</v>
      </c>
      <c r="E590" s="795">
        <v>1200</v>
      </c>
      <c r="F590" s="795">
        <v>1200</v>
      </c>
      <c r="G590" s="796">
        <v>1200</v>
      </c>
      <c r="H590" s="1433" t="s">
        <v>23</v>
      </c>
      <c r="I590" s="317"/>
      <c r="J590" s="352"/>
      <c r="K590" s="352"/>
      <c r="L590" s="352"/>
      <c r="M590" s="352"/>
      <c r="N590" s="353"/>
      <c r="P590" s="7"/>
    </row>
    <row r="591" spans="1:16" s="318" customFormat="1" ht="18" customHeight="1" x14ac:dyDescent="0.3">
      <c r="A591" s="194">
        <v>585</v>
      </c>
      <c r="B591" s="315"/>
      <c r="C591" s="332"/>
      <c r="D591" s="316" t="s">
        <v>252</v>
      </c>
      <c r="E591" s="317"/>
      <c r="F591" s="317"/>
      <c r="G591" s="798"/>
      <c r="H591" s="1434"/>
      <c r="I591" s="317">
        <f>SUM(J591:N591)</f>
        <v>1200</v>
      </c>
      <c r="J591" s="312"/>
      <c r="K591" s="312"/>
      <c r="L591" s="312">
        <v>1200</v>
      </c>
      <c r="M591" s="312"/>
      <c r="N591" s="313"/>
    </row>
    <row r="592" spans="1:16" s="318" customFormat="1" ht="18" customHeight="1" x14ac:dyDescent="0.3">
      <c r="A592" s="194">
        <v>586</v>
      </c>
      <c r="B592" s="315"/>
      <c r="C592" s="332"/>
      <c r="D592" s="1003" t="s">
        <v>921</v>
      </c>
      <c r="E592" s="317"/>
      <c r="F592" s="317"/>
      <c r="G592" s="798"/>
      <c r="H592" s="1434"/>
      <c r="I592" s="1448">
        <f>SUM(J592:N592)</f>
        <v>1200</v>
      </c>
      <c r="J592" s="1093"/>
      <c r="K592" s="1093"/>
      <c r="L592" s="1093">
        <v>1200</v>
      </c>
      <c r="M592" s="312"/>
      <c r="N592" s="313"/>
    </row>
    <row r="593" spans="1:16" s="318" customFormat="1" ht="18" customHeight="1" x14ac:dyDescent="0.3">
      <c r="A593" s="194">
        <v>587</v>
      </c>
      <c r="B593" s="315"/>
      <c r="C593" s="332"/>
      <c r="D593" s="1002" t="s">
        <v>973</v>
      </c>
      <c r="E593" s="317"/>
      <c r="F593" s="317"/>
      <c r="G593" s="798"/>
      <c r="H593" s="1434"/>
      <c r="I593" s="415">
        <f>SUM(J593:Q593)</f>
        <v>0</v>
      </c>
      <c r="J593" s="312"/>
      <c r="K593" s="312"/>
      <c r="L593" s="1094">
        <v>0</v>
      </c>
      <c r="M593" s="312"/>
      <c r="N593" s="313"/>
    </row>
    <row r="594" spans="1:16" s="3" customFormat="1" ht="22.5" customHeight="1" x14ac:dyDescent="0.3">
      <c r="A594" s="194">
        <v>588</v>
      </c>
      <c r="B594" s="58"/>
      <c r="C594" s="59">
        <v>103</v>
      </c>
      <c r="D594" s="190" t="s">
        <v>86</v>
      </c>
      <c r="E594" s="795">
        <v>921</v>
      </c>
      <c r="F594" s="795">
        <v>3340</v>
      </c>
      <c r="G594" s="796">
        <v>1392</v>
      </c>
      <c r="H594" s="1433" t="s">
        <v>23</v>
      </c>
      <c r="I594" s="317"/>
      <c r="J594" s="352"/>
      <c r="K594" s="352"/>
      <c r="L594" s="352"/>
      <c r="M594" s="352"/>
      <c r="N594" s="353"/>
      <c r="P594" s="7"/>
    </row>
    <row r="595" spans="1:16" s="318" customFormat="1" ht="18" customHeight="1" x14ac:dyDescent="0.3">
      <c r="A595" s="194">
        <v>589</v>
      </c>
      <c r="B595" s="315"/>
      <c r="C595" s="332"/>
      <c r="D595" s="316" t="s">
        <v>252</v>
      </c>
      <c r="E595" s="317"/>
      <c r="F595" s="317"/>
      <c r="G595" s="798"/>
      <c r="H595" s="1434"/>
      <c r="I595" s="317">
        <f>SUM(J595:N595)</f>
        <v>4608</v>
      </c>
      <c r="J595" s="312"/>
      <c r="K595" s="312"/>
      <c r="L595" s="312">
        <f>3000+1608</f>
        <v>4608</v>
      </c>
      <c r="M595" s="312"/>
      <c r="N595" s="313"/>
    </row>
    <row r="596" spans="1:16" s="318" customFormat="1" ht="18" customHeight="1" x14ac:dyDescent="0.3">
      <c r="A596" s="194">
        <v>590</v>
      </c>
      <c r="B596" s="315"/>
      <c r="C596" s="332"/>
      <c r="D596" s="1003" t="s">
        <v>921</v>
      </c>
      <c r="E596" s="317"/>
      <c r="F596" s="317"/>
      <c r="G596" s="798"/>
      <c r="H596" s="1434"/>
      <c r="I596" s="1448">
        <f>SUM(J596:N596)</f>
        <v>4608</v>
      </c>
      <c r="J596" s="1093"/>
      <c r="K596" s="1093"/>
      <c r="L596" s="1093">
        <v>4608</v>
      </c>
      <c r="M596" s="312"/>
      <c r="N596" s="313"/>
    </row>
    <row r="597" spans="1:16" s="318" customFormat="1" ht="18" customHeight="1" x14ac:dyDescent="0.3">
      <c r="A597" s="194">
        <v>591</v>
      </c>
      <c r="B597" s="315"/>
      <c r="C597" s="332"/>
      <c r="D597" s="1002" t="s">
        <v>973</v>
      </c>
      <c r="E597" s="317"/>
      <c r="F597" s="317"/>
      <c r="G597" s="798"/>
      <c r="H597" s="1434"/>
      <c r="I597" s="415">
        <f>SUM(J597:Q597)</f>
        <v>773</v>
      </c>
      <c r="J597" s="312"/>
      <c r="K597" s="312"/>
      <c r="L597" s="1094">
        <v>773</v>
      </c>
      <c r="M597" s="312"/>
      <c r="N597" s="313"/>
    </row>
    <row r="598" spans="1:16" s="3" customFormat="1" ht="22.5" customHeight="1" x14ac:dyDescent="0.3">
      <c r="A598" s="194">
        <v>592</v>
      </c>
      <c r="B598" s="58"/>
      <c r="C598" s="59">
        <v>104</v>
      </c>
      <c r="D598" s="190" t="s">
        <v>424</v>
      </c>
      <c r="E598" s="795">
        <v>27501</v>
      </c>
      <c r="F598" s="795">
        <v>35932</v>
      </c>
      <c r="G598" s="796">
        <v>24989</v>
      </c>
      <c r="H598" s="1433" t="s">
        <v>23</v>
      </c>
      <c r="I598" s="317"/>
      <c r="J598" s="352"/>
      <c r="K598" s="352"/>
      <c r="L598" s="352"/>
      <c r="M598" s="352"/>
      <c r="N598" s="353"/>
      <c r="P598" s="7"/>
    </row>
    <row r="599" spans="1:16" s="318" customFormat="1" ht="18" customHeight="1" x14ac:dyDescent="0.3">
      <c r="A599" s="194">
        <v>593</v>
      </c>
      <c r="B599" s="315"/>
      <c r="C599" s="332"/>
      <c r="D599" s="316" t="s">
        <v>252</v>
      </c>
      <c r="E599" s="317"/>
      <c r="F599" s="317"/>
      <c r="G599" s="798"/>
      <c r="H599" s="1434"/>
      <c r="I599" s="317">
        <f>SUM(J599:N599)</f>
        <v>53144</v>
      </c>
      <c r="J599" s="312"/>
      <c r="K599" s="312"/>
      <c r="L599" s="312">
        <f>32400+20744</f>
        <v>53144</v>
      </c>
      <c r="M599" s="312"/>
      <c r="N599" s="313"/>
    </row>
    <row r="600" spans="1:16" s="318" customFormat="1" ht="18" customHeight="1" x14ac:dyDescent="0.3">
      <c r="A600" s="194">
        <v>594</v>
      </c>
      <c r="B600" s="315"/>
      <c r="C600" s="332"/>
      <c r="D600" s="1003" t="s">
        <v>921</v>
      </c>
      <c r="E600" s="317"/>
      <c r="F600" s="317"/>
      <c r="G600" s="798"/>
      <c r="H600" s="1434"/>
      <c r="I600" s="1448">
        <f>SUM(J600:N600)</f>
        <v>57644</v>
      </c>
      <c r="J600" s="1093"/>
      <c r="K600" s="1093"/>
      <c r="L600" s="1093">
        <v>57644</v>
      </c>
      <c r="M600" s="312"/>
      <c r="N600" s="313"/>
    </row>
    <row r="601" spans="1:16" s="318" customFormat="1" ht="18" customHeight="1" x14ac:dyDescent="0.3">
      <c r="A601" s="194">
        <v>595</v>
      </c>
      <c r="B601" s="315"/>
      <c r="C601" s="332"/>
      <c r="D601" s="1002" t="s">
        <v>972</v>
      </c>
      <c r="E601" s="317"/>
      <c r="F601" s="317"/>
      <c r="G601" s="798"/>
      <c r="H601" s="1434"/>
      <c r="I601" s="415">
        <f>SUM(J601:Q601)</f>
        <v>16798</v>
      </c>
      <c r="J601" s="312"/>
      <c r="K601" s="312"/>
      <c r="L601" s="1094">
        <v>16798</v>
      </c>
      <c r="M601" s="312"/>
      <c r="N601" s="313"/>
    </row>
    <row r="602" spans="1:16" s="3" customFormat="1" ht="22.5" customHeight="1" x14ac:dyDescent="0.3">
      <c r="A602" s="194">
        <v>596</v>
      </c>
      <c r="B602" s="58"/>
      <c r="C602" s="59">
        <v>105</v>
      </c>
      <c r="D602" s="190" t="s">
        <v>87</v>
      </c>
      <c r="E602" s="795">
        <v>359440</v>
      </c>
      <c r="F602" s="795">
        <v>735713</v>
      </c>
      <c r="G602" s="796">
        <v>682755</v>
      </c>
      <c r="H602" s="1433" t="s">
        <v>23</v>
      </c>
      <c r="I602" s="317"/>
      <c r="J602" s="352"/>
      <c r="K602" s="352"/>
      <c r="L602" s="352"/>
      <c r="M602" s="352"/>
      <c r="N602" s="353"/>
      <c r="P602" s="7"/>
    </row>
    <row r="603" spans="1:16" s="318" customFormat="1" ht="18" customHeight="1" x14ac:dyDescent="0.3">
      <c r="A603" s="194">
        <v>597</v>
      </c>
      <c r="B603" s="315"/>
      <c r="C603" s="332"/>
      <c r="D603" s="316" t="s">
        <v>252</v>
      </c>
      <c r="E603" s="317"/>
      <c r="F603" s="317"/>
      <c r="G603" s="798"/>
      <c r="H603" s="1434"/>
      <c r="I603" s="317">
        <f>SUM(J603:N603)</f>
        <v>897958</v>
      </c>
      <c r="J603" s="312"/>
      <c r="K603" s="312"/>
      <c r="L603" s="312">
        <f>845000+52958</f>
        <v>897958</v>
      </c>
      <c r="M603" s="312"/>
      <c r="N603" s="313"/>
    </row>
    <row r="604" spans="1:16" s="318" customFormat="1" ht="18" customHeight="1" x14ac:dyDescent="0.3">
      <c r="A604" s="194">
        <v>598</v>
      </c>
      <c r="B604" s="315"/>
      <c r="C604" s="332"/>
      <c r="D604" s="1003" t="s">
        <v>921</v>
      </c>
      <c r="E604" s="317"/>
      <c r="F604" s="317"/>
      <c r="G604" s="798"/>
      <c r="H604" s="1434"/>
      <c r="I604" s="317">
        <f>SUM(J604:N604)</f>
        <v>917607</v>
      </c>
      <c r="J604" s="312"/>
      <c r="K604" s="312"/>
      <c r="L604" s="312">
        <v>917607</v>
      </c>
      <c r="M604" s="312"/>
      <c r="N604" s="313"/>
    </row>
    <row r="605" spans="1:16" s="318" customFormat="1" ht="18" customHeight="1" x14ac:dyDescent="0.3">
      <c r="A605" s="194">
        <v>599</v>
      </c>
      <c r="B605" s="315"/>
      <c r="C605" s="332"/>
      <c r="D605" s="1002" t="s">
        <v>972</v>
      </c>
      <c r="E605" s="317"/>
      <c r="F605" s="317"/>
      <c r="G605" s="798"/>
      <c r="H605" s="1434"/>
      <c r="I605" s="415">
        <f>SUM(J605:Q605)</f>
        <v>379894</v>
      </c>
      <c r="J605" s="312"/>
      <c r="K605" s="312"/>
      <c r="L605" s="1094">
        <v>379894</v>
      </c>
      <c r="M605" s="312"/>
      <c r="N605" s="313"/>
    </row>
    <row r="606" spans="1:16" s="3" customFormat="1" ht="22.5" customHeight="1" x14ac:dyDescent="0.3">
      <c r="A606" s="194">
        <v>600</v>
      </c>
      <c r="B606" s="58"/>
      <c r="C606" s="59">
        <v>106</v>
      </c>
      <c r="D606" s="190" t="s">
        <v>88</v>
      </c>
      <c r="E606" s="795">
        <v>4005</v>
      </c>
      <c r="F606" s="795">
        <v>5000</v>
      </c>
      <c r="G606" s="796">
        <v>4285</v>
      </c>
      <c r="H606" s="1433" t="s">
        <v>23</v>
      </c>
      <c r="I606" s="317"/>
      <c r="J606" s="352"/>
      <c r="K606" s="352"/>
      <c r="L606" s="352"/>
      <c r="M606" s="352"/>
      <c r="N606" s="353"/>
      <c r="P606" s="7"/>
    </row>
    <row r="607" spans="1:16" s="318" customFormat="1" ht="18" customHeight="1" x14ac:dyDescent="0.3">
      <c r="A607" s="194">
        <v>601</v>
      </c>
      <c r="B607" s="315"/>
      <c r="C607" s="332"/>
      <c r="D607" s="316" t="s">
        <v>252</v>
      </c>
      <c r="E607" s="317"/>
      <c r="F607" s="317"/>
      <c r="G607" s="798"/>
      <c r="H607" s="1434"/>
      <c r="I607" s="317">
        <f>SUM(J607:N607)</f>
        <v>8959</v>
      </c>
      <c r="J607" s="312"/>
      <c r="K607" s="312"/>
      <c r="L607" s="312">
        <f>6000+2959</f>
        <v>8959</v>
      </c>
      <c r="M607" s="312"/>
      <c r="N607" s="313"/>
    </row>
    <row r="608" spans="1:16" s="318" customFormat="1" ht="18" customHeight="1" x14ac:dyDescent="0.3">
      <c r="A608" s="194">
        <v>602</v>
      </c>
      <c r="B608" s="315"/>
      <c r="C608" s="332"/>
      <c r="D608" s="1003" t="s">
        <v>921</v>
      </c>
      <c r="E608" s="317"/>
      <c r="F608" s="317"/>
      <c r="G608" s="798"/>
      <c r="H608" s="1434"/>
      <c r="I608" s="1448">
        <f>SUM(J608:N608)</f>
        <v>8959</v>
      </c>
      <c r="J608" s="1093"/>
      <c r="K608" s="1093"/>
      <c r="L608" s="1093">
        <v>8959</v>
      </c>
      <c r="M608" s="312"/>
      <c r="N608" s="313"/>
    </row>
    <row r="609" spans="1:16" s="318" customFormat="1" ht="18" customHeight="1" x14ac:dyDescent="0.3">
      <c r="A609" s="194">
        <v>603</v>
      </c>
      <c r="B609" s="315"/>
      <c r="C609" s="332"/>
      <c r="D609" s="1002" t="s">
        <v>973</v>
      </c>
      <c r="E609" s="317"/>
      <c r="F609" s="317"/>
      <c r="G609" s="798"/>
      <c r="H609" s="1434"/>
      <c r="I609" s="415">
        <f>SUM(J609:Q609)</f>
        <v>2044</v>
      </c>
      <c r="J609" s="312"/>
      <c r="K609" s="312"/>
      <c r="L609" s="1094">
        <v>2044</v>
      </c>
      <c r="M609" s="312"/>
      <c r="N609" s="313"/>
    </row>
    <row r="610" spans="1:16" s="3" customFormat="1" ht="22.5" customHeight="1" x14ac:dyDescent="0.3">
      <c r="A610" s="194">
        <v>604</v>
      </c>
      <c r="B610" s="58"/>
      <c r="C610" s="59">
        <v>107</v>
      </c>
      <c r="D610" s="190" t="s">
        <v>89</v>
      </c>
      <c r="E610" s="795">
        <v>421</v>
      </c>
      <c r="F610" s="795">
        <v>10886</v>
      </c>
      <c r="G610" s="796">
        <v>3251</v>
      </c>
      <c r="H610" s="1433" t="s">
        <v>23</v>
      </c>
      <c r="I610" s="317"/>
      <c r="J610" s="352"/>
      <c r="K610" s="352"/>
      <c r="L610" s="352"/>
      <c r="M610" s="352"/>
      <c r="N610" s="353"/>
      <c r="P610" s="7"/>
    </row>
    <row r="611" spans="1:16" s="318" customFormat="1" ht="18" customHeight="1" x14ac:dyDescent="0.3">
      <c r="A611" s="194">
        <v>605</v>
      </c>
      <c r="B611" s="315"/>
      <c r="C611" s="332"/>
      <c r="D611" s="316" t="s">
        <v>252</v>
      </c>
      <c r="E611" s="317"/>
      <c r="F611" s="317"/>
      <c r="G611" s="798"/>
      <c r="H611" s="1434"/>
      <c r="I611" s="317">
        <f>SUM(J611:N611)</f>
        <v>9635</v>
      </c>
      <c r="J611" s="312"/>
      <c r="K611" s="312"/>
      <c r="L611" s="312">
        <f>8000+1635</f>
        <v>9635</v>
      </c>
      <c r="M611" s="312"/>
      <c r="N611" s="313"/>
    </row>
    <row r="612" spans="1:16" s="318" customFormat="1" ht="18" customHeight="1" x14ac:dyDescent="0.3">
      <c r="A612" s="194">
        <v>606</v>
      </c>
      <c r="B612" s="315"/>
      <c r="C612" s="332"/>
      <c r="D612" s="1003" t="s">
        <v>921</v>
      </c>
      <c r="E612" s="317"/>
      <c r="F612" s="317"/>
      <c r="G612" s="798"/>
      <c r="H612" s="1434"/>
      <c r="I612" s="1448">
        <f>SUM(J612:N612)</f>
        <v>6635</v>
      </c>
      <c r="J612" s="1093"/>
      <c r="K612" s="1093"/>
      <c r="L612" s="1093">
        <v>6635</v>
      </c>
      <c r="M612" s="312"/>
      <c r="N612" s="313"/>
    </row>
    <row r="613" spans="1:16" s="318" customFormat="1" ht="18" customHeight="1" x14ac:dyDescent="0.3">
      <c r="A613" s="194">
        <v>607</v>
      </c>
      <c r="B613" s="315"/>
      <c r="C613" s="332"/>
      <c r="D613" s="1002" t="s">
        <v>972</v>
      </c>
      <c r="E613" s="317"/>
      <c r="F613" s="317"/>
      <c r="G613" s="798"/>
      <c r="H613" s="1434"/>
      <c r="I613" s="415">
        <f>SUM(J613:Q613)</f>
        <v>1368</v>
      </c>
      <c r="J613" s="312"/>
      <c r="K613" s="312"/>
      <c r="L613" s="1094">
        <v>1368</v>
      </c>
      <c r="M613" s="312"/>
      <c r="N613" s="313"/>
    </row>
    <row r="614" spans="1:16" s="3" customFormat="1" ht="22.5" customHeight="1" x14ac:dyDescent="0.3">
      <c r="A614" s="194">
        <v>608</v>
      </c>
      <c r="B614" s="58"/>
      <c r="C614" s="59">
        <v>108</v>
      </c>
      <c r="D614" s="190" t="s">
        <v>90</v>
      </c>
      <c r="E614" s="795">
        <v>43</v>
      </c>
      <c r="F614" s="795">
        <v>2720</v>
      </c>
      <c r="G614" s="796">
        <v>436</v>
      </c>
      <c r="H614" s="1433" t="s">
        <v>23</v>
      </c>
      <c r="I614" s="317"/>
      <c r="J614" s="352"/>
      <c r="K614" s="352"/>
      <c r="L614" s="352"/>
      <c r="M614" s="352"/>
      <c r="N614" s="353"/>
      <c r="P614" s="7"/>
    </row>
    <row r="615" spans="1:16" s="318" customFormat="1" ht="18" customHeight="1" x14ac:dyDescent="0.3">
      <c r="A615" s="194">
        <v>609</v>
      </c>
      <c r="B615" s="315"/>
      <c r="C615" s="332"/>
      <c r="D615" s="316" t="s">
        <v>252</v>
      </c>
      <c r="E615" s="317"/>
      <c r="F615" s="317"/>
      <c r="G615" s="798"/>
      <c r="H615" s="1434"/>
      <c r="I615" s="317">
        <f>SUM(J615:N615)</f>
        <v>2700</v>
      </c>
      <c r="J615" s="312"/>
      <c r="K615" s="312"/>
      <c r="L615" s="312">
        <v>2700</v>
      </c>
      <c r="M615" s="312"/>
      <c r="N615" s="313"/>
    </row>
    <row r="616" spans="1:16" s="318" customFormat="1" ht="18" customHeight="1" x14ac:dyDescent="0.3">
      <c r="A616" s="194">
        <v>610</v>
      </c>
      <c r="B616" s="315"/>
      <c r="C616" s="332"/>
      <c r="D616" s="1003" t="s">
        <v>921</v>
      </c>
      <c r="E616" s="317"/>
      <c r="F616" s="317"/>
      <c r="G616" s="798"/>
      <c r="H616" s="1434"/>
      <c r="I616" s="1448">
        <f>SUM(J616:N616)</f>
        <v>7984</v>
      </c>
      <c r="J616" s="1093"/>
      <c r="K616" s="1093"/>
      <c r="L616" s="1093">
        <v>7984</v>
      </c>
      <c r="M616" s="312"/>
      <c r="N616" s="313"/>
    </row>
    <row r="617" spans="1:16" s="318" customFormat="1" ht="18" customHeight="1" x14ac:dyDescent="0.3">
      <c r="A617" s="194">
        <v>611</v>
      </c>
      <c r="B617" s="315"/>
      <c r="C617" s="332"/>
      <c r="D617" s="1002" t="s">
        <v>972</v>
      </c>
      <c r="E617" s="317"/>
      <c r="F617" s="317"/>
      <c r="G617" s="798"/>
      <c r="H617" s="1434"/>
      <c r="I617" s="415">
        <f>SUM(J617:Q617)</f>
        <v>0</v>
      </c>
      <c r="J617" s="312"/>
      <c r="K617" s="312"/>
      <c r="L617" s="1094">
        <v>0</v>
      </c>
      <c r="M617" s="312"/>
      <c r="N617" s="313"/>
    </row>
    <row r="618" spans="1:16" s="3" customFormat="1" ht="22.5" customHeight="1" x14ac:dyDescent="0.3">
      <c r="A618" s="194">
        <v>612</v>
      </c>
      <c r="B618" s="58"/>
      <c r="C618" s="59">
        <v>109</v>
      </c>
      <c r="D618" s="193" t="s">
        <v>256</v>
      </c>
      <c r="E618" s="795">
        <v>98877</v>
      </c>
      <c r="F618" s="795">
        <v>143189</v>
      </c>
      <c r="G618" s="796">
        <v>101213</v>
      </c>
      <c r="H618" s="1433" t="s">
        <v>23</v>
      </c>
      <c r="I618" s="317"/>
      <c r="J618" s="352"/>
      <c r="K618" s="352"/>
      <c r="L618" s="352"/>
      <c r="M618" s="352"/>
      <c r="N618" s="353"/>
      <c r="P618" s="7"/>
    </row>
    <row r="619" spans="1:16" s="318" customFormat="1" ht="18" customHeight="1" x14ac:dyDescent="0.3">
      <c r="A619" s="194">
        <v>613</v>
      </c>
      <c r="B619" s="315"/>
      <c r="C619" s="332"/>
      <c r="D619" s="316" t="s">
        <v>252</v>
      </c>
      <c r="E619" s="317"/>
      <c r="F619" s="317"/>
      <c r="G619" s="798"/>
      <c r="H619" s="1434"/>
      <c r="I619" s="317">
        <f>SUM(J619:N619)</f>
        <v>100864</v>
      </c>
      <c r="J619" s="312"/>
      <c r="K619" s="312"/>
      <c r="L619" s="312">
        <v>100864</v>
      </c>
      <c r="M619" s="312"/>
      <c r="N619" s="313"/>
    </row>
    <row r="620" spans="1:16" s="318" customFormat="1" ht="18" customHeight="1" x14ac:dyDescent="0.3">
      <c r="A620" s="194">
        <v>614</v>
      </c>
      <c r="B620" s="315"/>
      <c r="C620" s="332"/>
      <c r="D620" s="1003" t="s">
        <v>921</v>
      </c>
      <c r="E620" s="317"/>
      <c r="F620" s="317"/>
      <c r="G620" s="798"/>
      <c r="H620" s="1434"/>
      <c r="I620" s="1448">
        <f>SUM(J620:N620)</f>
        <v>117446</v>
      </c>
      <c r="J620" s="1093"/>
      <c r="K620" s="1093"/>
      <c r="L620" s="1093">
        <v>117446</v>
      </c>
      <c r="M620" s="312"/>
      <c r="N620" s="313"/>
    </row>
    <row r="621" spans="1:16" s="318" customFormat="1" ht="18" customHeight="1" x14ac:dyDescent="0.3">
      <c r="A621" s="194">
        <v>615</v>
      </c>
      <c r="B621" s="315"/>
      <c r="C621" s="332"/>
      <c r="D621" s="1002" t="s">
        <v>972</v>
      </c>
      <c r="E621" s="317"/>
      <c r="F621" s="317"/>
      <c r="G621" s="798"/>
      <c r="H621" s="1434"/>
      <c r="I621" s="415">
        <f>SUM(J621:Q621)</f>
        <v>45272</v>
      </c>
      <c r="J621" s="312"/>
      <c r="K621" s="312"/>
      <c r="L621" s="1094">
        <v>45272</v>
      </c>
      <c r="M621" s="312"/>
      <c r="N621" s="313"/>
    </row>
    <row r="622" spans="1:16" s="3" customFormat="1" ht="22.5" customHeight="1" x14ac:dyDescent="0.3">
      <c r="A622" s="194">
        <v>616</v>
      </c>
      <c r="B622" s="58"/>
      <c r="C622" s="59">
        <v>110</v>
      </c>
      <c r="D622" s="193" t="s">
        <v>366</v>
      </c>
      <c r="E622" s="795">
        <v>78300</v>
      </c>
      <c r="F622" s="795">
        <v>69000</v>
      </c>
      <c r="G622" s="796">
        <v>67900</v>
      </c>
      <c r="H622" s="1433" t="s">
        <v>23</v>
      </c>
      <c r="I622" s="317"/>
      <c r="J622" s="352"/>
      <c r="K622" s="352"/>
      <c r="L622" s="352"/>
      <c r="M622" s="352"/>
      <c r="N622" s="353"/>
      <c r="P622" s="7"/>
    </row>
    <row r="623" spans="1:16" s="318" customFormat="1" ht="18" customHeight="1" x14ac:dyDescent="0.3">
      <c r="A623" s="194">
        <v>617</v>
      </c>
      <c r="B623" s="315"/>
      <c r="C623" s="332"/>
      <c r="D623" s="316" t="s">
        <v>252</v>
      </c>
      <c r="E623" s="317"/>
      <c r="F623" s="317"/>
      <c r="G623" s="798"/>
      <c r="H623" s="1434"/>
      <c r="I623" s="317">
        <f>SUM(J623:N623)</f>
        <v>82100</v>
      </c>
      <c r="J623" s="312"/>
      <c r="K623" s="312"/>
      <c r="L623" s="312">
        <f>80000+2100</f>
        <v>82100</v>
      </c>
      <c r="M623" s="312"/>
      <c r="N623" s="313"/>
    </row>
    <row r="624" spans="1:16" s="318" customFormat="1" ht="18" customHeight="1" x14ac:dyDescent="0.3">
      <c r="A624" s="194">
        <v>618</v>
      </c>
      <c r="B624" s="315"/>
      <c r="C624" s="332"/>
      <c r="D624" s="1003" t="s">
        <v>921</v>
      </c>
      <c r="E624" s="317"/>
      <c r="F624" s="317"/>
      <c r="G624" s="798"/>
      <c r="H624" s="1434"/>
      <c r="I624" s="1448">
        <f>SUM(J624:N624)</f>
        <v>82100</v>
      </c>
      <c r="J624" s="1093"/>
      <c r="K624" s="1093"/>
      <c r="L624" s="1093">
        <v>82100</v>
      </c>
      <c r="M624" s="1093"/>
      <c r="N624" s="313"/>
    </row>
    <row r="625" spans="1:16" s="318" customFormat="1" ht="18" customHeight="1" x14ac:dyDescent="0.3">
      <c r="A625" s="194">
        <v>619</v>
      </c>
      <c r="B625" s="315"/>
      <c r="C625" s="332"/>
      <c r="D625" s="1002" t="s">
        <v>973</v>
      </c>
      <c r="E625" s="317"/>
      <c r="F625" s="317"/>
      <c r="G625" s="798"/>
      <c r="H625" s="1434"/>
      <c r="I625" s="415">
        <f>SUM(J625:Q625)</f>
        <v>36000</v>
      </c>
      <c r="J625" s="312"/>
      <c r="K625" s="312"/>
      <c r="L625" s="1094">
        <v>36000</v>
      </c>
      <c r="M625" s="312"/>
      <c r="N625" s="313"/>
    </row>
    <row r="626" spans="1:16" s="3" customFormat="1" ht="22.5" customHeight="1" x14ac:dyDescent="0.3">
      <c r="A626" s="194">
        <v>620</v>
      </c>
      <c r="B626" s="58"/>
      <c r="C626" s="59">
        <v>111</v>
      </c>
      <c r="D626" s="193" t="s">
        <v>217</v>
      </c>
      <c r="E626" s="795">
        <v>20000</v>
      </c>
      <c r="F626" s="795">
        <v>20000</v>
      </c>
      <c r="G626" s="796">
        <v>20000</v>
      </c>
      <c r="H626" s="1433" t="s">
        <v>23</v>
      </c>
      <c r="I626" s="317"/>
      <c r="J626" s="352"/>
      <c r="K626" s="352"/>
      <c r="L626" s="352"/>
      <c r="M626" s="352"/>
      <c r="N626" s="353"/>
      <c r="P626" s="7"/>
    </row>
    <row r="627" spans="1:16" s="318" customFormat="1" ht="18" customHeight="1" x14ac:dyDescent="0.3">
      <c r="A627" s="194">
        <v>621</v>
      </c>
      <c r="B627" s="315"/>
      <c r="C627" s="332"/>
      <c r="D627" s="316" t="s">
        <v>252</v>
      </c>
      <c r="E627" s="317"/>
      <c r="F627" s="317"/>
      <c r="G627" s="798"/>
      <c r="H627" s="1434"/>
      <c r="I627" s="317">
        <f>SUM(J627:N627)</f>
        <v>20000</v>
      </c>
      <c r="J627" s="312"/>
      <c r="K627" s="312"/>
      <c r="L627" s="312">
        <v>20000</v>
      </c>
      <c r="M627" s="312"/>
      <c r="N627" s="313"/>
    </row>
    <row r="628" spans="1:16" s="318" customFormat="1" ht="18" customHeight="1" x14ac:dyDescent="0.3">
      <c r="A628" s="194">
        <v>622</v>
      </c>
      <c r="B628" s="315"/>
      <c r="C628" s="332"/>
      <c r="D628" s="1003" t="s">
        <v>921</v>
      </c>
      <c r="E628" s="317"/>
      <c r="F628" s="317"/>
      <c r="G628" s="798"/>
      <c r="H628" s="1437"/>
      <c r="I628" s="1448">
        <f>SUM(J628:N628)</f>
        <v>20000</v>
      </c>
      <c r="J628" s="1093"/>
      <c r="K628" s="1093"/>
      <c r="L628" s="1093">
        <v>20000</v>
      </c>
      <c r="M628" s="312"/>
      <c r="N628" s="313"/>
    </row>
    <row r="629" spans="1:16" s="318" customFormat="1" ht="18" customHeight="1" x14ac:dyDescent="0.3">
      <c r="A629" s="194">
        <v>623</v>
      </c>
      <c r="B629" s="315"/>
      <c r="C629" s="332"/>
      <c r="D629" s="1002" t="s">
        <v>973</v>
      </c>
      <c r="E629" s="317"/>
      <c r="F629" s="317"/>
      <c r="G629" s="798"/>
      <c r="H629" s="1437"/>
      <c r="I629" s="415">
        <f>SUM(J629:Q629)</f>
        <v>0</v>
      </c>
      <c r="J629" s="312"/>
      <c r="K629" s="312"/>
      <c r="L629" s="1094">
        <v>0</v>
      </c>
      <c r="M629" s="312"/>
      <c r="N629" s="313"/>
    </row>
    <row r="630" spans="1:16" s="3" customFormat="1" ht="22.5" customHeight="1" x14ac:dyDescent="0.3">
      <c r="A630" s="194">
        <v>624</v>
      </c>
      <c r="B630" s="58"/>
      <c r="C630" s="59">
        <v>112</v>
      </c>
      <c r="D630" s="190" t="s">
        <v>216</v>
      </c>
      <c r="E630" s="795">
        <v>1999</v>
      </c>
      <c r="F630" s="795">
        <v>1500</v>
      </c>
      <c r="G630" s="796">
        <v>715</v>
      </c>
      <c r="H630" s="1432" t="s">
        <v>23</v>
      </c>
      <c r="I630" s="317"/>
      <c r="J630" s="352"/>
      <c r="K630" s="352"/>
      <c r="L630" s="352"/>
      <c r="M630" s="352"/>
      <c r="N630" s="353"/>
      <c r="P630" s="7"/>
    </row>
    <row r="631" spans="1:16" s="318" customFormat="1" ht="18" customHeight="1" x14ac:dyDescent="0.3">
      <c r="A631" s="194">
        <v>625</v>
      </c>
      <c r="B631" s="328"/>
      <c r="C631" s="332"/>
      <c r="D631" s="316" t="s">
        <v>252</v>
      </c>
      <c r="E631" s="806"/>
      <c r="F631" s="806"/>
      <c r="G631" s="807"/>
      <c r="H631" s="1437"/>
      <c r="I631" s="317">
        <f>SUM(J631:N631)</f>
        <v>2785</v>
      </c>
      <c r="J631" s="319"/>
      <c r="K631" s="319"/>
      <c r="L631" s="319">
        <f>2000+785</f>
        <v>2785</v>
      </c>
      <c r="M631" s="319"/>
      <c r="N631" s="320"/>
    </row>
    <row r="632" spans="1:16" s="318" customFormat="1" ht="18" customHeight="1" x14ac:dyDescent="0.3">
      <c r="A632" s="194">
        <v>626</v>
      </c>
      <c r="B632" s="328"/>
      <c r="C632" s="332"/>
      <c r="D632" s="1003" t="s">
        <v>921</v>
      </c>
      <c r="E632" s="806"/>
      <c r="F632" s="806"/>
      <c r="G632" s="807"/>
      <c r="H632" s="1437"/>
      <c r="I632" s="1448">
        <f>SUM(J632:N632)</f>
        <v>2785</v>
      </c>
      <c r="J632" s="1091"/>
      <c r="K632" s="1091"/>
      <c r="L632" s="1091">
        <v>2785</v>
      </c>
      <c r="M632" s="319"/>
      <c r="N632" s="320"/>
    </row>
    <row r="633" spans="1:16" s="318" customFormat="1" ht="18" customHeight="1" x14ac:dyDescent="0.3">
      <c r="A633" s="194">
        <v>627</v>
      </c>
      <c r="B633" s="328"/>
      <c r="C633" s="332"/>
      <c r="D633" s="1002" t="s">
        <v>973</v>
      </c>
      <c r="E633" s="806"/>
      <c r="F633" s="806"/>
      <c r="G633" s="807"/>
      <c r="H633" s="1437"/>
      <c r="I633" s="415">
        <f>SUM(J633:Q633)</f>
        <v>912</v>
      </c>
      <c r="J633" s="319"/>
      <c r="K633" s="319"/>
      <c r="L633" s="1097">
        <v>912</v>
      </c>
      <c r="M633" s="319"/>
      <c r="N633" s="320"/>
    </row>
    <row r="634" spans="1:16" s="3" customFormat="1" ht="22.5" customHeight="1" x14ac:dyDescent="0.3">
      <c r="A634" s="194">
        <v>628</v>
      </c>
      <c r="B634" s="58"/>
      <c r="C634" s="59">
        <v>113</v>
      </c>
      <c r="D634" s="190" t="s">
        <v>289</v>
      </c>
      <c r="E634" s="795">
        <v>3488</v>
      </c>
      <c r="F634" s="795">
        <v>17117</v>
      </c>
      <c r="G634" s="796">
        <v>13301</v>
      </c>
      <c r="H634" s="1433" t="s">
        <v>24</v>
      </c>
      <c r="I634" s="317"/>
      <c r="J634" s="352"/>
      <c r="K634" s="352"/>
      <c r="L634" s="352"/>
      <c r="M634" s="352"/>
      <c r="N634" s="353"/>
      <c r="P634" s="7"/>
    </row>
    <row r="635" spans="1:16" s="318" customFormat="1" ht="18" customHeight="1" x14ac:dyDescent="0.3">
      <c r="A635" s="194">
        <v>629</v>
      </c>
      <c r="B635" s="315"/>
      <c r="C635" s="332"/>
      <c r="D635" s="316" t="s">
        <v>252</v>
      </c>
      <c r="E635" s="317"/>
      <c r="F635" s="317"/>
      <c r="G635" s="798"/>
      <c r="H635" s="1434"/>
      <c r="I635" s="317">
        <f>SUM(J635:N635)</f>
        <v>20866</v>
      </c>
      <c r="J635" s="312"/>
      <c r="K635" s="312"/>
      <c r="L635" s="312">
        <f>17050+3816</f>
        <v>20866</v>
      </c>
      <c r="M635" s="312"/>
      <c r="N635" s="313"/>
    </row>
    <row r="636" spans="1:16" s="318" customFormat="1" ht="18" customHeight="1" x14ac:dyDescent="0.3">
      <c r="A636" s="194">
        <v>630</v>
      </c>
      <c r="B636" s="315"/>
      <c r="C636" s="332"/>
      <c r="D636" s="1003" t="s">
        <v>921</v>
      </c>
      <c r="E636" s="317"/>
      <c r="F636" s="317"/>
      <c r="G636" s="798"/>
      <c r="H636" s="1434"/>
      <c r="I636" s="1448">
        <f>SUM(J636:N636)</f>
        <v>20019</v>
      </c>
      <c r="J636" s="1093"/>
      <c r="K636" s="1093"/>
      <c r="L636" s="1093">
        <v>20019</v>
      </c>
      <c r="M636" s="312"/>
      <c r="N636" s="313"/>
    </row>
    <row r="637" spans="1:16" s="318" customFormat="1" ht="18" customHeight="1" x14ac:dyDescent="0.3">
      <c r="A637" s="194">
        <v>631</v>
      </c>
      <c r="B637" s="315"/>
      <c r="C637" s="332"/>
      <c r="D637" s="1002" t="s">
        <v>972</v>
      </c>
      <c r="E637" s="317"/>
      <c r="F637" s="317"/>
      <c r="G637" s="798"/>
      <c r="H637" s="1434"/>
      <c r="I637" s="415">
        <f>SUM(J637:Q637)</f>
        <v>2909</v>
      </c>
      <c r="J637" s="312"/>
      <c r="K637" s="312"/>
      <c r="L637" s="1094">
        <v>2909</v>
      </c>
      <c r="M637" s="312"/>
      <c r="N637" s="313"/>
    </row>
    <row r="638" spans="1:16" s="3" customFormat="1" ht="22.5" customHeight="1" x14ac:dyDescent="0.3">
      <c r="A638" s="194">
        <v>632</v>
      </c>
      <c r="B638" s="58"/>
      <c r="C638" s="59">
        <v>114</v>
      </c>
      <c r="D638" s="190" t="s">
        <v>825</v>
      </c>
      <c r="E638" s="795">
        <v>5026</v>
      </c>
      <c r="F638" s="795">
        <v>15088</v>
      </c>
      <c r="G638" s="796">
        <v>3646</v>
      </c>
      <c r="H638" s="1433" t="s">
        <v>23</v>
      </c>
      <c r="I638" s="317"/>
      <c r="J638" s="352"/>
      <c r="K638" s="352"/>
      <c r="L638" s="352"/>
      <c r="M638" s="352"/>
      <c r="N638" s="353"/>
      <c r="P638" s="7"/>
    </row>
    <row r="639" spans="1:16" s="318" customFormat="1" ht="18" customHeight="1" x14ac:dyDescent="0.3">
      <c r="A639" s="194">
        <v>633</v>
      </c>
      <c r="B639" s="315"/>
      <c r="C639" s="332"/>
      <c r="D639" s="316" t="s">
        <v>252</v>
      </c>
      <c r="E639" s="317"/>
      <c r="F639" s="317"/>
      <c r="G639" s="798"/>
      <c r="H639" s="1434"/>
      <c r="I639" s="317">
        <f>SUM(J639:N639)</f>
        <v>23042</v>
      </c>
      <c r="J639" s="312"/>
      <c r="K639" s="312"/>
      <c r="L639" s="312">
        <f>11600+11442</f>
        <v>23042</v>
      </c>
      <c r="M639" s="312"/>
      <c r="N639" s="313"/>
    </row>
    <row r="640" spans="1:16" s="318" customFormat="1" ht="18" customHeight="1" x14ac:dyDescent="0.3">
      <c r="A640" s="194">
        <v>634</v>
      </c>
      <c r="B640" s="315"/>
      <c r="C640" s="332"/>
      <c r="D640" s="1003" t="s">
        <v>921</v>
      </c>
      <c r="E640" s="317"/>
      <c r="F640" s="317"/>
      <c r="G640" s="798"/>
      <c r="H640" s="1434"/>
      <c r="I640" s="1448">
        <f>SUM(J640:N640)</f>
        <v>23042</v>
      </c>
      <c r="J640" s="1093"/>
      <c r="K640" s="1093"/>
      <c r="L640" s="1093">
        <v>23042</v>
      </c>
      <c r="M640" s="312"/>
      <c r="N640" s="313"/>
    </row>
    <row r="641" spans="1:16" s="318" customFormat="1" ht="18" customHeight="1" x14ac:dyDescent="0.3">
      <c r="A641" s="194">
        <v>635</v>
      </c>
      <c r="B641" s="315"/>
      <c r="C641" s="332"/>
      <c r="D641" s="1002" t="s">
        <v>973</v>
      </c>
      <c r="E641" s="317"/>
      <c r="F641" s="317"/>
      <c r="G641" s="798"/>
      <c r="H641" s="1434"/>
      <c r="I641" s="415">
        <f>SUM(J641:Q641)</f>
        <v>713</v>
      </c>
      <c r="J641" s="312"/>
      <c r="K641" s="312"/>
      <c r="L641" s="1094">
        <v>713</v>
      </c>
      <c r="M641" s="312"/>
      <c r="N641" s="313"/>
    </row>
    <row r="642" spans="1:16" s="318" customFormat="1" ht="22.5" customHeight="1" x14ac:dyDescent="0.3">
      <c r="A642" s="194">
        <v>636</v>
      </c>
      <c r="B642" s="315"/>
      <c r="C642" s="59">
        <v>115</v>
      </c>
      <c r="D642" s="190" t="s">
        <v>386</v>
      </c>
      <c r="E642" s="795">
        <v>10913</v>
      </c>
      <c r="F642" s="795">
        <v>20000</v>
      </c>
      <c r="G642" s="796">
        <v>18042</v>
      </c>
      <c r="H642" s="1433" t="s">
        <v>23</v>
      </c>
      <c r="I642" s="317"/>
      <c r="J642" s="312"/>
      <c r="K642" s="312"/>
      <c r="L642" s="312"/>
      <c r="M642" s="312"/>
      <c r="N642" s="313"/>
    </row>
    <row r="643" spans="1:16" s="318" customFormat="1" ht="18" customHeight="1" x14ac:dyDescent="0.3">
      <c r="A643" s="194">
        <v>637</v>
      </c>
      <c r="B643" s="315"/>
      <c r="C643" s="332"/>
      <c r="D643" s="316" t="s">
        <v>252</v>
      </c>
      <c r="E643" s="317"/>
      <c r="F643" s="317"/>
      <c r="G643" s="798"/>
      <c r="H643" s="1434"/>
      <c r="I643" s="317">
        <f>SUM(J643:N643)</f>
        <v>20182</v>
      </c>
      <c r="J643" s="312"/>
      <c r="K643" s="312"/>
      <c r="L643" s="312">
        <f>18000+2182</f>
        <v>20182</v>
      </c>
      <c r="M643" s="312"/>
      <c r="N643" s="313"/>
    </row>
    <row r="644" spans="1:16" s="318" customFormat="1" ht="18" customHeight="1" x14ac:dyDescent="0.3">
      <c r="A644" s="194">
        <v>638</v>
      </c>
      <c r="B644" s="315"/>
      <c r="C644" s="332"/>
      <c r="D644" s="1003" t="s">
        <v>921</v>
      </c>
      <c r="E644" s="317"/>
      <c r="F644" s="317"/>
      <c r="G644" s="798"/>
      <c r="H644" s="1434"/>
      <c r="I644" s="1448">
        <f>SUM(J644:N644)</f>
        <v>20182</v>
      </c>
      <c r="J644" s="1093"/>
      <c r="K644" s="1093"/>
      <c r="L644" s="1093">
        <v>20182</v>
      </c>
      <c r="M644" s="312"/>
      <c r="N644" s="313"/>
    </row>
    <row r="645" spans="1:16" s="318" customFormat="1" ht="18" customHeight="1" x14ac:dyDescent="0.3">
      <c r="A645" s="194">
        <v>639</v>
      </c>
      <c r="B645" s="315"/>
      <c r="C645" s="332"/>
      <c r="D645" s="1002" t="s">
        <v>973</v>
      </c>
      <c r="E645" s="317"/>
      <c r="F645" s="317"/>
      <c r="G645" s="798"/>
      <c r="H645" s="1434"/>
      <c r="I645" s="415">
        <f>SUM(J645:Q645)</f>
        <v>6040</v>
      </c>
      <c r="J645" s="312"/>
      <c r="K645" s="312"/>
      <c r="L645" s="1094">
        <v>6040</v>
      </c>
      <c r="M645" s="312"/>
      <c r="N645" s="313"/>
    </row>
    <row r="646" spans="1:16" s="7" customFormat="1" ht="22.5" customHeight="1" x14ac:dyDescent="0.3">
      <c r="A646" s="194">
        <v>640</v>
      </c>
      <c r="B646" s="65"/>
      <c r="C646" s="59">
        <v>116</v>
      </c>
      <c r="D646" s="190" t="s">
        <v>238</v>
      </c>
      <c r="E646" s="795">
        <v>166583</v>
      </c>
      <c r="F646" s="795">
        <v>222689</v>
      </c>
      <c r="G646" s="796">
        <v>225831</v>
      </c>
      <c r="H646" s="1433" t="s">
        <v>23</v>
      </c>
      <c r="I646" s="1449"/>
      <c r="J646" s="356"/>
      <c r="K646" s="356"/>
      <c r="L646" s="356"/>
      <c r="M646" s="356"/>
      <c r="N646" s="357"/>
    </row>
    <row r="647" spans="1:16" s="318" customFormat="1" ht="18" customHeight="1" x14ac:dyDescent="0.3">
      <c r="A647" s="194">
        <v>641</v>
      </c>
      <c r="B647" s="315"/>
      <c r="C647" s="332"/>
      <c r="D647" s="316" t="s">
        <v>252</v>
      </c>
      <c r="E647" s="317"/>
      <c r="F647" s="317"/>
      <c r="G647" s="798"/>
      <c r="H647" s="1434"/>
      <c r="I647" s="317">
        <f>SUM(J647:N647)</f>
        <v>249886</v>
      </c>
      <c r="J647" s="312"/>
      <c r="K647" s="312"/>
      <c r="L647" s="312">
        <v>249886</v>
      </c>
      <c r="M647" s="312"/>
      <c r="N647" s="313"/>
    </row>
    <row r="648" spans="1:16" s="318" customFormat="1" ht="18" customHeight="1" x14ac:dyDescent="0.3">
      <c r="A648" s="194">
        <v>642</v>
      </c>
      <c r="B648" s="315"/>
      <c r="C648" s="332"/>
      <c r="D648" s="1003" t="s">
        <v>921</v>
      </c>
      <c r="E648" s="317"/>
      <c r="F648" s="317"/>
      <c r="G648" s="798"/>
      <c r="H648" s="1434"/>
      <c r="I648" s="1448">
        <f>SUM(J648:N648)</f>
        <v>249886</v>
      </c>
      <c r="J648" s="1093"/>
      <c r="K648" s="1093"/>
      <c r="L648" s="1093">
        <v>249886</v>
      </c>
      <c r="M648" s="312"/>
      <c r="N648" s="313"/>
    </row>
    <row r="649" spans="1:16" s="318" customFormat="1" ht="18" customHeight="1" x14ac:dyDescent="0.3">
      <c r="A649" s="194">
        <v>643</v>
      </c>
      <c r="B649" s="315"/>
      <c r="C649" s="332"/>
      <c r="D649" s="1002" t="s">
        <v>973</v>
      </c>
      <c r="E649" s="317"/>
      <c r="F649" s="317"/>
      <c r="G649" s="798"/>
      <c r="H649" s="1434"/>
      <c r="I649" s="415">
        <f>SUM(J649:Q649)</f>
        <v>125035</v>
      </c>
      <c r="J649" s="312"/>
      <c r="K649" s="312"/>
      <c r="L649" s="1094">
        <v>125035</v>
      </c>
      <c r="M649" s="312"/>
      <c r="N649" s="313"/>
    </row>
    <row r="650" spans="1:16" s="3" customFormat="1" ht="22.5" customHeight="1" x14ac:dyDescent="0.3">
      <c r="A650" s="194">
        <v>644</v>
      </c>
      <c r="B650" s="58"/>
      <c r="C650" s="59">
        <v>118</v>
      </c>
      <c r="D650" s="190" t="s">
        <v>91</v>
      </c>
      <c r="E650" s="795">
        <f>E654+E658+E662+E666+E670</f>
        <v>2765</v>
      </c>
      <c r="F650" s="795">
        <f>F654+F658+F662+F666+F670</f>
        <v>2765</v>
      </c>
      <c r="G650" s="795">
        <f>G654+G658+G662+G666+G670</f>
        <v>2765</v>
      </c>
      <c r="H650" s="1433" t="s">
        <v>23</v>
      </c>
      <c r="I650" s="1449"/>
      <c r="J650" s="356"/>
      <c r="K650" s="356"/>
      <c r="L650" s="356"/>
      <c r="M650" s="356"/>
      <c r="N650" s="357"/>
      <c r="O650" s="7"/>
      <c r="P650" s="7"/>
    </row>
    <row r="651" spans="1:16" s="318" customFormat="1" ht="18" customHeight="1" x14ac:dyDescent="0.3">
      <c r="A651" s="194">
        <v>645</v>
      </c>
      <c r="B651" s="315"/>
      <c r="C651" s="332"/>
      <c r="D651" s="316" t="s">
        <v>252</v>
      </c>
      <c r="E651" s="317"/>
      <c r="F651" s="317"/>
      <c r="G651" s="798"/>
      <c r="H651" s="1434"/>
      <c r="I651" s="317">
        <f>SUM(J651:N651)</f>
        <v>2765</v>
      </c>
      <c r="J651" s="324"/>
      <c r="K651" s="324"/>
      <c r="L651" s="324"/>
      <c r="M651" s="324"/>
      <c r="N651" s="313">
        <f>N655+N659+N663+N667+N671</f>
        <v>2765</v>
      </c>
    </row>
    <row r="652" spans="1:16" s="318" customFormat="1" ht="18" customHeight="1" x14ac:dyDescent="0.3">
      <c r="A652" s="194">
        <v>646</v>
      </c>
      <c r="B652" s="315"/>
      <c r="C652" s="332"/>
      <c r="D652" s="1003" t="s">
        <v>921</v>
      </c>
      <c r="E652" s="317"/>
      <c r="F652" s="317"/>
      <c r="G652" s="798"/>
      <c r="H652" s="1434"/>
      <c r="I652" s="1448">
        <f>SUM(J652:N652)</f>
        <v>2765</v>
      </c>
      <c r="J652" s="1095"/>
      <c r="K652" s="1095"/>
      <c r="L652" s="1095"/>
      <c r="M652" s="1095"/>
      <c r="N652" s="1104">
        <f>N656+N660+N664+N668+N672</f>
        <v>2765</v>
      </c>
    </row>
    <row r="653" spans="1:16" s="318" customFormat="1" ht="18" customHeight="1" x14ac:dyDescent="0.3">
      <c r="A653" s="194">
        <v>647</v>
      </c>
      <c r="B653" s="315"/>
      <c r="C653" s="332"/>
      <c r="D653" s="1002" t="s">
        <v>973</v>
      </c>
      <c r="E653" s="317"/>
      <c r="F653" s="317"/>
      <c r="G653" s="798"/>
      <c r="H653" s="1434"/>
      <c r="I653" s="415">
        <f>SUM(J653:Q653)</f>
        <v>1385</v>
      </c>
      <c r="J653" s="324"/>
      <c r="K653" s="324"/>
      <c r="L653" s="324"/>
      <c r="M653" s="324"/>
      <c r="N653" s="1096">
        <v>1385</v>
      </c>
    </row>
    <row r="654" spans="1:16" s="8" customFormat="1" ht="18" customHeight="1" x14ac:dyDescent="0.3">
      <c r="A654" s="194">
        <v>648</v>
      </c>
      <c r="B654" s="63"/>
      <c r="C654" s="59"/>
      <c r="D654" s="64" t="s">
        <v>92</v>
      </c>
      <c r="E654" s="795">
        <v>553</v>
      </c>
      <c r="F654" s="799">
        <v>553</v>
      </c>
      <c r="G654" s="800">
        <v>553</v>
      </c>
      <c r="H654" s="1435"/>
      <c r="I654" s="801"/>
      <c r="J654" s="358"/>
      <c r="K654" s="358"/>
      <c r="L654" s="358"/>
      <c r="M654" s="358"/>
      <c r="N654" s="359"/>
      <c r="P654" s="7"/>
    </row>
    <row r="655" spans="1:16" s="326" customFormat="1" ht="18" customHeight="1" x14ac:dyDescent="0.3">
      <c r="A655" s="194">
        <v>649</v>
      </c>
      <c r="B655" s="322"/>
      <c r="C655" s="332"/>
      <c r="D655" s="323" t="s">
        <v>252</v>
      </c>
      <c r="E655" s="317"/>
      <c r="F655" s="801"/>
      <c r="G655" s="802"/>
      <c r="H655" s="1436"/>
      <c r="I655" s="801">
        <f>SUM(J655:N655)</f>
        <v>553</v>
      </c>
      <c r="J655" s="324"/>
      <c r="K655" s="324"/>
      <c r="L655" s="324"/>
      <c r="M655" s="324"/>
      <c r="N655" s="325">
        <v>553</v>
      </c>
      <c r="P655" s="318"/>
    </row>
    <row r="656" spans="1:16" s="326" customFormat="1" ht="18" customHeight="1" x14ac:dyDescent="0.3">
      <c r="A656" s="194">
        <v>650</v>
      </c>
      <c r="B656" s="322"/>
      <c r="C656" s="332"/>
      <c r="D656" s="1022" t="s">
        <v>921</v>
      </c>
      <c r="E656" s="317"/>
      <c r="F656" s="801"/>
      <c r="G656" s="802"/>
      <c r="H656" s="1436"/>
      <c r="I656" s="1456">
        <f>SUM(J656:N656)</f>
        <v>553</v>
      </c>
      <c r="J656" s="1095"/>
      <c r="K656" s="1095"/>
      <c r="L656" s="1095"/>
      <c r="M656" s="1095"/>
      <c r="N656" s="1096">
        <v>553</v>
      </c>
      <c r="P656" s="318"/>
    </row>
    <row r="657" spans="1:16" s="326" customFormat="1" ht="18" customHeight="1" x14ac:dyDescent="0.3">
      <c r="A657" s="194">
        <v>651</v>
      </c>
      <c r="B657" s="322"/>
      <c r="C657" s="332"/>
      <c r="D657" s="1022" t="s">
        <v>973</v>
      </c>
      <c r="E657" s="317"/>
      <c r="F657" s="801"/>
      <c r="G657" s="802"/>
      <c r="H657" s="1436"/>
      <c r="I657" s="415">
        <f>SUM(J657:Q657)</f>
        <v>277</v>
      </c>
      <c r="J657" s="324"/>
      <c r="K657" s="324"/>
      <c r="L657" s="324"/>
      <c r="M657" s="324"/>
      <c r="N657" s="1096">
        <v>277</v>
      </c>
      <c r="P657" s="318"/>
    </row>
    <row r="658" spans="1:16" s="8" customFormat="1" ht="18" customHeight="1" x14ac:dyDescent="0.3">
      <c r="A658" s="194">
        <v>652</v>
      </c>
      <c r="B658" s="63"/>
      <c r="C658" s="59"/>
      <c r="D658" s="66" t="s">
        <v>93</v>
      </c>
      <c r="E658" s="795">
        <v>553</v>
      </c>
      <c r="F658" s="799">
        <v>553</v>
      </c>
      <c r="G658" s="800">
        <v>553</v>
      </c>
      <c r="H658" s="1435"/>
      <c r="I658" s="1451"/>
      <c r="J658" s="360"/>
      <c r="K658" s="360"/>
      <c r="L658" s="360"/>
      <c r="M658" s="360"/>
      <c r="N658" s="361"/>
      <c r="P658" s="7"/>
    </row>
    <row r="659" spans="1:16" s="326" customFormat="1" ht="18" customHeight="1" x14ac:dyDescent="0.3">
      <c r="A659" s="194">
        <v>653</v>
      </c>
      <c r="B659" s="322"/>
      <c r="C659" s="332"/>
      <c r="D659" s="323" t="s">
        <v>252</v>
      </c>
      <c r="E659" s="317"/>
      <c r="F659" s="801"/>
      <c r="G659" s="802"/>
      <c r="H659" s="1436"/>
      <c r="I659" s="801">
        <f>SUM(J659:N659)</f>
        <v>553</v>
      </c>
      <c r="J659" s="324"/>
      <c r="K659" s="324"/>
      <c r="L659" s="324"/>
      <c r="M659" s="324"/>
      <c r="N659" s="325">
        <v>553</v>
      </c>
      <c r="P659" s="318"/>
    </row>
    <row r="660" spans="1:16" s="326" customFormat="1" ht="18" customHeight="1" x14ac:dyDescent="0.3">
      <c r="A660" s="194">
        <v>654</v>
      </c>
      <c r="B660" s="322"/>
      <c r="C660" s="332"/>
      <c r="D660" s="1022" t="s">
        <v>921</v>
      </c>
      <c r="E660" s="317"/>
      <c r="F660" s="801"/>
      <c r="G660" s="802"/>
      <c r="H660" s="1436"/>
      <c r="I660" s="1456">
        <f>SUM(J660:N660)</f>
        <v>553</v>
      </c>
      <c r="J660" s="1095"/>
      <c r="K660" s="1095"/>
      <c r="L660" s="1095"/>
      <c r="M660" s="1095"/>
      <c r="N660" s="1096">
        <v>553</v>
      </c>
      <c r="P660" s="318"/>
    </row>
    <row r="661" spans="1:16" s="326" customFormat="1" ht="18" customHeight="1" x14ac:dyDescent="0.3">
      <c r="A661" s="194">
        <v>655</v>
      </c>
      <c r="B661" s="322"/>
      <c r="C661" s="332"/>
      <c r="D661" s="1022" t="s">
        <v>973</v>
      </c>
      <c r="E661" s="317"/>
      <c r="F661" s="801"/>
      <c r="G661" s="802"/>
      <c r="H661" s="1436"/>
      <c r="I661" s="415">
        <f>SUM(J661:Q661)</f>
        <v>277</v>
      </c>
      <c r="J661" s="324"/>
      <c r="K661" s="324"/>
      <c r="L661" s="324"/>
      <c r="M661" s="324"/>
      <c r="N661" s="1096">
        <v>277</v>
      </c>
      <c r="P661" s="318"/>
    </row>
    <row r="662" spans="1:16" s="8" customFormat="1" ht="18" customHeight="1" x14ac:dyDescent="0.3">
      <c r="A662" s="194">
        <v>656</v>
      </c>
      <c r="B662" s="63"/>
      <c r="C662" s="59"/>
      <c r="D662" s="66" t="s">
        <v>94</v>
      </c>
      <c r="E662" s="795">
        <v>553</v>
      </c>
      <c r="F662" s="799">
        <v>553</v>
      </c>
      <c r="G662" s="800">
        <v>553</v>
      </c>
      <c r="H662" s="1435"/>
      <c r="I662" s="1451"/>
      <c r="J662" s="360"/>
      <c r="K662" s="360"/>
      <c r="L662" s="360"/>
      <c r="M662" s="360"/>
      <c r="N662" s="361"/>
      <c r="P662" s="7"/>
    </row>
    <row r="663" spans="1:16" s="326" customFormat="1" ht="18" customHeight="1" x14ac:dyDescent="0.3">
      <c r="A663" s="194">
        <v>657</v>
      </c>
      <c r="B663" s="322"/>
      <c r="C663" s="332"/>
      <c r="D663" s="323" t="s">
        <v>252</v>
      </c>
      <c r="E663" s="317"/>
      <c r="F663" s="801"/>
      <c r="G663" s="802"/>
      <c r="H663" s="1436"/>
      <c r="I663" s="801">
        <f>SUM(J663:N663)</f>
        <v>553</v>
      </c>
      <c r="J663" s="324"/>
      <c r="K663" s="324"/>
      <c r="L663" s="324"/>
      <c r="M663" s="324"/>
      <c r="N663" s="325">
        <v>553</v>
      </c>
      <c r="P663" s="318"/>
    </row>
    <row r="664" spans="1:16" s="326" customFormat="1" ht="18" customHeight="1" x14ac:dyDescent="0.3">
      <c r="A664" s="194">
        <v>658</v>
      </c>
      <c r="B664" s="322"/>
      <c r="C664" s="332"/>
      <c r="D664" s="1022" t="s">
        <v>921</v>
      </c>
      <c r="E664" s="317"/>
      <c r="F664" s="801"/>
      <c r="G664" s="802"/>
      <c r="H664" s="1436"/>
      <c r="I664" s="1456">
        <f>SUM(J664:N664)</f>
        <v>553</v>
      </c>
      <c r="J664" s="1095"/>
      <c r="K664" s="1095"/>
      <c r="L664" s="1095"/>
      <c r="M664" s="1095"/>
      <c r="N664" s="1096">
        <v>553</v>
      </c>
      <c r="P664" s="318"/>
    </row>
    <row r="665" spans="1:16" s="326" customFormat="1" ht="18" customHeight="1" x14ac:dyDescent="0.3">
      <c r="A665" s="194">
        <v>659</v>
      </c>
      <c r="B665" s="322"/>
      <c r="C665" s="332"/>
      <c r="D665" s="1022" t="s">
        <v>973</v>
      </c>
      <c r="E665" s="317"/>
      <c r="F665" s="801"/>
      <c r="G665" s="802"/>
      <c r="H665" s="1436"/>
      <c r="I665" s="415">
        <f>SUM(J665:Q665)</f>
        <v>277</v>
      </c>
      <c r="J665" s="324"/>
      <c r="K665" s="324"/>
      <c r="L665" s="324"/>
      <c r="M665" s="324"/>
      <c r="N665" s="1096">
        <v>277</v>
      </c>
      <c r="P665" s="318"/>
    </row>
    <row r="666" spans="1:16" s="8" customFormat="1" ht="18" customHeight="1" x14ac:dyDescent="0.3">
      <c r="A666" s="194">
        <v>660</v>
      </c>
      <c r="B666" s="63"/>
      <c r="C666" s="59"/>
      <c r="D666" s="66" t="s">
        <v>95</v>
      </c>
      <c r="E666" s="795">
        <v>553</v>
      </c>
      <c r="F666" s="799">
        <v>553</v>
      </c>
      <c r="G666" s="800">
        <v>553</v>
      </c>
      <c r="H666" s="1435"/>
      <c r="I666" s="1451"/>
      <c r="J666" s="360"/>
      <c r="K666" s="360"/>
      <c r="L666" s="360"/>
      <c r="M666" s="360"/>
      <c r="N666" s="361"/>
      <c r="P666" s="7"/>
    </row>
    <row r="667" spans="1:16" s="326" customFormat="1" ht="18" customHeight="1" x14ac:dyDescent="0.3">
      <c r="A667" s="194">
        <v>661</v>
      </c>
      <c r="B667" s="322"/>
      <c r="C667" s="332"/>
      <c r="D667" s="323" t="s">
        <v>252</v>
      </c>
      <c r="E667" s="317"/>
      <c r="F667" s="801"/>
      <c r="G667" s="802"/>
      <c r="H667" s="1436"/>
      <c r="I667" s="801">
        <f>SUM(J667:N667)</f>
        <v>553</v>
      </c>
      <c r="J667" s="324"/>
      <c r="K667" s="324"/>
      <c r="L667" s="324"/>
      <c r="M667" s="324"/>
      <c r="N667" s="325">
        <v>553</v>
      </c>
      <c r="P667" s="318"/>
    </row>
    <row r="668" spans="1:16" s="326" customFormat="1" ht="18" customHeight="1" x14ac:dyDescent="0.3">
      <c r="A668" s="194">
        <v>662</v>
      </c>
      <c r="B668" s="322"/>
      <c r="C668" s="332"/>
      <c r="D668" s="1022" t="s">
        <v>921</v>
      </c>
      <c r="E668" s="317"/>
      <c r="F668" s="801"/>
      <c r="G668" s="802"/>
      <c r="H668" s="1436"/>
      <c r="I668" s="1456">
        <f>SUM(J668:N668)</f>
        <v>553</v>
      </c>
      <c r="J668" s="1095"/>
      <c r="K668" s="1095"/>
      <c r="L668" s="1095"/>
      <c r="M668" s="1095"/>
      <c r="N668" s="1096">
        <v>553</v>
      </c>
      <c r="P668" s="318"/>
    </row>
    <row r="669" spans="1:16" s="326" customFormat="1" ht="18" customHeight="1" x14ac:dyDescent="0.3">
      <c r="A669" s="194">
        <v>663</v>
      </c>
      <c r="B669" s="322"/>
      <c r="C669" s="332"/>
      <c r="D669" s="1022" t="s">
        <v>973</v>
      </c>
      <c r="E669" s="317"/>
      <c r="F669" s="801"/>
      <c r="G669" s="802"/>
      <c r="H669" s="1436"/>
      <c r="I669" s="415">
        <f>SUM(J669:Q669)</f>
        <v>277</v>
      </c>
      <c r="J669" s="324"/>
      <c r="K669" s="324"/>
      <c r="L669" s="324"/>
      <c r="M669" s="324"/>
      <c r="N669" s="1096">
        <v>277</v>
      </c>
      <c r="P669" s="318"/>
    </row>
    <row r="670" spans="1:16" s="8" customFormat="1" ht="18" customHeight="1" x14ac:dyDescent="0.3">
      <c r="A670" s="194">
        <v>664</v>
      </c>
      <c r="B670" s="63"/>
      <c r="C670" s="59"/>
      <c r="D670" s="66" t="s">
        <v>96</v>
      </c>
      <c r="E670" s="795">
        <v>553</v>
      </c>
      <c r="F670" s="799">
        <v>553</v>
      </c>
      <c r="G670" s="800">
        <v>553</v>
      </c>
      <c r="H670" s="1435"/>
      <c r="I670" s="1451"/>
      <c r="J670" s="360"/>
      <c r="K670" s="360"/>
      <c r="L670" s="360"/>
      <c r="M670" s="360"/>
      <c r="N670" s="361"/>
      <c r="P670" s="7"/>
    </row>
    <row r="671" spans="1:16" s="326" customFormat="1" ht="18" customHeight="1" x14ac:dyDescent="0.3">
      <c r="A671" s="194">
        <v>665</v>
      </c>
      <c r="B671" s="322"/>
      <c r="C671" s="332"/>
      <c r="D671" s="323" t="s">
        <v>252</v>
      </c>
      <c r="E671" s="317"/>
      <c r="F671" s="801"/>
      <c r="G671" s="802"/>
      <c r="H671" s="1436"/>
      <c r="I671" s="801">
        <f>SUM(J671:N671)</f>
        <v>553</v>
      </c>
      <c r="J671" s="324"/>
      <c r="K671" s="324"/>
      <c r="L671" s="324"/>
      <c r="M671" s="324"/>
      <c r="N671" s="325">
        <v>553</v>
      </c>
      <c r="P671" s="318"/>
    </row>
    <row r="672" spans="1:16" s="326" customFormat="1" ht="18" customHeight="1" x14ac:dyDescent="0.3">
      <c r="A672" s="194">
        <v>666</v>
      </c>
      <c r="B672" s="1112"/>
      <c r="C672" s="332"/>
      <c r="D672" s="1022" t="s">
        <v>921</v>
      </c>
      <c r="E672" s="806"/>
      <c r="F672" s="1113"/>
      <c r="G672" s="1114"/>
      <c r="H672" s="1438"/>
      <c r="I672" s="1456">
        <f>SUM(J672:N672)</f>
        <v>553</v>
      </c>
      <c r="J672" s="1098"/>
      <c r="K672" s="1098"/>
      <c r="L672" s="1098"/>
      <c r="M672" s="1098"/>
      <c r="N672" s="1457">
        <v>553</v>
      </c>
      <c r="P672" s="318"/>
    </row>
    <row r="673" spans="1:16" s="326" customFormat="1" ht="18" customHeight="1" x14ac:dyDescent="0.3">
      <c r="A673" s="194">
        <v>667</v>
      </c>
      <c r="B673" s="1112"/>
      <c r="C673" s="332"/>
      <c r="D673" s="1022" t="s">
        <v>973</v>
      </c>
      <c r="E673" s="806"/>
      <c r="F673" s="1113"/>
      <c r="G673" s="1114"/>
      <c r="H673" s="1438"/>
      <c r="I673" s="415">
        <f>SUM(J673:Q673)</f>
        <v>277</v>
      </c>
      <c r="J673" s="1115"/>
      <c r="K673" s="1115"/>
      <c r="L673" s="1115"/>
      <c r="M673" s="1115"/>
      <c r="N673" s="1457">
        <v>277</v>
      </c>
      <c r="P673" s="318"/>
    </row>
    <row r="674" spans="1:16" s="205" customFormat="1" ht="18" customHeight="1" x14ac:dyDescent="0.35">
      <c r="A674" s="194">
        <v>668</v>
      </c>
      <c r="B674" s="204"/>
      <c r="C674" s="59">
        <v>119</v>
      </c>
      <c r="D674" s="60" t="s">
        <v>315</v>
      </c>
      <c r="E674" s="791">
        <v>381</v>
      </c>
      <c r="F674" s="804"/>
      <c r="G674" s="805"/>
      <c r="H674" s="1432" t="s">
        <v>24</v>
      </c>
      <c r="I674" s="317"/>
      <c r="J674" s="362"/>
      <c r="K674" s="362"/>
      <c r="L674" s="354"/>
      <c r="M674" s="362"/>
      <c r="N674" s="363"/>
      <c r="P674" s="3"/>
    </row>
    <row r="675" spans="1:16" s="205" customFormat="1" ht="18" customHeight="1" x14ac:dyDescent="0.35">
      <c r="A675" s="194">
        <v>669</v>
      </c>
      <c r="B675" s="204"/>
      <c r="C675" s="59">
        <v>120</v>
      </c>
      <c r="D675" s="60" t="s">
        <v>316</v>
      </c>
      <c r="E675" s="791">
        <v>600</v>
      </c>
      <c r="F675" s="804"/>
      <c r="G675" s="805"/>
      <c r="H675" s="1432" t="s">
        <v>24</v>
      </c>
      <c r="I675" s="317"/>
      <c r="J675" s="362"/>
      <c r="K675" s="362"/>
      <c r="L675" s="354"/>
      <c r="M675" s="362"/>
      <c r="N675" s="363"/>
      <c r="P675" s="3"/>
    </row>
    <row r="676" spans="1:16" s="8" customFormat="1" ht="22.15" customHeight="1" x14ac:dyDescent="0.3">
      <c r="A676" s="194">
        <v>670</v>
      </c>
      <c r="B676" s="737"/>
      <c r="C676" s="1587">
        <v>121</v>
      </c>
      <c r="D676" s="190" t="s">
        <v>623</v>
      </c>
      <c r="E676" s="810"/>
      <c r="F676" s="799"/>
      <c r="G676" s="1148"/>
      <c r="H676" s="1118" t="s">
        <v>24</v>
      </c>
      <c r="I676" s="317"/>
      <c r="J676" s="358"/>
      <c r="K676" s="358"/>
      <c r="L676" s="312"/>
      <c r="M676" s="358"/>
      <c r="N676" s="740"/>
      <c r="P676" s="7"/>
    </row>
    <row r="677" spans="1:16" s="8" customFormat="1" ht="18" customHeight="1" x14ac:dyDescent="0.3">
      <c r="A677" s="194">
        <v>671</v>
      </c>
      <c r="B677" s="737"/>
      <c r="C677" s="1587"/>
      <c r="D677" s="316" t="s">
        <v>252</v>
      </c>
      <c r="E677" s="810"/>
      <c r="F677" s="799"/>
      <c r="G677" s="1148"/>
      <c r="H677" s="739"/>
      <c r="I677" s="317">
        <f>SUM(J677:N677)</f>
        <v>3071</v>
      </c>
      <c r="J677" s="358"/>
      <c r="K677" s="358"/>
      <c r="L677" s="312">
        <f>400+2671</f>
        <v>3071</v>
      </c>
      <c r="M677" s="358"/>
      <c r="N677" s="740"/>
      <c r="P677" s="7"/>
    </row>
    <row r="678" spans="1:16" s="8" customFormat="1" ht="18" customHeight="1" x14ac:dyDescent="0.3">
      <c r="A678" s="194">
        <v>672</v>
      </c>
      <c r="B678" s="1116"/>
      <c r="C678" s="1587"/>
      <c r="D678" s="1588" t="s">
        <v>921</v>
      </c>
      <c r="E678" s="1117"/>
      <c r="F678" s="804"/>
      <c r="G678" s="1149"/>
      <c r="H678" s="1118"/>
      <c r="I678" s="1448">
        <f>SUM(J678:N678)</f>
        <v>3071</v>
      </c>
      <c r="J678" s="1097"/>
      <c r="K678" s="1097"/>
      <c r="L678" s="1091">
        <v>3071</v>
      </c>
      <c r="M678" s="362"/>
      <c r="N678" s="1119"/>
      <c r="P678" s="7"/>
    </row>
    <row r="679" spans="1:16" s="8" customFormat="1" ht="18" customHeight="1" x14ac:dyDescent="0.3">
      <c r="A679" s="194">
        <v>673</v>
      </c>
      <c r="B679" s="1116"/>
      <c r="C679" s="1587"/>
      <c r="D679" s="1004" t="s">
        <v>973</v>
      </c>
      <c r="E679" s="1117"/>
      <c r="F679" s="804"/>
      <c r="G679" s="1149"/>
      <c r="H679" s="1118"/>
      <c r="I679" s="415">
        <f>SUM(J679:Q679)</f>
        <v>0</v>
      </c>
      <c r="J679" s="362"/>
      <c r="K679" s="362"/>
      <c r="L679" s="1097">
        <v>0</v>
      </c>
      <c r="M679" s="362"/>
      <c r="N679" s="1119"/>
      <c r="P679" s="7"/>
    </row>
    <row r="680" spans="1:16" s="7" customFormat="1" ht="18" customHeight="1" x14ac:dyDescent="0.3">
      <c r="A680" s="194">
        <v>674</v>
      </c>
      <c r="B680" s="68"/>
      <c r="C680" s="59">
        <v>122</v>
      </c>
      <c r="D680" s="62" t="s">
        <v>263</v>
      </c>
      <c r="E680" s="791">
        <v>4303</v>
      </c>
      <c r="F680" s="791">
        <v>2276</v>
      </c>
      <c r="G680" s="1150"/>
      <c r="H680" s="1118" t="s">
        <v>24</v>
      </c>
      <c r="I680" s="317"/>
      <c r="J680" s="354"/>
      <c r="K680" s="354"/>
      <c r="L680" s="354"/>
      <c r="M680" s="354"/>
      <c r="N680" s="355"/>
    </row>
    <row r="681" spans="1:16" s="3" customFormat="1" ht="22.5" customHeight="1" x14ac:dyDescent="0.3">
      <c r="A681" s="194">
        <v>675</v>
      </c>
      <c r="B681" s="67"/>
      <c r="C681" s="59">
        <v>123</v>
      </c>
      <c r="D681" s="189" t="s">
        <v>349</v>
      </c>
      <c r="E681" s="791">
        <v>4994</v>
      </c>
      <c r="F681" s="791">
        <v>3653</v>
      </c>
      <c r="G681" s="1150">
        <v>7950</v>
      </c>
      <c r="H681" s="1118" t="s">
        <v>24</v>
      </c>
      <c r="I681" s="317"/>
      <c r="J681" s="354"/>
      <c r="K681" s="354"/>
      <c r="L681" s="354"/>
      <c r="M681" s="354"/>
      <c r="N681" s="355"/>
      <c r="O681" s="7"/>
      <c r="P681" s="7"/>
    </row>
    <row r="682" spans="1:16" s="321" customFormat="1" ht="18" customHeight="1" x14ac:dyDescent="0.35">
      <c r="A682" s="194">
        <v>676</v>
      </c>
      <c r="B682" s="328"/>
      <c r="C682" s="332"/>
      <c r="D682" s="316" t="s">
        <v>252</v>
      </c>
      <c r="E682" s="791"/>
      <c r="F682" s="791"/>
      <c r="G682" s="1150"/>
      <c r="H682" s="1439"/>
      <c r="I682" s="317">
        <f>SUM(J682:N682)</f>
        <v>4752</v>
      </c>
      <c r="J682" s="319"/>
      <c r="K682" s="319"/>
      <c r="L682" s="319">
        <f>2000+2752</f>
        <v>4752</v>
      </c>
      <c r="M682" s="319"/>
      <c r="N682" s="320"/>
      <c r="O682" s="318"/>
      <c r="P682" s="318"/>
    </row>
    <row r="683" spans="1:16" s="321" customFormat="1" ht="18" customHeight="1" x14ac:dyDescent="0.35">
      <c r="A683" s="194">
        <v>677</v>
      </c>
      <c r="B683" s="328"/>
      <c r="C683" s="332"/>
      <c r="D683" s="1003" t="s">
        <v>921</v>
      </c>
      <c r="E683" s="791"/>
      <c r="F683" s="791"/>
      <c r="G683" s="1150"/>
      <c r="H683" s="1439"/>
      <c r="I683" s="1448">
        <f>SUM(J683:N683)</f>
        <v>4752</v>
      </c>
      <c r="J683" s="1091"/>
      <c r="K683" s="1091"/>
      <c r="L683" s="1091">
        <v>4752</v>
      </c>
      <c r="M683" s="319"/>
      <c r="N683" s="320"/>
      <c r="O683" s="318"/>
      <c r="P683" s="318"/>
    </row>
    <row r="684" spans="1:16" s="321" customFormat="1" ht="18" customHeight="1" x14ac:dyDescent="0.35">
      <c r="A684" s="194">
        <v>678</v>
      </c>
      <c r="B684" s="328"/>
      <c r="C684" s="332"/>
      <c r="D684" s="1002" t="s">
        <v>973</v>
      </c>
      <c r="E684" s="791"/>
      <c r="F684" s="791"/>
      <c r="G684" s="1150"/>
      <c r="H684" s="1439"/>
      <c r="I684" s="415">
        <f>SUM(J684:Q684)</f>
        <v>146</v>
      </c>
      <c r="J684" s="319"/>
      <c r="K684" s="319"/>
      <c r="L684" s="1097">
        <v>146</v>
      </c>
      <c r="M684" s="319"/>
      <c r="N684" s="320"/>
      <c r="O684" s="318"/>
      <c r="P684" s="318"/>
    </row>
    <row r="685" spans="1:16" s="321" customFormat="1" ht="22.5" customHeight="1" x14ac:dyDescent="0.35">
      <c r="A685" s="194">
        <v>679</v>
      </c>
      <c r="B685" s="328"/>
      <c r="C685" s="59">
        <v>124</v>
      </c>
      <c r="D685" s="189" t="s">
        <v>788</v>
      </c>
      <c r="E685" s="791"/>
      <c r="F685" s="791">
        <v>1200</v>
      </c>
      <c r="G685" s="1150"/>
      <c r="H685" s="1118" t="s">
        <v>24</v>
      </c>
      <c r="I685" s="317"/>
      <c r="J685" s="319"/>
      <c r="K685" s="319"/>
      <c r="L685" s="319"/>
      <c r="M685" s="319"/>
      <c r="N685" s="320"/>
      <c r="O685" s="318"/>
      <c r="P685" s="318"/>
    </row>
    <row r="686" spans="1:16" s="321" customFormat="1" ht="18" customHeight="1" x14ac:dyDescent="0.35">
      <c r="A686" s="194">
        <v>680</v>
      </c>
      <c r="B686" s="328"/>
      <c r="C686" s="332"/>
      <c r="D686" s="316" t="s">
        <v>252</v>
      </c>
      <c r="E686" s="806"/>
      <c r="F686" s="806"/>
      <c r="G686" s="1151"/>
      <c r="H686" s="1439"/>
      <c r="I686" s="317">
        <f>SUM(J686:N686)</f>
        <v>1700</v>
      </c>
      <c r="J686" s="319"/>
      <c r="K686" s="319"/>
      <c r="L686" s="319">
        <f>500+1200</f>
        <v>1700</v>
      </c>
      <c r="M686" s="319"/>
      <c r="N686" s="320"/>
      <c r="O686" s="318"/>
      <c r="P686" s="318"/>
    </row>
    <row r="687" spans="1:16" s="321" customFormat="1" ht="18" customHeight="1" x14ac:dyDescent="0.35">
      <c r="A687" s="194">
        <v>681</v>
      </c>
      <c r="B687" s="328"/>
      <c r="C687" s="332"/>
      <c r="D687" s="1003" t="s">
        <v>921</v>
      </c>
      <c r="E687" s="806"/>
      <c r="F687" s="806"/>
      <c r="G687" s="1151"/>
      <c r="H687" s="1439"/>
      <c r="I687" s="1448">
        <f>SUM(J687:N687)</f>
        <v>1700</v>
      </c>
      <c r="J687" s="1091"/>
      <c r="K687" s="1091"/>
      <c r="L687" s="1091">
        <v>1700</v>
      </c>
      <c r="M687" s="319"/>
      <c r="N687" s="320"/>
      <c r="O687" s="318"/>
      <c r="P687" s="318"/>
    </row>
    <row r="688" spans="1:16" s="321" customFormat="1" ht="18" customHeight="1" x14ac:dyDescent="0.35">
      <c r="A688" s="194">
        <v>682</v>
      </c>
      <c r="B688" s="328"/>
      <c r="C688" s="332"/>
      <c r="D688" s="1002" t="s">
        <v>973</v>
      </c>
      <c r="E688" s="806"/>
      <c r="F688" s="806"/>
      <c r="G688" s="1151"/>
      <c r="H688" s="1439"/>
      <c r="I688" s="415">
        <f>SUM(J688:Q688)</f>
        <v>0</v>
      </c>
      <c r="J688" s="319"/>
      <c r="K688" s="319"/>
      <c r="L688" s="1097">
        <v>0</v>
      </c>
      <c r="M688" s="319"/>
      <c r="N688" s="320"/>
      <c r="O688" s="318"/>
      <c r="P688" s="318"/>
    </row>
    <row r="689" spans="1:16" s="321" customFormat="1" ht="22.5" customHeight="1" x14ac:dyDescent="0.35">
      <c r="A689" s="194">
        <v>683</v>
      </c>
      <c r="B689" s="328"/>
      <c r="C689" s="59">
        <v>125</v>
      </c>
      <c r="D689" s="189" t="s">
        <v>826</v>
      </c>
      <c r="E689" s="791">
        <v>210820</v>
      </c>
      <c r="F689" s="791">
        <v>635000</v>
      </c>
      <c r="G689" s="1150">
        <v>296210</v>
      </c>
      <c r="H689" s="1118" t="s">
        <v>24</v>
      </c>
      <c r="I689" s="317"/>
      <c r="J689" s="319"/>
      <c r="K689" s="319"/>
      <c r="L689" s="319"/>
      <c r="M689" s="319"/>
      <c r="N689" s="320"/>
      <c r="O689" s="318"/>
      <c r="P689" s="318"/>
    </row>
    <row r="690" spans="1:16" s="321" customFormat="1" ht="18" customHeight="1" x14ac:dyDescent="0.35">
      <c r="A690" s="194">
        <v>684</v>
      </c>
      <c r="B690" s="328"/>
      <c r="C690" s="59"/>
      <c r="D690" s="316" t="s">
        <v>252</v>
      </c>
      <c r="E690" s="791"/>
      <c r="F690" s="791"/>
      <c r="G690" s="1150"/>
      <c r="H690" s="1118"/>
      <c r="I690" s="317">
        <f>SUM(J690:N690)</f>
        <v>338790</v>
      </c>
      <c r="J690" s="319"/>
      <c r="K690" s="319"/>
      <c r="L690" s="319">
        <v>338790</v>
      </c>
      <c r="M690" s="319"/>
      <c r="N690" s="320"/>
      <c r="O690" s="318"/>
      <c r="P690" s="318"/>
    </row>
    <row r="691" spans="1:16" s="321" customFormat="1" ht="18" customHeight="1" x14ac:dyDescent="0.35">
      <c r="A691" s="194">
        <v>685</v>
      </c>
      <c r="B691" s="328"/>
      <c r="C691" s="59"/>
      <c r="D691" s="1003" t="s">
        <v>921</v>
      </c>
      <c r="E691" s="791"/>
      <c r="F691" s="791"/>
      <c r="G691" s="1150"/>
      <c r="H691" s="1118"/>
      <c r="I691" s="1448">
        <f>SUM(J691:N691)</f>
        <v>338790</v>
      </c>
      <c r="J691" s="1091"/>
      <c r="K691" s="1091"/>
      <c r="L691" s="1091">
        <v>338790</v>
      </c>
      <c r="M691" s="319"/>
      <c r="N691" s="320"/>
      <c r="O691" s="318"/>
      <c r="P691" s="318"/>
    </row>
    <row r="692" spans="1:16" s="321" customFormat="1" ht="18" customHeight="1" x14ac:dyDescent="0.35">
      <c r="A692" s="194">
        <v>686</v>
      </c>
      <c r="B692" s="328"/>
      <c r="C692" s="59"/>
      <c r="D692" s="1002" t="s">
        <v>973</v>
      </c>
      <c r="E692" s="791"/>
      <c r="F692" s="791"/>
      <c r="G692" s="1150"/>
      <c r="H692" s="1118"/>
      <c r="I692" s="415">
        <f>SUM(J692:Q692)</f>
        <v>169395</v>
      </c>
      <c r="J692" s="319"/>
      <c r="K692" s="319"/>
      <c r="L692" s="1097">
        <v>169395</v>
      </c>
      <c r="M692" s="319"/>
      <c r="N692" s="320"/>
      <c r="O692" s="318"/>
      <c r="P692" s="318"/>
    </row>
    <row r="693" spans="1:16" s="318" customFormat="1" ht="18" customHeight="1" x14ac:dyDescent="0.3">
      <c r="A693" s="194">
        <v>687</v>
      </c>
      <c r="B693" s="315"/>
      <c r="C693" s="59">
        <v>126</v>
      </c>
      <c r="D693" s="62" t="s">
        <v>423</v>
      </c>
      <c r="E693" s="791">
        <v>6300</v>
      </c>
      <c r="F693" s="791"/>
      <c r="G693" s="1150"/>
      <c r="H693" s="739" t="s">
        <v>24</v>
      </c>
      <c r="I693" s="317"/>
      <c r="J693" s="312"/>
      <c r="K693" s="312"/>
      <c r="L693" s="312"/>
      <c r="M693" s="312"/>
      <c r="N693" s="313"/>
    </row>
    <row r="694" spans="1:16" s="318" customFormat="1" ht="35.25" customHeight="1" x14ac:dyDescent="0.3">
      <c r="A694" s="194">
        <v>688</v>
      </c>
      <c r="B694" s="315"/>
      <c r="C694" s="184">
        <v>127</v>
      </c>
      <c r="D694" s="189" t="s">
        <v>459</v>
      </c>
      <c r="E694" s="795">
        <v>997</v>
      </c>
      <c r="F694" s="795">
        <v>1000</v>
      </c>
      <c r="G694" s="1152">
        <v>997</v>
      </c>
      <c r="H694" s="739" t="s">
        <v>24</v>
      </c>
      <c r="I694" s="317"/>
      <c r="J694" s="312"/>
      <c r="K694" s="312"/>
      <c r="L694" s="312"/>
      <c r="M694" s="312"/>
      <c r="N694" s="313"/>
    </row>
    <row r="695" spans="1:16" s="318" customFormat="1" ht="18" customHeight="1" x14ac:dyDescent="0.3">
      <c r="A695" s="194">
        <v>689</v>
      </c>
      <c r="B695" s="315"/>
      <c r="C695" s="332"/>
      <c r="D695" s="316" t="s">
        <v>252</v>
      </c>
      <c r="E695" s="795"/>
      <c r="F695" s="795"/>
      <c r="G695" s="1152"/>
      <c r="H695" s="739"/>
      <c r="I695" s="317">
        <f>SUM(J695:N695)</f>
        <v>1000</v>
      </c>
      <c r="J695" s="312"/>
      <c r="K695" s="312"/>
      <c r="L695" s="319">
        <v>1000</v>
      </c>
      <c r="M695" s="312"/>
      <c r="N695" s="313"/>
    </row>
    <row r="696" spans="1:16" s="318" customFormat="1" ht="18" customHeight="1" x14ac:dyDescent="0.3">
      <c r="A696" s="194">
        <v>690</v>
      </c>
      <c r="B696" s="315"/>
      <c r="C696" s="332"/>
      <c r="D696" s="1003" t="s">
        <v>921</v>
      </c>
      <c r="E696" s="795"/>
      <c r="F696" s="795"/>
      <c r="G696" s="1152"/>
      <c r="H696" s="739"/>
      <c r="I696" s="1448">
        <f>SUM(J696:N696)</f>
        <v>1000</v>
      </c>
      <c r="J696" s="1093"/>
      <c r="K696" s="1093"/>
      <c r="L696" s="1091">
        <v>1000</v>
      </c>
      <c r="M696" s="312"/>
      <c r="N696" s="313"/>
    </row>
    <row r="697" spans="1:16" s="318" customFormat="1" ht="18" customHeight="1" x14ac:dyDescent="0.3">
      <c r="A697" s="194">
        <v>691</v>
      </c>
      <c r="B697" s="315"/>
      <c r="C697" s="332"/>
      <c r="D697" s="1002" t="s">
        <v>973</v>
      </c>
      <c r="E697" s="795"/>
      <c r="F697" s="795"/>
      <c r="G697" s="1152"/>
      <c r="H697" s="739"/>
      <c r="I697" s="415">
        <f>SUM(J697:Q697)</f>
        <v>985</v>
      </c>
      <c r="J697" s="312"/>
      <c r="K697" s="312"/>
      <c r="L697" s="1094">
        <v>985</v>
      </c>
      <c r="M697" s="312"/>
      <c r="N697" s="313"/>
    </row>
    <row r="698" spans="1:16" s="3" customFormat="1" ht="22.5" customHeight="1" x14ac:dyDescent="0.3">
      <c r="A698" s="194">
        <v>692</v>
      </c>
      <c r="B698" s="61"/>
      <c r="C698" s="59">
        <v>128</v>
      </c>
      <c r="D698" s="190" t="s">
        <v>634</v>
      </c>
      <c r="E698" s="795"/>
      <c r="F698" s="795">
        <v>1210</v>
      </c>
      <c r="G698" s="1152"/>
      <c r="H698" s="739" t="s">
        <v>24</v>
      </c>
      <c r="I698" s="1449"/>
      <c r="J698" s="356"/>
      <c r="K698" s="356"/>
      <c r="L698" s="356"/>
      <c r="M698" s="356"/>
      <c r="N698" s="357"/>
      <c r="O698" s="7"/>
      <c r="P698" s="7"/>
    </row>
    <row r="699" spans="1:16" s="3" customFormat="1" ht="18" customHeight="1" x14ac:dyDescent="0.3">
      <c r="A699" s="194">
        <v>693</v>
      </c>
      <c r="B699" s="61"/>
      <c r="C699" s="59"/>
      <c r="D699" s="316" t="s">
        <v>252</v>
      </c>
      <c r="E699" s="795"/>
      <c r="F699" s="795"/>
      <c r="G699" s="1152"/>
      <c r="H699" s="739"/>
      <c r="I699" s="317">
        <f>SUM(J699:N699)</f>
        <v>2010</v>
      </c>
      <c r="J699" s="356"/>
      <c r="K699" s="356"/>
      <c r="L699" s="314">
        <f>800+1210</f>
        <v>2010</v>
      </c>
      <c r="M699" s="356"/>
      <c r="N699" s="357"/>
      <c r="O699" s="7"/>
      <c r="P699" s="7"/>
    </row>
    <row r="700" spans="1:16" s="3" customFormat="1" ht="18" customHeight="1" x14ac:dyDescent="0.3">
      <c r="A700" s="194">
        <v>694</v>
      </c>
      <c r="B700" s="61"/>
      <c r="C700" s="59"/>
      <c r="D700" s="1003" t="s">
        <v>921</v>
      </c>
      <c r="E700" s="795"/>
      <c r="F700" s="795"/>
      <c r="G700" s="1152"/>
      <c r="H700" s="739"/>
      <c r="I700" s="1448">
        <f>SUM(J700:N700)</f>
        <v>2010</v>
      </c>
      <c r="J700" s="1455"/>
      <c r="K700" s="1455"/>
      <c r="L700" s="1106">
        <v>2010</v>
      </c>
      <c r="M700" s="356"/>
      <c r="N700" s="357"/>
      <c r="O700" s="7"/>
      <c r="P700" s="7"/>
    </row>
    <row r="701" spans="1:16" s="3" customFormat="1" ht="18" customHeight="1" x14ac:dyDescent="0.3">
      <c r="A701" s="194">
        <v>695</v>
      </c>
      <c r="B701" s="61"/>
      <c r="C701" s="59"/>
      <c r="D701" s="1002" t="s">
        <v>973</v>
      </c>
      <c r="E701" s="795"/>
      <c r="F701" s="795"/>
      <c r="G701" s="1152"/>
      <c r="H701" s="739"/>
      <c r="I701" s="415">
        <f>SUM(J701:Q701)</f>
        <v>0</v>
      </c>
      <c r="J701" s="356"/>
      <c r="K701" s="356"/>
      <c r="L701" s="1107">
        <v>0</v>
      </c>
      <c r="M701" s="356"/>
      <c r="N701" s="357"/>
      <c r="O701" s="7"/>
      <c r="P701" s="7"/>
    </row>
    <row r="702" spans="1:16" s="3" customFormat="1" ht="18" customHeight="1" x14ac:dyDescent="0.3">
      <c r="A702" s="194">
        <v>696</v>
      </c>
      <c r="B702" s="61"/>
      <c r="C702" s="59">
        <v>129</v>
      </c>
      <c r="D702" s="60" t="s">
        <v>827</v>
      </c>
      <c r="E702" s="795"/>
      <c r="F702" s="795"/>
      <c r="G702" s="1152"/>
      <c r="H702" s="739" t="s">
        <v>24</v>
      </c>
      <c r="I702" s="1449"/>
      <c r="J702" s="356"/>
      <c r="K702" s="356"/>
      <c r="L702" s="356"/>
      <c r="M702" s="356"/>
      <c r="N702" s="357"/>
      <c r="O702" s="7"/>
      <c r="P702" s="7"/>
    </row>
    <row r="703" spans="1:16" ht="18" customHeight="1" x14ac:dyDescent="0.35">
      <c r="A703" s="194">
        <v>697</v>
      </c>
      <c r="B703" s="351"/>
      <c r="C703" s="59">
        <v>130</v>
      </c>
      <c r="D703" s="60" t="s">
        <v>390</v>
      </c>
      <c r="E703" s="795"/>
      <c r="F703" s="795"/>
      <c r="G703" s="1150"/>
      <c r="H703" s="1440" t="s">
        <v>24</v>
      </c>
      <c r="I703" s="364"/>
      <c r="J703" s="365"/>
      <c r="K703" s="365"/>
      <c r="L703" s="365"/>
      <c r="M703" s="365"/>
      <c r="N703" s="366"/>
    </row>
    <row r="704" spans="1:16" ht="22.5" customHeight="1" x14ac:dyDescent="0.35">
      <c r="A704" s="194">
        <v>698</v>
      </c>
      <c r="B704" s="351"/>
      <c r="C704" s="59">
        <v>131</v>
      </c>
      <c r="D704" s="189" t="s">
        <v>480</v>
      </c>
      <c r="E704" s="795">
        <v>25929</v>
      </c>
      <c r="F704" s="795">
        <v>38265</v>
      </c>
      <c r="G704" s="1150">
        <v>19787</v>
      </c>
      <c r="H704" s="1440" t="s">
        <v>24</v>
      </c>
      <c r="I704" s="364"/>
      <c r="J704" s="365"/>
      <c r="K704" s="365"/>
      <c r="L704" s="365"/>
      <c r="M704" s="365"/>
      <c r="N704" s="366"/>
    </row>
    <row r="705" spans="1:16" ht="18" customHeight="1" x14ac:dyDescent="0.35">
      <c r="A705" s="194">
        <v>699</v>
      </c>
      <c r="B705" s="351"/>
      <c r="C705" s="59"/>
      <c r="D705" s="316" t="s">
        <v>252</v>
      </c>
      <c r="E705" s="795"/>
      <c r="F705" s="795"/>
      <c r="G705" s="1150"/>
      <c r="H705" s="1440"/>
      <c r="I705" s="317">
        <f>SUM(J705:N705)</f>
        <v>76522</v>
      </c>
      <c r="J705" s="365"/>
      <c r="K705" s="365"/>
      <c r="L705" s="860">
        <v>76522</v>
      </c>
      <c r="M705" s="364"/>
      <c r="N705" s="697"/>
    </row>
    <row r="706" spans="1:16" ht="18" customHeight="1" x14ac:dyDescent="0.35">
      <c r="A706" s="194">
        <v>700</v>
      </c>
      <c r="B706" s="351"/>
      <c r="C706" s="59"/>
      <c r="D706" s="1003" t="s">
        <v>921</v>
      </c>
      <c r="E706" s="795"/>
      <c r="F706" s="795"/>
      <c r="G706" s="1150"/>
      <c r="H706" s="1440"/>
      <c r="I706" s="1448">
        <f>SUM(J706:N706)</f>
        <v>89482</v>
      </c>
      <c r="J706" s="1589"/>
      <c r="K706" s="1589"/>
      <c r="L706" s="1133">
        <v>89482</v>
      </c>
      <c r="M706" s="364"/>
      <c r="N706" s="697"/>
    </row>
    <row r="707" spans="1:16" ht="18" customHeight="1" x14ac:dyDescent="0.35">
      <c r="A707" s="194">
        <v>701</v>
      </c>
      <c r="B707" s="351"/>
      <c r="C707" s="59"/>
      <c r="D707" s="1002" t="s">
        <v>972</v>
      </c>
      <c r="E707" s="795"/>
      <c r="F707" s="795"/>
      <c r="G707" s="1150"/>
      <c r="H707" s="1440"/>
      <c r="I707" s="415">
        <f>SUM(J707:Q707)</f>
        <v>11807</v>
      </c>
      <c r="J707" s="365"/>
      <c r="K707" s="365"/>
      <c r="L707" s="1744">
        <v>11807</v>
      </c>
      <c r="M707" s="364"/>
      <c r="N707" s="697"/>
    </row>
    <row r="708" spans="1:16" ht="18" customHeight="1" x14ac:dyDescent="0.35">
      <c r="A708" s="194">
        <v>702</v>
      </c>
      <c r="B708" s="351"/>
      <c r="C708" s="59">
        <v>132</v>
      </c>
      <c r="D708" s="687" t="s">
        <v>828</v>
      </c>
      <c r="E708" s="795">
        <v>994</v>
      </c>
      <c r="F708" s="795"/>
      <c r="G708" s="1150"/>
      <c r="H708" s="1440" t="s">
        <v>24</v>
      </c>
      <c r="I708" s="364"/>
      <c r="J708" s="365"/>
      <c r="K708" s="365"/>
      <c r="L708" s="365"/>
      <c r="M708" s="365"/>
      <c r="N708" s="366"/>
    </row>
    <row r="709" spans="1:16" ht="18" customHeight="1" x14ac:dyDescent="0.35">
      <c r="A709" s="194">
        <v>703</v>
      </c>
      <c r="B709" s="351"/>
      <c r="C709" s="59">
        <v>133</v>
      </c>
      <c r="D709" s="60" t="s">
        <v>484</v>
      </c>
      <c r="E709" s="795">
        <v>318</v>
      </c>
      <c r="F709" s="795"/>
      <c r="G709" s="1150"/>
      <c r="H709" s="1440" t="s">
        <v>23</v>
      </c>
      <c r="I709" s="364"/>
      <c r="J709" s="365"/>
      <c r="K709" s="365"/>
      <c r="L709" s="365"/>
      <c r="M709" s="365"/>
      <c r="N709" s="366"/>
    </row>
    <row r="710" spans="1:16" s="321" customFormat="1" ht="22.5" customHeight="1" x14ac:dyDescent="0.35">
      <c r="A710" s="194">
        <v>704</v>
      </c>
      <c r="B710" s="328"/>
      <c r="C710" s="59">
        <v>134</v>
      </c>
      <c r="D710" s="190" t="s">
        <v>430</v>
      </c>
      <c r="E710" s="791">
        <v>2500</v>
      </c>
      <c r="F710" s="791">
        <v>2000</v>
      </c>
      <c r="G710" s="1150">
        <v>2000</v>
      </c>
      <c r="H710" s="1118" t="s">
        <v>24</v>
      </c>
      <c r="I710" s="317"/>
      <c r="J710" s="319"/>
      <c r="K710" s="319"/>
      <c r="L710" s="319"/>
      <c r="M710" s="319"/>
      <c r="N710" s="320"/>
      <c r="O710" s="318"/>
      <c r="P710" s="318"/>
    </row>
    <row r="711" spans="1:16" s="321" customFormat="1" ht="18" customHeight="1" x14ac:dyDescent="0.35">
      <c r="A711" s="194">
        <v>705</v>
      </c>
      <c r="B711" s="328"/>
      <c r="C711" s="59"/>
      <c r="D711" s="316" t="s">
        <v>252</v>
      </c>
      <c r="E711" s="791"/>
      <c r="F711" s="791"/>
      <c r="G711" s="1150"/>
      <c r="H711" s="1118"/>
      <c r="I711" s="317">
        <f>SUM(J711:N711)</f>
        <v>2000</v>
      </c>
      <c r="J711" s="319"/>
      <c r="K711" s="319"/>
      <c r="L711" s="319">
        <v>2000</v>
      </c>
      <c r="M711" s="319"/>
      <c r="N711" s="320"/>
      <c r="O711" s="318"/>
      <c r="P711" s="318"/>
    </row>
    <row r="712" spans="1:16" s="321" customFormat="1" ht="18" customHeight="1" x14ac:dyDescent="0.35">
      <c r="A712" s="194">
        <v>706</v>
      </c>
      <c r="B712" s="328"/>
      <c r="C712" s="59"/>
      <c r="D712" s="1003" t="s">
        <v>921</v>
      </c>
      <c r="E712" s="791"/>
      <c r="F712" s="791"/>
      <c r="G712" s="1150"/>
      <c r="H712" s="1118"/>
      <c r="I712" s="1448">
        <f>SUM(J712:N712)</f>
        <v>2000</v>
      </c>
      <c r="J712" s="1091"/>
      <c r="K712" s="1091"/>
      <c r="L712" s="1091">
        <v>0</v>
      </c>
      <c r="M712" s="1091"/>
      <c r="N712" s="1110">
        <v>2000</v>
      </c>
      <c r="O712" s="318"/>
      <c r="P712" s="318"/>
    </row>
    <row r="713" spans="1:16" s="321" customFormat="1" ht="18" customHeight="1" x14ac:dyDescent="0.35">
      <c r="A713" s="194">
        <v>707</v>
      </c>
      <c r="B713" s="328"/>
      <c r="C713" s="59"/>
      <c r="D713" s="1002" t="s">
        <v>972</v>
      </c>
      <c r="E713" s="791"/>
      <c r="F713" s="791"/>
      <c r="G713" s="1150"/>
      <c r="H713" s="1118"/>
      <c r="I713" s="415">
        <f>SUM(J713:Q713)</f>
        <v>2000</v>
      </c>
      <c r="J713" s="319"/>
      <c r="K713" s="319"/>
      <c r="L713" s="1097">
        <v>0</v>
      </c>
      <c r="M713" s="1097"/>
      <c r="N713" s="1099">
        <v>2000</v>
      </c>
      <c r="O713" s="318"/>
      <c r="P713" s="318"/>
    </row>
    <row r="714" spans="1:16" s="7" customFormat="1" ht="22.5" customHeight="1" x14ac:dyDescent="0.3">
      <c r="A714" s="194">
        <v>708</v>
      </c>
      <c r="B714" s="61"/>
      <c r="C714" s="59">
        <v>135</v>
      </c>
      <c r="D714" s="190" t="s">
        <v>479</v>
      </c>
      <c r="E714" s="795"/>
      <c r="F714" s="795"/>
      <c r="G714" s="1152"/>
      <c r="H714" s="739" t="s">
        <v>24</v>
      </c>
      <c r="I714" s="317"/>
      <c r="J714" s="352"/>
      <c r="K714" s="352"/>
      <c r="L714" s="352"/>
      <c r="M714" s="352"/>
      <c r="N714" s="353"/>
    </row>
    <row r="715" spans="1:16" s="7" customFormat="1" ht="18" customHeight="1" x14ac:dyDescent="0.3">
      <c r="A715" s="194">
        <v>709</v>
      </c>
      <c r="B715" s="61"/>
      <c r="C715" s="59"/>
      <c r="D715" s="316" t="s">
        <v>252</v>
      </c>
      <c r="E715" s="795">
        <v>3291</v>
      </c>
      <c r="F715" s="795">
        <v>5949</v>
      </c>
      <c r="G715" s="1152">
        <v>10581</v>
      </c>
      <c r="H715" s="739"/>
      <c r="I715" s="317">
        <f>SUM(J715:N715)</f>
        <v>17713</v>
      </c>
      <c r="J715" s="352"/>
      <c r="K715" s="1739"/>
      <c r="L715" s="312">
        <v>17713</v>
      </c>
      <c r="M715" s="312"/>
      <c r="N715" s="313"/>
    </row>
    <row r="716" spans="1:16" s="7" customFormat="1" ht="18" customHeight="1" x14ac:dyDescent="0.3">
      <c r="A716" s="194">
        <v>710</v>
      </c>
      <c r="B716" s="61"/>
      <c r="C716" s="59"/>
      <c r="D716" s="1003" t="s">
        <v>921</v>
      </c>
      <c r="E716" s="795"/>
      <c r="F716" s="795"/>
      <c r="G716" s="1152"/>
      <c r="H716" s="739"/>
      <c r="I716" s="1448">
        <f>SUM(J716:N716)</f>
        <v>36294</v>
      </c>
      <c r="J716" s="1092"/>
      <c r="K716" s="1092"/>
      <c r="L716" s="1093">
        <v>22606</v>
      </c>
      <c r="M716" s="1093"/>
      <c r="N716" s="1104">
        <v>13688</v>
      </c>
    </row>
    <row r="717" spans="1:16" s="7" customFormat="1" ht="18" customHeight="1" x14ac:dyDescent="0.3">
      <c r="A717" s="194">
        <v>711</v>
      </c>
      <c r="B717" s="1458"/>
      <c r="C717" s="59"/>
      <c r="D717" s="1002" t="s">
        <v>972</v>
      </c>
      <c r="E717" s="795"/>
      <c r="F717" s="795"/>
      <c r="G717" s="1152"/>
      <c r="H717" s="739"/>
      <c r="I717" s="415">
        <f>SUM(J717:Q717)</f>
        <v>11772</v>
      </c>
      <c r="J717" s="352"/>
      <c r="K717" s="1092">
        <v>54</v>
      </c>
      <c r="L717" s="1094">
        <v>2093</v>
      </c>
      <c r="M717" s="1093"/>
      <c r="N717" s="1102">
        <v>9625</v>
      </c>
    </row>
    <row r="718" spans="1:16" s="7" customFormat="1" ht="18" customHeight="1" x14ac:dyDescent="0.3">
      <c r="A718" s="194">
        <v>712</v>
      </c>
      <c r="B718" s="1458"/>
      <c r="C718" s="59">
        <v>136</v>
      </c>
      <c r="D718" s="687" t="s">
        <v>483</v>
      </c>
      <c r="E718" s="795">
        <v>8090</v>
      </c>
      <c r="F718" s="795"/>
      <c r="G718" s="1152">
        <v>5864</v>
      </c>
      <c r="H718" s="739" t="s">
        <v>23</v>
      </c>
      <c r="I718" s="317"/>
      <c r="J718" s="352"/>
      <c r="K718" s="352"/>
      <c r="L718" s="352"/>
      <c r="M718" s="352"/>
      <c r="N718" s="353"/>
    </row>
    <row r="719" spans="1:16" s="69" customFormat="1" ht="18" customHeight="1" x14ac:dyDescent="0.3">
      <c r="A719" s="194">
        <v>713</v>
      </c>
      <c r="B719" s="1459"/>
      <c r="C719" s="59">
        <v>137</v>
      </c>
      <c r="D719" s="60" t="s">
        <v>482</v>
      </c>
      <c r="E719" s="791"/>
      <c r="F719" s="791"/>
      <c r="G719" s="1150"/>
      <c r="H719" s="1118" t="s">
        <v>23</v>
      </c>
      <c r="I719" s="317"/>
      <c r="J719" s="354"/>
      <c r="K719" s="354"/>
      <c r="L719" s="354"/>
      <c r="M719" s="354"/>
      <c r="N719" s="355"/>
      <c r="O719" s="55"/>
      <c r="P719" s="7"/>
    </row>
    <row r="720" spans="1:16" s="3" customFormat="1" ht="22.5" customHeight="1" x14ac:dyDescent="0.35">
      <c r="A720" s="194">
        <v>714</v>
      </c>
      <c r="B720" s="1460"/>
      <c r="C720" s="59">
        <v>138</v>
      </c>
      <c r="D720" s="744" t="s">
        <v>481</v>
      </c>
      <c r="E720" s="795"/>
      <c r="F720" s="795"/>
      <c r="G720" s="1152"/>
      <c r="H720" s="739" t="s">
        <v>24</v>
      </c>
      <c r="I720" s="317"/>
      <c r="J720" s="352"/>
      <c r="K720" s="352"/>
      <c r="L720" s="352"/>
      <c r="M720" s="352"/>
      <c r="N720" s="353"/>
      <c r="P720" s="7"/>
    </row>
    <row r="721" spans="1:16" s="3" customFormat="1" ht="18" customHeight="1" x14ac:dyDescent="0.3">
      <c r="A721" s="194">
        <v>715</v>
      </c>
      <c r="B721" s="1461"/>
      <c r="C721" s="59"/>
      <c r="D721" s="316" t="s">
        <v>252</v>
      </c>
      <c r="E721" s="795"/>
      <c r="F721" s="795">
        <v>70000</v>
      </c>
      <c r="G721" s="1150">
        <v>105000</v>
      </c>
      <c r="H721" s="1118"/>
      <c r="I721" s="317">
        <f>SUM(J721:N721)</f>
        <v>105000</v>
      </c>
      <c r="J721" s="354"/>
      <c r="K721" s="354"/>
      <c r="L721" s="319">
        <f>70000+35000</f>
        <v>105000</v>
      </c>
      <c r="M721" s="354"/>
      <c r="N721" s="355"/>
      <c r="P721" s="7"/>
    </row>
    <row r="722" spans="1:16" s="3" customFormat="1" ht="18" customHeight="1" x14ac:dyDescent="0.3">
      <c r="A722" s="194">
        <v>716</v>
      </c>
      <c r="B722" s="1461"/>
      <c r="C722" s="59"/>
      <c r="D722" s="1003" t="s">
        <v>921</v>
      </c>
      <c r="E722" s="795"/>
      <c r="F722" s="795"/>
      <c r="G722" s="1150"/>
      <c r="H722" s="1118"/>
      <c r="I722" s="1448">
        <f>SUM(J722:N722)</f>
        <v>105000</v>
      </c>
      <c r="J722" s="793"/>
      <c r="K722" s="793"/>
      <c r="L722" s="1091">
        <v>105000</v>
      </c>
      <c r="M722" s="354"/>
      <c r="N722" s="355"/>
      <c r="P722" s="7"/>
    </row>
    <row r="723" spans="1:16" s="3" customFormat="1" ht="18" customHeight="1" x14ac:dyDescent="0.3">
      <c r="A723" s="194">
        <v>717</v>
      </c>
      <c r="B723" s="1461"/>
      <c r="C723" s="59"/>
      <c r="D723" s="1002" t="s">
        <v>973</v>
      </c>
      <c r="E723" s="795"/>
      <c r="F723" s="795"/>
      <c r="G723" s="1150"/>
      <c r="H723" s="1118"/>
      <c r="I723" s="415">
        <f>SUM(J723:Q723)</f>
        <v>35000</v>
      </c>
      <c r="J723" s="354"/>
      <c r="K723" s="354"/>
      <c r="L723" s="1097">
        <v>35000</v>
      </c>
      <c r="M723" s="354"/>
      <c r="N723" s="355"/>
      <c r="P723" s="7"/>
    </row>
    <row r="724" spans="1:16" s="7" customFormat="1" ht="18" customHeight="1" x14ac:dyDescent="0.3">
      <c r="A724" s="194">
        <v>718</v>
      </c>
      <c r="B724" s="1459"/>
      <c r="C724" s="59">
        <v>139</v>
      </c>
      <c r="D724" s="62" t="s">
        <v>485</v>
      </c>
      <c r="E724" s="795"/>
      <c r="F724" s="795"/>
      <c r="G724" s="1150">
        <v>2400</v>
      </c>
      <c r="H724" s="1118" t="s">
        <v>24</v>
      </c>
      <c r="I724" s="317"/>
      <c r="J724" s="354"/>
      <c r="K724" s="354"/>
      <c r="L724" s="354"/>
      <c r="M724" s="354"/>
      <c r="N724" s="355"/>
    </row>
    <row r="725" spans="1:16" s="8" customFormat="1" ht="18" customHeight="1" x14ac:dyDescent="0.3">
      <c r="A725" s="194">
        <v>719</v>
      </c>
      <c r="B725" s="1116"/>
      <c r="C725" s="59">
        <v>140</v>
      </c>
      <c r="D725" s="60" t="s">
        <v>498</v>
      </c>
      <c r="E725" s="791"/>
      <c r="F725" s="804"/>
      <c r="G725" s="1149"/>
      <c r="H725" s="1118" t="s">
        <v>24</v>
      </c>
      <c r="I725" s="317"/>
      <c r="J725" s="362"/>
      <c r="K725" s="362"/>
      <c r="L725" s="354"/>
      <c r="M725" s="362"/>
      <c r="N725" s="363"/>
      <c r="P725" s="7"/>
    </row>
    <row r="726" spans="1:16" s="8" customFormat="1" ht="22.5" customHeight="1" x14ac:dyDescent="0.3">
      <c r="A726" s="194">
        <v>720</v>
      </c>
      <c r="B726" s="1116"/>
      <c r="C726" s="59">
        <v>141</v>
      </c>
      <c r="D726" s="190" t="s">
        <v>499</v>
      </c>
      <c r="E726" s="791"/>
      <c r="F726" s="804"/>
      <c r="G726" s="1149"/>
      <c r="H726" s="1118" t="s">
        <v>24</v>
      </c>
      <c r="I726" s="317"/>
      <c r="J726" s="362"/>
      <c r="K726" s="362"/>
      <c r="L726" s="354"/>
      <c r="M726" s="362"/>
      <c r="N726" s="363"/>
      <c r="P726" s="7"/>
    </row>
    <row r="727" spans="1:16" s="8" customFormat="1" ht="18" customHeight="1" x14ac:dyDescent="0.3">
      <c r="A727" s="194">
        <v>721</v>
      </c>
      <c r="B727" s="1116"/>
      <c r="C727" s="59"/>
      <c r="D727" s="316" t="s">
        <v>252</v>
      </c>
      <c r="E727" s="791"/>
      <c r="F727" s="804">
        <v>25000</v>
      </c>
      <c r="G727" s="1149">
        <v>19455</v>
      </c>
      <c r="H727" s="1118"/>
      <c r="I727" s="317">
        <f>SUM(J727:N727)</f>
        <v>20000</v>
      </c>
      <c r="J727" s="362"/>
      <c r="K727" s="362"/>
      <c r="L727" s="319"/>
      <c r="M727" s="362"/>
      <c r="N727" s="320">
        <v>20000</v>
      </c>
      <c r="P727" s="7"/>
    </row>
    <row r="728" spans="1:16" s="8" customFormat="1" ht="18" customHeight="1" x14ac:dyDescent="0.3">
      <c r="A728" s="194">
        <v>722</v>
      </c>
      <c r="B728" s="1116"/>
      <c r="C728" s="59"/>
      <c r="D728" s="1003" t="s">
        <v>921</v>
      </c>
      <c r="E728" s="791"/>
      <c r="F728" s="804"/>
      <c r="G728" s="1149"/>
      <c r="H728" s="1118"/>
      <c r="I728" s="1448">
        <f>SUM(J728:N728)</f>
        <v>20000</v>
      </c>
      <c r="J728" s="1097"/>
      <c r="K728" s="1097"/>
      <c r="L728" s="1091"/>
      <c r="M728" s="1097"/>
      <c r="N728" s="1134">
        <v>20000</v>
      </c>
      <c r="P728" s="7"/>
    </row>
    <row r="729" spans="1:16" s="8" customFormat="1" ht="18" customHeight="1" x14ac:dyDescent="0.3">
      <c r="A729" s="194">
        <v>723</v>
      </c>
      <c r="B729" s="1116"/>
      <c r="C729" s="59"/>
      <c r="D729" s="1002" t="s">
        <v>973</v>
      </c>
      <c r="E729" s="791"/>
      <c r="F729" s="804"/>
      <c r="G729" s="1149"/>
      <c r="H729" s="1118"/>
      <c r="I729" s="415">
        <f>SUM(J729:Q729)</f>
        <v>2000</v>
      </c>
      <c r="J729" s="362"/>
      <c r="K729" s="362"/>
      <c r="L729" s="319"/>
      <c r="M729" s="362"/>
      <c r="N729" s="1745">
        <v>2000</v>
      </c>
      <c r="P729" s="7"/>
    </row>
    <row r="730" spans="1:16" s="8" customFormat="1" ht="18" customHeight="1" x14ac:dyDescent="0.3">
      <c r="A730" s="194">
        <v>724</v>
      </c>
      <c r="B730" s="737"/>
      <c r="C730" s="59">
        <v>142</v>
      </c>
      <c r="D730" s="60" t="s">
        <v>614</v>
      </c>
      <c r="E730" s="795"/>
      <c r="F730" s="799"/>
      <c r="G730" s="1152">
        <v>1000</v>
      </c>
      <c r="H730" s="1118" t="s">
        <v>24</v>
      </c>
      <c r="I730" s="317"/>
      <c r="J730" s="358"/>
      <c r="K730" s="358"/>
      <c r="L730" s="312"/>
      <c r="M730" s="358"/>
      <c r="N730" s="740"/>
      <c r="P730" s="7"/>
    </row>
    <row r="731" spans="1:16" s="8" customFormat="1" ht="18" customHeight="1" x14ac:dyDescent="0.3">
      <c r="A731" s="194">
        <v>725</v>
      </c>
      <c r="B731" s="737"/>
      <c r="C731" s="59">
        <v>143</v>
      </c>
      <c r="D731" s="741" t="s">
        <v>615</v>
      </c>
      <c r="E731" s="810"/>
      <c r="F731" s="799"/>
      <c r="G731" s="1152">
        <v>1500</v>
      </c>
      <c r="H731" s="1118" t="s">
        <v>24</v>
      </c>
      <c r="I731" s="317"/>
      <c r="J731" s="358"/>
      <c r="K731" s="358"/>
      <c r="L731" s="312"/>
      <c r="M731" s="358"/>
      <c r="N731" s="740"/>
      <c r="P731" s="7"/>
    </row>
    <row r="732" spans="1:16" s="8" customFormat="1" ht="18" customHeight="1" x14ac:dyDescent="0.3">
      <c r="A732" s="194">
        <v>726</v>
      </c>
      <c r="B732" s="737"/>
      <c r="C732" s="59">
        <v>144</v>
      </c>
      <c r="D732" s="60" t="s">
        <v>616</v>
      </c>
      <c r="E732" s="810"/>
      <c r="F732" s="799"/>
      <c r="G732" s="1152">
        <v>15000</v>
      </c>
      <c r="H732" s="1118" t="s">
        <v>24</v>
      </c>
      <c r="I732" s="317"/>
      <c r="J732" s="358"/>
      <c r="K732" s="358"/>
      <c r="L732" s="312"/>
      <c r="M732" s="358"/>
      <c r="N732" s="740"/>
      <c r="P732" s="7"/>
    </row>
    <row r="733" spans="1:16" s="8" customFormat="1" ht="22.15" customHeight="1" x14ac:dyDescent="0.3">
      <c r="A733" s="194">
        <v>727</v>
      </c>
      <c r="B733" s="737"/>
      <c r="C733" s="59">
        <v>145</v>
      </c>
      <c r="D733" s="190" t="s">
        <v>617</v>
      </c>
      <c r="E733" s="810"/>
      <c r="F733" s="799"/>
      <c r="G733" s="1152">
        <v>6000</v>
      </c>
      <c r="H733" s="1118" t="s">
        <v>24</v>
      </c>
      <c r="I733" s="317"/>
      <c r="J733" s="358"/>
      <c r="K733" s="358"/>
      <c r="L733" s="312"/>
      <c r="M733" s="358"/>
      <c r="N733" s="740"/>
      <c r="P733" s="7"/>
    </row>
    <row r="734" spans="1:16" s="8" customFormat="1" ht="18" customHeight="1" x14ac:dyDescent="0.3">
      <c r="A734" s="194">
        <v>728</v>
      </c>
      <c r="B734" s="737"/>
      <c r="C734" s="59"/>
      <c r="D734" s="976" t="s">
        <v>252</v>
      </c>
      <c r="E734" s="795"/>
      <c r="F734" s="799"/>
      <c r="G734" s="1152"/>
      <c r="H734" s="1118"/>
      <c r="I734" s="317">
        <f>SUM(J734:N734)</f>
        <v>10000</v>
      </c>
      <c r="J734" s="358"/>
      <c r="K734" s="358"/>
      <c r="L734" s="312"/>
      <c r="M734" s="358"/>
      <c r="N734" s="742">
        <v>10000</v>
      </c>
      <c r="P734" s="7"/>
    </row>
    <row r="735" spans="1:16" s="8" customFormat="1" ht="18" customHeight="1" x14ac:dyDescent="0.3">
      <c r="A735" s="194">
        <v>729</v>
      </c>
      <c r="B735" s="737"/>
      <c r="C735" s="59"/>
      <c r="D735" s="1003" t="s">
        <v>921</v>
      </c>
      <c r="E735" s="795"/>
      <c r="F735" s="799"/>
      <c r="G735" s="1152"/>
      <c r="H735" s="1118"/>
      <c r="I735" s="1448">
        <f>SUM(J735:N735)</f>
        <v>6400</v>
      </c>
      <c r="J735" s="1094"/>
      <c r="K735" s="1094"/>
      <c r="L735" s="1093"/>
      <c r="M735" s="1094"/>
      <c r="N735" s="1135">
        <v>6400</v>
      </c>
      <c r="P735" s="7"/>
    </row>
    <row r="736" spans="1:16" s="8" customFormat="1" ht="18" customHeight="1" x14ac:dyDescent="0.3">
      <c r="A736" s="194">
        <v>730</v>
      </c>
      <c r="B736" s="737"/>
      <c r="C736" s="59"/>
      <c r="D736" s="1002" t="s">
        <v>972</v>
      </c>
      <c r="E736" s="795"/>
      <c r="F736" s="799"/>
      <c r="G736" s="1152"/>
      <c r="H736" s="1118"/>
      <c r="I736" s="415">
        <f>SUM(J736:Q736)</f>
        <v>0</v>
      </c>
      <c r="J736" s="358"/>
      <c r="K736" s="358"/>
      <c r="L736" s="312"/>
      <c r="M736" s="358"/>
      <c r="N736" s="1746">
        <v>0</v>
      </c>
      <c r="P736" s="7"/>
    </row>
    <row r="737" spans="1:16" s="8" customFormat="1" ht="22.15" customHeight="1" x14ac:dyDescent="0.3">
      <c r="A737" s="194">
        <v>731</v>
      </c>
      <c r="B737" s="737"/>
      <c r="C737" s="59">
        <v>146</v>
      </c>
      <c r="D737" s="1126" t="s">
        <v>618</v>
      </c>
      <c r="E737" s="795"/>
      <c r="F737" s="799"/>
      <c r="G737" s="1152">
        <v>1650</v>
      </c>
      <c r="H737" s="1118" t="s">
        <v>24</v>
      </c>
      <c r="I737" s="317"/>
      <c r="J737" s="358"/>
      <c r="K737" s="358"/>
      <c r="L737" s="312"/>
      <c r="M737" s="358"/>
      <c r="N737" s="740"/>
      <c r="P737" s="7"/>
    </row>
    <row r="738" spans="1:16" s="8" customFormat="1" ht="18" customHeight="1" x14ac:dyDescent="0.3">
      <c r="A738" s="194">
        <v>732</v>
      </c>
      <c r="B738" s="737"/>
      <c r="C738" s="59"/>
      <c r="D738" s="976" t="s">
        <v>252</v>
      </c>
      <c r="E738" s="795"/>
      <c r="F738" s="799"/>
      <c r="G738" s="1148"/>
      <c r="H738" s="1118"/>
      <c r="I738" s="317">
        <f>SUM(J738:N738)</f>
        <v>1650</v>
      </c>
      <c r="J738" s="358"/>
      <c r="K738" s="358"/>
      <c r="L738" s="312"/>
      <c r="M738" s="358"/>
      <c r="N738" s="742">
        <v>1650</v>
      </c>
      <c r="P738" s="7"/>
    </row>
    <row r="739" spans="1:16" s="8" customFormat="1" ht="18" customHeight="1" x14ac:dyDescent="0.3">
      <c r="A739" s="194">
        <v>733</v>
      </c>
      <c r="B739" s="737"/>
      <c r="C739" s="59"/>
      <c r="D739" s="1003" t="s">
        <v>921</v>
      </c>
      <c r="E739" s="795"/>
      <c r="F739" s="799"/>
      <c r="G739" s="1148"/>
      <c r="H739" s="1118"/>
      <c r="I739" s="1448">
        <f>SUM(J739:N739)</f>
        <v>1650</v>
      </c>
      <c r="J739" s="1094"/>
      <c r="K739" s="1094"/>
      <c r="L739" s="1093"/>
      <c r="M739" s="1094"/>
      <c r="N739" s="1135">
        <v>1650</v>
      </c>
      <c r="P739" s="7"/>
    </row>
    <row r="740" spans="1:16" s="8" customFormat="1" ht="18" customHeight="1" x14ac:dyDescent="0.3">
      <c r="A740" s="194">
        <v>734</v>
      </c>
      <c r="B740" s="737"/>
      <c r="C740" s="59"/>
      <c r="D740" s="1002" t="s">
        <v>973</v>
      </c>
      <c r="E740" s="795"/>
      <c r="F740" s="799"/>
      <c r="G740" s="1148"/>
      <c r="H740" s="1118"/>
      <c r="I740" s="415">
        <f>SUM(J740:Q740)</f>
        <v>1650</v>
      </c>
      <c r="J740" s="358"/>
      <c r="K740" s="358"/>
      <c r="L740" s="312"/>
      <c r="M740" s="358"/>
      <c r="N740" s="1746">
        <v>1650</v>
      </c>
      <c r="P740" s="7"/>
    </row>
    <row r="741" spans="1:16" s="8" customFormat="1" ht="22.15" customHeight="1" x14ac:dyDescent="0.3">
      <c r="A741" s="194">
        <v>735</v>
      </c>
      <c r="B741" s="737"/>
      <c r="C741" s="59">
        <v>147</v>
      </c>
      <c r="D741" s="1126" t="s">
        <v>619</v>
      </c>
      <c r="E741" s="795"/>
      <c r="F741" s="799"/>
      <c r="G741" s="1148"/>
      <c r="H741" s="1118" t="s">
        <v>23</v>
      </c>
      <c r="I741" s="317"/>
      <c r="J741" s="358"/>
      <c r="K741" s="358"/>
      <c r="L741" s="312"/>
      <c r="M741" s="358"/>
      <c r="N741" s="740"/>
      <c r="P741" s="7"/>
    </row>
    <row r="742" spans="1:16" s="8" customFormat="1" ht="18" customHeight="1" x14ac:dyDescent="0.3">
      <c r="A742" s="194">
        <v>736</v>
      </c>
      <c r="B742" s="737"/>
      <c r="C742" s="59"/>
      <c r="D742" s="976" t="s">
        <v>252</v>
      </c>
      <c r="E742" s="795"/>
      <c r="F742" s="799"/>
      <c r="G742" s="1148"/>
      <c r="H742" s="1118"/>
      <c r="I742" s="317">
        <f>SUM(J742:N742)</f>
        <v>43000</v>
      </c>
      <c r="J742" s="358"/>
      <c r="K742" s="358"/>
      <c r="L742" s="312">
        <f>30000+13000</f>
        <v>43000</v>
      </c>
      <c r="M742" s="743"/>
      <c r="N742" s="740"/>
      <c r="P742" s="7"/>
    </row>
    <row r="743" spans="1:16" s="8" customFormat="1" ht="18" customHeight="1" x14ac:dyDescent="0.3">
      <c r="A743" s="194">
        <v>737</v>
      </c>
      <c r="B743" s="737"/>
      <c r="C743" s="59"/>
      <c r="D743" s="1003" t="s">
        <v>921</v>
      </c>
      <c r="E743" s="795"/>
      <c r="F743" s="799"/>
      <c r="G743" s="1148"/>
      <c r="H743" s="1118"/>
      <c r="I743" s="1448">
        <f>SUM(J743:N743)</f>
        <v>43000</v>
      </c>
      <c r="J743" s="1094"/>
      <c r="K743" s="1094"/>
      <c r="L743" s="1093">
        <v>43000</v>
      </c>
      <c r="M743" s="743"/>
      <c r="N743" s="740"/>
      <c r="P743" s="7"/>
    </row>
    <row r="744" spans="1:16" s="8" customFormat="1" ht="18" customHeight="1" x14ac:dyDescent="0.3">
      <c r="A744" s="194">
        <v>738</v>
      </c>
      <c r="B744" s="737"/>
      <c r="C744" s="59"/>
      <c r="D744" s="1002" t="s">
        <v>973</v>
      </c>
      <c r="E744" s="795"/>
      <c r="F744" s="799"/>
      <c r="G744" s="1148"/>
      <c r="H744" s="1118"/>
      <c r="I744" s="415">
        <f>SUM(J744:Q744)</f>
        <v>1464</v>
      </c>
      <c r="J744" s="358"/>
      <c r="K744" s="358"/>
      <c r="L744" s="1094">
        <v>1464</v>
      </c>
      <c r="M744" s="743"/>
      <c r="N744" s="740"/>
      <c r="P744" s="7"/>
    </row>
    <row r="745" spans="1:16" s="8" customFormat="1" ht="22.15" customHeight="1" x14ac:dyDescent="0.3">
      <c r="A745" s="194">
        <v>739</v>
      </c>
      <c r="B745" s="737"/>
      <c r="C745" s="59">
        <v>148</v>
      </c>
      <c r="D745" s="1126" t="s">
        <v>620</v>
      </c>
      <c r="E745" s="795"/>
      <c r="F745" s="799"/>
      <c r="G745" s="1148"/>
      <c r="H745" s="1118" t="s">
        <v>24</v>
      </c>
      <c r="I745" s="317"/>
      <c r="J745" s="358"/>
      <c r="K745" s="358"/>
      <c r="L745" s="312"/>
      <c r="M745" s="358"/>
      <c r="N745" s="740"/>
      <c r="P745" s="7"/>
    </row>
    <row r="746" spans="1:16" s="8" customFormat="1" ht="18" customHeight="1" x14ac:dyDescent="0.3">
      <c r="A746" s="194">
        <v>740</v>
      </c>
      <c r="B746" s="737"/>
      <c r="C746" s="59"/>
      <c r="D746" s="976" t="s">
        <v>252</v>
      </c>
      <c r="E746" s="795"/>
      <c r="F746" s="799"/>
      <c r="G746" s="1148"/>
      <c r="H746" s="1118"/>
      <c r="I746" s="317">
        <f>SUM(J746:N746)</f>
        <v>20500</v>
      </c>
      <c r="J746" s="358"/>
      <c r="K746" s="358"/>
      <c r="L746" s="312">
        <f>10000+10500</f>
        <v>20500</v>
      </c>
      <c r="M746" s="358"/>
      <c r="N746" s="740"/>
      <c r="P746" s="7"/>
    </row>
    <row r="747" spans="1:16" s="8" customFormat="1" ht="18" customHeight="1" x14ac:dyDescent="0.3">
      <c r="A747" s="194">
        <v>741</v>
      </c>
      <c r="B747" s="737"/>
      <c r="C747" s="59"/>
      <c r="D747" s="1003" t="s">
        <v>921</v>
      </c>
      <c r="E747" s="795"/>
      <c r="F747" s="799"/>
      <c r="G747" s="1148"/>
      <c r="H747" s="1118"/>
      <c r="I747" s="1448">
        <f>SUM(J747:N747)</f>
        <v>20500</v>
      </c>
      <c r="J747" s="1094"/>
      <c r="K747" s="1094"/>
      <c r="L747" s="1093">
        <v>20500</v>
      </c>
      <c r="M747" s="358"/>
      <c r="N747" s="740"/>
      <c r="P747" s="7"/>
    </row>
    <row r="748" spans="1:16" s="8" customFormat="1" ht="18" customHeight="1" x14ac:dyDescent="0.3">
      <c r="A748" s="194">
        <v>742</v>
      </c>
      <c r="B748" s="737"/>
      <c r="C748" s="59"/>
      <c r="D748" s="1002" t="s">
        <v>973</v>
      </c>
      <c r="E748" s="795"/>
      <c r="F748" s="799"/>
      <c r="G748" s="1148"/>
      <c r="H748" s="1118"/>
      <c r="I748" s="415">
        <f>SUM(J748:Q748)</f>
        <v>20320</v>
      </c>
      <c r="J748" s="358"/>
      <c r="K748" s="358"/>
      <c r="L748" s="1094">
        <v>20320</v>
      </c>
      <c r="M748" s="358"/>
      <c r="N748" s="740"/>
      <c r="P748" s="7"/>
    </row>
    <row r="749" spans="1:16" s="8" customFormat="1" ht="22.15" customHeight="1" x14ac:dyDescent="0.3">
      <c r="A749" s="194">
        <v>743</v>
      </c>
      <c r="B749" s="737"/>
      <c r="C749" s="59">
        <v>149</v>
      </c>
      <c r="D749" s="1126" t="s">
        <v>621</v>
      </c>
      <c r="E749" s="795"/>
      <c r="F749" s="799"/>
      <c r="G749" s="1148"/>
      <c r="H749" s="1118" t="s">
        <v>24</v>
      </c>
      <c r="I749" s="317"/>
      <c r="J749" s="358"/>
      <c r="K749" s="358"/>
      <c r="L749" s="312"/>
      <c r="M749" s="358"/>
      <c r="N749" s="740"/>
      <c r="P749" s="7"/>
    </row>
    <row r="750" spans="1:16" s="8" customFormat="1" ht="18" customHeight="1" x14ac:dyDescent="0.3">
      <c r="A750" s="194">
        <v>744</v>
      </c>
      <c r="B750" s="737"/>
      <c r="C750" s="59"/>
      <c r="D750" s="976" t="s">
        <v>252</v>
      </c>
      <c r="E750" s="795"/>
      <c r="F750" s="799"/>
      <c r="G750" s="1148"/>
      <c r="H750" s="1118"/>
      <c r="I750" s="317">
        <f>SUM(J750:N750)</f>
        <v>5000</v>
      </c>
      <c r="J750" s="358"/>
      <c r="K750" s="358"/>
      <c r="L750" s="312">
        <v>5000</v>
      </c>
      <c r="M750" s="358"/>
      <c r="N750" s="740"/>
      <c r="P750" s="7"/>
    </row>
    <row r="751" spans="1:16" s="8" customFormat="1" ht="18" customHeight="1" x14ac:dyDescent="0.3">
      <c r="A751" s="194">
        <v>745</v>
      </c>
      <c r="B751" s="737"/>
      <c r="C751" s="59"/>
      <c r="D751" s="1003" t="s">
        <v>921</v>
      </c>
      <c r="E751" s="795"/>
      <c r="F751" s="799"/>
      <c r="G751" s="1148"/>
      <c r="H751" s="1118"/>
      <c r="I751" s="1448">
        <f>SUM(J751:N751)</f>
        <v>10000</v>
      </c>
      <c r="J751" s="1094"/>
      <c r="K751" s="1094"/>
      <c r="L751" s="1093">
        <v>10000</v>
      </c>
      <c r="M751" s="358"/>
      <c r="N751" s="740"/>
      <c r="P751" s="7"/>
    </row>
    <row r="752" spans="1:16" s="8" customFormat="1" ht="18" customHeight="1" x14ac:dyDescent="0.3">
      <c r="A752" s="194">
        <v>746</v>
      </c>
      <c r="B752" s="737"/>
      <c r="C752" s="59"/>
      <c r="D752" s="1002" t="s">
        <v>972</v>
      </c>
      <c r="E752" s="795"/>
      <c r="F752" s="799"/>
      <c r="G752" s="1148"/>
      <c r="H752" s="1118"/>
      <c r="I752" s="415">
        <f>SUM(J752:Q752)</f>
        <v>4167</v>
      </c>
      <c r="J752" s="358"/>
      <c r="K752" s="358"/>
      <c r="L752" s="1094">
        <v>4167</v>
      </c>
      <c r="M752" s="358"/>
      <c r="N752" s="740"/>
      <c r="P752" s="7"/>
    </row>
    <row r="753" spans="1:16" s="8" customFormat="1" ht="22.15" customHeight="1" x14ac:dyDescent="0.3">
      <c r="A753" s="194">
        <v>747</v>
      </c>
      <c r="B753" s="737"/>
      <c r="C753" s="59">
        <v>150</v>
      </c>
      <c r="D753" s="1126" t="s">
        <v>622</v>
      </c>
      <c r="E753" s="795"/>
      <c r="F753" s="799"/>
      <c r="G753" s="1152">
        <v>1500</v>
      </c>
      <c r="H753" s="1118" t="s">
        <v>24</v>
      </c>
      <c r="I753" s="317"/>
      <c r="J753" s="358"/>
      <c r="K753" s="358"/>
      <c r="L753" s="312"/>
      <c r="M753" s="358"/>
      <c r="N753" s="740"/>
      <c r="P753" s="7"/>
    </row>
    <row r="754" spans="1:16" s="8" customFormat="1" ht="18" customHeight="1" x14ac:dyDescent="0.3">
      <c r="A754" s="194">
        <v>748</v>
      </c>
      <c r="B754" s="737"/>
      <c r="C754" s="59"/>
      <c r="D754" s="976" t="s">
        <v>252</v>
      </c>
      <c r="E754" s="795"/>
      <c r="F754" s="799"/>
      <c r="G754" s="1148"/>
      <c r="H754" s="1118"/>
      <c r="I754" s="317">
        <f>SUM(J754:N754)</f>
        <v>3000</v>
      </c>
      <c r="J754" s="358"/>
      <c r="K754" s="358"/>
      <c r="L754" s="312"/>
      <c r="M754" s="358"/>
      <c r="N754" s="742">
        <v>3000</v>
      </c>
      <c r="P754" s="7"/>
    </row>
    <row r="755" spans="1:16" s="8" customFormat="1" ht="18" customHeight="1" x14ac:dyDescent="0.3">
      <c r="A755" s="194">
        <v>749</v>
      </c>
      <c r="B755" s="737"/>
      <c r="C755" s="59"/>
      <c r="D755" s="1003" t="s">
        <v>921</v>
      </c>
      <c r="E755" s="795"/>
      <c r="F755" s="799"/>
      <c r="G755" s="1148"/>
      <c r="H755" s="1118"/>
      <c r="I755" s="1448">
        <f>SUM(J755:N755)</f>
        <v>3000</v>
      </c>
      <c r="J755" s="1094"/>
      <c r="K755" s="1094"/>
      <c r="L755" s="1093"/>
      <c r="M755" s="1094"/>
      <c r="N755" s="1135">
        <v>3000</v>
      </c>
      <c r="P755" s="7"/>
    </row>
    <row r="756" spans="1:16" s="8" customFormat="1" ht="18" customHeight="1" x14ac:dyDescent="0.3">
      <c r="A756" s="194">
        <v>750</v>
      </c>
      <c r="B756" s="737"/>
      <c r="C756" s="59"/>
      <c r="D756" s="1002" t="s">
        <v>973</v>
      </c>
      <c r="E756" s="795"/>
      <c r="F756" s="799"/>
      <c r="G756" s="1148"/>
      <c r="H756" s="1118"/>
      <c r="I756" s="415">
        <f>SUM(J756:Q756)</f>
        <v>3000</v>
      </c>
      <c r="J756" s="358"/>
      <c r="K756" s="358"/>
      <c r="L756" s="312"/>
      <c r="M756" s="358"/>
      <c r="N756" s="1746">
        <v>3000</v>
      </c>
      <c r="P756" s="7"/>
    </row>
    <row r="757" spans="1:16" s="8" customFormat="1" ht="22.15" customHeight="1" x14ac:dyDescent="0.3">
      <c r="A757" s="194">
        <v>751</v>
      </c>
      <c r="B757" s="737"/>
      <c r="C757" s="59">
        <v>151</v>
      </c>
      <c r="D757" s="1126" t="s">
        <v>624</v>
      </c>
      <c r="E757" s="795"/>
      <c r="F757" s="799"/>
      <c r="G757" s="1148"/>
      <c r="H757" s="1118" t="s">
        <v>24</v>
      </c>
      <c r="I757" s="317"/>
      <c r="J757" s="358"/>
      <c r="K757" s="358"/>
      <c r="L757" s="312"/>
      <c r="M757" s="358"/>
      <c r="N757" s="740"/>
      <c r="P757" s="7"/>
    </row>
    <row r="758" spans="1:16" s="8" customFormat="1" ht="18" customHeight="1" x14ac:dyDescent="0.3">
      <c r="A758" s="194">
        <v>752</v>
      </c>
      <c r="B758" s="737"/>
      <c r="C758" s="59"/>
      <c r="D758" s="976" t="s">
        <v>252</v>
      </c>
      <c r="E758" s="795"/>
      <c r="F758" s="799"/>
      <c r="G758" s="1148"/>
      <c r="H758" s="739"/>
      <c r="I758" s="317">
        <f>SUM(J758:N758)</f>
        <v>14705</v>
      </c>
      <c r="J758" s="358"/>
      <c r="K758" s="358"/>
      <c r="L758" s="312">
        <v>14705</v>
      </c>
      <c r="M758" s="358"/>
      <c r="N758" s="740"/>
      <c r="P758" s="7"/>
    </row>
    <row r="759" spans="1:16" s="8" customFormat="1" ht="18" customHeight="1" x14ac:dyDescent="0.3">
      <c r="A759" s="194">
        <v>753</v>
      </c>
      <c r="B759" s="737"/>
      <c r="C759" s="59"/>
      <c r="D759" s="1003" t="s">
        <v>921</v>
      </c>
      <c r="E759" s="795"/>
      <c r="F759" s="799"/>
      <c r="G759" s="1148"/>
      <c r="H759" s="1118"/>
      <c r="I759" s="1448">
        <f>SUM(J759:N759)</f>
        <v>14705</v>
      </c>
      <c r="J759" s="1094"/>
      <c r="K759" s="1094"/>
      <c r="L759" s="1093">
        <v>14705</v>
      </c>
      <c r="M759" s="358"/>
      <c r="N759" s="740"/>
      <c r="P759" s="7"/>
    </row>
    <row r="760" spans="1:16" s="8" customFormat="1" ht="18" customHeight="1" x14ac:dyDescent="0.3">
      <c r="A760" s="194">
        <v>754</v>
      </c>
      <c r="B760" s="737"/>
      <c r="C760" s="59"/>
      <c r="D760" s="1002" t="s">
        <v>973</v>
      </c>
      <c r="E760" s="795"/>
      <c r="F760" s="799"/>
      <c r="G760" s="1148"/>
      <c r="H760" s="1118"/>
      <c r="I760" s="415">
        <f>SUM(J760:Q760)</f>
        <v>0</v>
      </c>
      <c r="J760" s="358"/>
      <c r="K760" s="358"/>
      <c r="L760" s="1094">
        <v>0</v>
      </c>
      <c r="M760" s="358"/>
      <c r="N760" s="740"/>
      <c r="P760" s="7"/>
    </row>
    <row r="761" spans="1:16" s="8" customFormat="1" ht="22.15" customHeight="1" x14ac:dyDescent="0.3">
      <c r="A761" s="194">
        <v>755</v>
      </c>
      <c r="B761" s="737"/>
      <c r="C761" s="59">
        <v>152</v>
      </c>
      <c r="D761" s="1126" t="s">
        <v>625</v>
      </c>
      <c r="E761" s="795"/>
      <c r="F761" s="799"/>
      <c r="G761" s="1148"/>
      <c r="H761" s="1118" t="s">
        <v>24</v>
      </c>
      <c r="I761" s="317"/>
      <c r="J761" s="358"/>
      <c r="K761" s="358"/>
      <c r="L761" s="312"/>
      <c r="M761" s="358"/>
      <c r="N761" s="740"/>
      <c r="P761" s="7"/>
    </row>
    <row r="762" spans="1:16" s="8" customFormat="1" ht="18" customHeight="1" x14ac:dyDescent="0.3">
      <c r="A762" s="194">
        <v>756</v>
      </c>
      <c r="B762" s="737"/>
      <c r="C762" s="59"/>
      <c r="D762" s="976" t="s">
        <v>252</v>
      </c>
      <c r="E762" s="795"/>
      <c r="F762" s="799"/>
      <c r="G762" s="1148"/>
      <c r="H762" s="739"/>
      <c r="I762" s="317">
        <f>SUM(J762:N762)</f>
        <v>11695</v>
      </c>
      <c r="J762" s="358"/>
      <c r="K762" s="358"/>
      <c r="L762" s="312"/>
      <c r="M762" s="358"/>
      <c r="N762" s="742">
        <v>11695</v>
      </c>
      <c r="P762" s="7"/>
    </row>
    <row r="763" spans="1:16" s="8" customFormat="1" ht="18" customHeight="1" x14ac:dyDescent="0.3">
      <c r="A763" s="194">
        <v>757</v>
      </c>
      <c r="B763" s="737"/>
      <c r="C763" s="59"/>
      <c r="D763" s="1003" t="s">
        <v>921</v>
      </c>
      <c r="E763" s="795"/>
      <c r="F763" s="799"/>
      <c r="G763" s="1148"/>
      <c r="H763" s="1118"/>
      <c r="I763" s="1448">
        <f>SUM(J763:N763)</f>
        <v>11695</v>
      </c>
      <c r="J763" s="1094"/>
      <c r="K763" s="1094"/>
      <c r="L763" s="1093"/>
      <c r="M763" s="1094"/>
      <c r="N763" s="1135">
        <v>11695</v>
      </c>
      <c r="P763" s="7"/>
    </row>
    <row r="764" spans="1:16" s="8" customFormat="1" ht="18" customHeight="1" x14ac:dyDescent="0.3">
      <c r="A764" s="194">
        <v>758</v>
      </c>
      <c r="B764" s="737"/>
      <c r="C764" s="59"/>
      <c r="D764" s="1002" t="s">
        <v>973</v>
      </c>
      <c r="E764" s="795"/>
      <c r="F764" s="799"/>
      <c r="G764" s="1148"/>
      <c r="H764" s="1118"/>
      <c r="I764" s="415">
        <f>SUM(J764:Q764)</f>
        <v>11695</v>
      </c>
      <c r="J764" s="358"/>
      <c r="K764" s="358"/>
      <c r="L764" s="312"/>
      <c r="M764" s="358"/>
      <c r="N764" s="1746">
        <v>11695</v>
      </c>
      <c r="P764" s="7"/>
    </row>
    <row r="765" spans="1:16" s="8" customFormat="1" ht="22.15" customHeight="1" x14ac:dyDescent="0.3">
      <c r="A765" s="194">
        <v>759</v>
      </c>
      <c r="B765" s="737"/>
      <c r="C765" s="59">
        <v>153</v>
      </c>
      <c r="D765" s="1126" t="s">
        <v>626</v>
      </c>
      <c r="E765" s="795"/>
      <c r="F765" s="799"/>
      <c r="G765" s="1148"/>
      <c r="H765" s="1118" t="s">
        <v>24</v>
      </c>
      <c r="I765" s="317"/>
      <c r="J765" s="358"/>
      <c r="K765" s="358"/>
      <c r="L765" s="312"/>
      <c r="M765" s="358"/>
      <c r="N765" s="740"/>
      <c r="P765" s="7"/>
    </row>
    <row r="766" spans="1:16" s="8" customFormat="1" ht="18" customHeight="1" x14ac:dyDescent="0.3">
      <c r="A766" s="194">
        <v>760</v>
      </c>
      <c r="B766" s="737"/>
      <c r="C766" s="59"/>
      <c r="D766" s="976" t="s">
        <v>252</v>
      </c>
      <c r="E766" s="795"/>
      <c r="F766" s="799"/>
      <c r="G766" s="1148"/>
      <c r="H766" s="739"/>
      <c r="I766" s="317">
        <f>SUM(J766:N766)</f>
        <v>10000</v>
      </c>
      <c r="J766" s="358"/>
      <c r="K766" s="358"/>
      <c r="L766" s="312">
        <v>10000</v>
      </c>
      <c r="M766" s="358"/>
      <c r="N766" s="740"/>
      <c r="P766" s="7"/>
    </row>
    <row r="767" spans="1:16" s="8" customFormat="1" ht="18" customHeight="1" x14ac:dyDescent="0.3">
      <c r="A767" s="194">
        <v>761</v>
      </c>
      <c r="B767" s="737"/>
      <c r="C767" s="59"/>
      <c r="D767" s="1003" t="s">
        <v>921</v>
      </c>
      <c r="E767" s="795"/>
      <c r="F767" s="799"/>
      <c r="G767" s="1148"/>
      <c r="H767" s="1118"/>
      <c r="I767" s="1448">
        <f>SUM(J767:N767)</f>
        <v>10000</v>
      </c>
      <c r="J767" s="1094"/>
      <c r="K767" s="1094"/>
      <c r="L767" s="1093">
        <v>10000</v>
      </c>
      <c r="M767" s="358"/>
      <c r="N767" s="740"/>
      <c r="P767" s="7"/>
    </row>
    <row r="768" spans="1:16" s="8" customFormat="1" ht="18" customHeight="1" x14ac:dyDescent="0.3">
      <c r="A768" s="194">
        <v>762</v>
      </c>
      <c r="B768" s="737"/>
      <c r="C768" s="59"/>
      <c r="D768" s="1002" t="s">
        <v>973</v>
      </c>
      <c r="E768" s="795"/>
      <c r="F768" s="799"/>
      <c r="G768" s="1148"/>
      <c r="H768" s="1118"/>
      <c r="I768" s="415">
        <f>SUM(J768:Q768)</f>
        <v>5000</v>
      </c>
      <c r="J768" s="358"/>
      <c r="K768" s="358"/>
      <c r="L768" s="1094">
        <v>5000</v>
      </c>
      <c r="M768" s="358"/>
      <c r="N768" s="740"/>
      <c r="P768" s="7"/>
    </row>
    <row r="769" spans="1:16" s="8" customFormat="1" ht="22.15" customHeight="1" x14ac:dyDescent="0.3">
      <c r="A769" s="194">
        <v>763</v>
      </c>
      <c r="B769" s="737"/>
      <c r="C769" s="59">
        <v>154</v>
      </c>
      <c r="D769" s="1126" t="s">
        <v>627</v>
      </c>
      <c r="E769" s="795"/>
      <c r="F769" s="799"/>
      <c r="G769" s="1148"/>
      <c r="H769" s="1118" t="s">
        <v>24</v>
      </c>
      <c r="I769" s="317"/>
      <c r="J769" s="358"/>
      <c r="K769" s="358"/>
      <c r="L769" s="312"/>
      <c r="M769" s="358"/>
      <c r="N769" s="740"/>
      <c r="P769" s="7"/>
    </row>
    <row r="770" spans="1:16" s="8" customFormat="1" ht="18" customHeight="1" x14ac:dyDescent="0.3">
      <c r="A770" s="194">
        <v>764</v>
      </c>
      <c r="B770" s="737"/>
      <c r="C770" s="59"/>
      <c r="D770" s="976" t="s">
        <v>252</v>
      </c>
      <c r="E770" s="795"/>
      <c r="F770" s="799"/>
      <c r="G770" s="1148"/>
      <c r="H770" s="739"/>
      <c r="I770" s="317">
        <f>SUM(J770:N770)</f>
        <v>1700</v>
      </c>
      <c r="J770" s="358"/>
      <c r="K770" s="358"/>
      <c r="L770" s="312">
        <v>1700</v>
      </c>
      <c r="M770" s="358"/>
      <c r="N770" s="740"/>
      <c r="P770" s="7"/>
    </row>
    <row r="771" spans="1:16" s="8" customFormat="1" ht="18" customHeight="1" x14ac:dyDescent="0.3">
      <c r="A771" s="194">
        <v>765</v>
      </c>
      <c r="B771" s="737"/>
      <c r="C771" s="59"/>
      <c r="D771" s="1003" t="s">
        <v>921</v>
      </c>
      <c r="E771" s="795"/>
      <c r="F771" s="799"/>
      <c r="G771" s="1148"/>
      <c r="H771" s="1118"/>
      <c r="I771" s="1448">
        <f>SUM(J771:N771)</f>
        <v>0</v>
      </c>
      <c r="J771" s="1094"/>
      <c r="K771" s="1094"/>
      <c r="L771" s="1093">
        <v>0</v>
      </c>
      <c r="M771" s="1094"/>
      <c r="N771" s="1135">
        <v>0</v>
      </c>
      <c r="P771" s="7"/>
    </row>
    <row r="772" spans="1:16" s="8" customFormat="1" ht="18" customHeight="1" x14ac:dyDescent="0.3">
      <c r="A772" s="194">
        <v>766</v>
      </c>
      <c r="B772" s="737"/>
      <c r="C772" s="59"/>
      <c r="D772" s="1002" t="s">
        <v>972</v>
      </c>
      <c r="E772" s="795"/>
      <c r="F772" s="799"/>
      <c r="G772" s="1148"/>
      <c r="H772" s="1118"/>
      <c r="I772" s="415">
        <f>SUM(J772:Q772)</f>
        <v>0</v>
      </c>
      <c r="J772" s="358"/>
      <c r="K772" s="358"/>
      <c r="L772" s="1094">
        <v>0</v>
      </c>
      <c r="M772" s="1094"/>
      <c r="N772" s="1746">
        <v>0</v>
      </c>
      <c r="P772" s="7"/>
    </row>
    <row r="773" spans="1:16" s="8" customFormat="1" ht="22.15" customHeight="1" x14ac:dyDescent="0.3">
      <c r="A773" s="194">
        <v>767</v>
      </c>
      <c r="B773" s="737"/>
      <c r="C773" s="59">
        <v>155</v>
      </c>
      <c r="D773" s="1126" t="s">
        <v>628</v>
      </c>
      <c r="E773" s="795"/>
      <c r="F773" s="799"/>
      <c r="G773" s="1148"/>
      <c r="H773" s="1118" t="s">
        <v>24</v>
      </c>
      <c r="I773" s="317"/>
      <c r="J773" s="358"/>
      <c r="K773" s="358"/>
      <c r="L773" s="312"/>
      <c r="M773" s="358"/>
      <c r="N773" s="740"/>
      <c r="P773" s="7"/>
    </row>
    <row r="774" spans="1:16" s="8" customFormat="1" ht="18" customHeight="1" x14ac:dyDescent="0.3">
      <c r="A774" s="194">
        <v>768</v>
      </c>
      <c r="B774" s="737"/>
      <c r="C774" s="59"/>
      <c r="D774" s="976" t="s">
        <v>252</v>
      </c>
      <c r="E774" s="795"/>
      <c r="F774" s="799"/>
      <c r="G774" s="1148"/>
      <c r="H774" s="739"/>
      <c r="I774" s="317">
        <f>SUM(J774:N774)</f>
        <v>500</v>
      </c>
      <c r="J774" s="358"/>
      <c r="K774" s="358"/>
      <c r="L774" s="312">
        <v>500</v>
      </c>
      <c r="M774" s="358"/>
      <c r="N774" s="740"/>
      <c r="P774" s="7"/>
    </row>
    <row r="775" spans="1:16" s="8" customFormat="1" ht="18" customHeight="1" x14ac:dyDescent="0.3">
      <c r="A775" s="194">
        <v>769</v>
      </c>
      <c r="B775" s="737"/>
      <c r="C775" s="59"/>
      <c r="D775" s="1003" t="s">
        <v>921</v>
      </c>
      <c r="E775" s="795"/>
      <c r="F775" s="799"/>
      <c r="G775" s="1148"/>
      <c r="H775" s="739"/>
      <c r="I775" s="1448">
        <f>SUM(J775:N775)</f>
        <v>500</v>
      </c>
      <c r="J775" s="1095">
        <v>95</v>
      </c>
      <c r="K775" s="1095">
        <v>40</v>
      </c>
      <c r="L775" s="1093">
        <v>365</v>
      </c>
      <c r="M775" s="358"/>
      <c r="N775" s="740"/>
      <c r="P775" s="7"/>
    </row>
    <row r="776" spans="1:16" s="8" customFormat="1" ht="18" customHeight="1" x14ac:dyDescent="0.3">
      <c r="A776" s="194">
        <v>770</v>
      </c>
      <c r="B776" s="737"/>
      <c r="C776" s="59"/>
      <c r="D776" s="1002" t="s">
        <v>972</v>
      </c>
      <c r="E776" s="795"/>
      <c r="F776" s="799"/>
      <c r="G776" s="1148"/>
      <c r="H776" s="739"/>
      <c r="I776" s="415">
        <f>SUM(J776:Q776)</f>
        <v>196</v>
      </c>
      <c r="J776" s="1094">
        <v>95</v>
      </c>
      <c r="K776" s="1094">
        <v>40</v>
      </c>
      <c r="L776" s="1094">
        <v>61</v>
      </c>
      <c r="M776" s="358"/>
      <c r="N776" s="740"/>
      <c r="P776" s="7"/>
    </row>
    <row r="777" spans="1:16" s="8" customFormat="1" ht="33.75" customHeight="1" x14ac:dyDescent="0.3">
      <c r="A777" s="194">
        <v>771</v>
      </c>
      <c r="B777" s="737"/>
      <c r="C777" s="184">
        <v>156</v>
      </c>
      <c r="D777" s="1127" t="s">
        <v>629</v>
      </c>
      <c r="E777" s="795"/>
      <c r="F777" s="799"/>
      <c r="G777" s="1148"/>
      <c r="H777" s="738" t="s">
        <v>24</v>
      </c>
      <c r="I777" s="317"/>
      <c r="J777" s="358"/>
      <c r="K777" s="358"/>
      <c r="L777" s="312"/>
      <c r="M777" s="358"/>
      <c r="N777" s="740"/>
      <c r="P777" s="7"/>
    </row>
    <row r="778" spans="1:16" s="8" customFormat="1" ht="18" customHeight="1" x14ac:dyDescent="0.3">
      <c r="A778" s="194">
        <v>772</v>
      </c>
      <c r="B778" s="737"/>
      <c r="C778" s="59"/>
      <c r="D778" s="1128" t="s">
        <v>252</v>
      </c>
      <c r="E778" s="795"/>
      <c r="F778" s="799"/>
      <c r="G778" s="1148"/>
      <c r="H778" s="739"/>
      <c r="I778" s="317">
        <f>SUM(J778:N778)</f>
        <v>22300</v>
      </c>
      <c r="J778" s="358"/>
      <c r="K778" s="358"/>
      <c r="L778" s="312">
        <v>22300</v>
      </c>
      <c r="M778" s="358"/>
      <c r="N778" s="740"/>
      <c r="P778" s="7"/>
    </row>
    <row r="779" spans="1:16" s="8" customFormat="1" ht="18" customHeight="1" x14ac:dyDescent="0.3">
      <c r="A779" s="194">
        <v>773</v>
      </c>
      <c r="B779" s="737"/>
      <c r="C779" s="59"/>
      <c r="D779" s="1003" t="s">
        <v>921</v>
      </c>
      <c r="E779" s="795"/>
      <c r="F779" s="799"/>
      <c r="G779" s="1148"/>
      <c r="H779" s="1118"/>
      <c r="I779" s="1448">
        <f>SUM(J779:N779)</f>
        <v>22300</v>
      </c>
      <c r="J779" s="1094"/>
      <c r="K779" s="1094"/>
      <c r="L779" s="1093">
        <v>22300</v>
      </c>
      <c r="M779" s="358"/>
      <c r="N779" s="740"/>
      <c r="P779" s="7"/>
    </row>
    <row r="780" spans="1:16" s="8" customFormat="1" ht="18" customHeight="1" x14ac:dyDescent="0.3">
      <c r="A780" s="194">
        <v>774</v>
      </c>
      <c r="B780" s="737"/>
      <c r="C780" s="59"/>
      <c r="D780" s="1002" t="s">
        <v>973</v>
      </c>
      <c r="E780" s="795"/>
      <c r="F780" s="799"/>
      <c r="G780" s="1148"/>
      <c r="H780" s="1118"/>
      <c r="I780" s="415">
        <f>SUM(J780:Q780)</f>
        <v>0</v>
      </c>
      <c r="J780" s="358"/>
      <c r="K780" s="358"/>
      <c r="L780" s="1094">
        <v>0</v>
      </c>
      <c r="M780" s="358"/>
      <c r="N780" s="740"/>
      <c r="P780" s="7"/>
    </row>
    <row r="781" spans="1:16" s="8" customFormat="1" ht="22.15" customHeight="1" x14ac:dyDescent="0.3">
      <c r="A781" s="194">
        <v>775</v>
      </c>
      <c r="B781" s="737"/>
      <c r="C781" s="59">
        <v>157</v>
      </c>
      <c r="D781" s="1127" t="s">
        <v>789</v>
      </c>
      <c r="E781" s="795"/>
      <c r="F781" s="799"/>
      <c r="G781" s="1148"/>
      <c r="H781" s="1118" t="s">
        <v>24</v>
      </c>
      <c r="I781" s="317"/>
      <c r="J781" s="358"/>
      <c r="K781" s="358"/>
      <c r="L781" s="312"/>
      <c r="M781" s="358"/>
      <c r="N781" s="740"/>
      <c r="P781" s="7"/>
    </row>
    <row r="782" spans="1:16" s="8" customFormat="1" ht="18" customHeight="1" x14ac:dyDescent="0.3">
      <c r="A782" s="194">
        <v>776</v>
      </c>
      <c r="B782" s="737"/>
      <c r="C782" s="59"/>
      <c r="D782" s="1128" t="s">
        <v>252</v>
      </c>
      <c r="E782" s="795"/>
      <c r="F782" s="799"/>
      <c r="G782" s="1148"/>
      <c r="H782" s="739"/>
      <c r="I782" s="317">
        <f>SUM(J782:N782)</f>
        <v>500</v>
      </c>
      <c r="J782" s="358"/>
      <c r="K782" s="358"/>
      <c r="L782" s="312"/>
      <c r="M782" s="358"/>
      <c r="N782" s="742">
        <v>500</v>
      </c>
      <c r="P782" s="7"/>
    </row>
    <row r="783" spans="1:16" s="8" customFormat="1" ht="18" customHeight="1" x14ac:dyDescent="0.3">
      <c r="A783" s="194">
        <v>777</v>
      </c>
      <c r="B783" s="737"/>
      <c r="C783" s="59"/>
      <c r="D783" s="1003" t="s">
        <v>921</v>
      </c>
      <c r="E783" s="795"/>
      <c r="F783" s="799"/>
      <c r="G783" s="1148"/>
      <c r="H783" s="1118"/>
      <c r="I783" s="1448">
        <f>SUM(J783:N783)</f>
        <v>900</v>
      </c>
      <c r="J783" s="1094"/>
      <c r="K783" s="1094"/>
      <c r="L783" s="1093"/>
      <c r="M783" s="1094"/>
      <c r="N783" s="1135">
        <v>900</v>
      </c>
      <c r="P783" s="7"/>
    </row>
    <row r="784" spans="1:16" s="8" customFormat="1" ht="18" customHeight="1" x14ac:dyDescent="0.3">
      <c r="A784" s="194">
        <v>778</v>
      </c>
      <c r="B784" s="737"/>
      <c r="C784" s="59"/>
      <c r="D784" s="1002" t="s">
        <v>972</v>
      </c>
      <c r="E784" s="795"/>
      <c r="F784" s="799"/>
      <c r="G784" s="1148"/>
      <c r="H784" s="1118"/>
      <c r="I784" s="415">
        <f>SUM(J784:Q784)</f>
        <v>500</v>
      </c>
      <c r="J784" s="358"/>
      <c r="K784" s="358"/>
      <c r="L784" s="312"/>
      <c r="M784" s="358"/>
      <c r="N784" s="1746">
        <v>500</v>
      </c>
      <c r="P784" s="7"/>
    </row>
    <row r="785" spans="1:16" s="8" customFormat="1" ht="22.15" customHeight="1" x14ac:dyDescent="0.3">
      <c r="A785" s="194">
        <v>779</v>
      </c>
      <c r="B785" s="737"/>
      <c r="C785" s="59">
        <v>158</v>
      </c>
      <c r="D785" s="1127" t="s">
        <v>632</v>
      </c>
      <c r="E785" s="795"/>
      <c r="F785" s="799"/>
      <c r="G785" s="1148"/>
      <c r="H785" s="1118" t="s">
        <v>24</v>
      </c>
      <c r="I785" s="317"/>
      <c r="J785" s="358"/>
      <c r="K785" s="358"/>
      <c r="L785" s="312"/>
      <c r="M785" s="358"/>
      <c r="N785" s="742"/>
      <c r="P785" s="7"/>
    </row>
    <row r="786" spans="1:16" s="8" customFormat="1" ht="18" customHeight="1" x14ac:dyDescent="0.3">
      <c r="A786" s="194">
        <v>780</v>
      </c>
      <c r="B786" s="737"/>
      <c r="C786" s="59"/>
      <c r="D786" s="1128" t="s">
        <v>252</v>
      </c>
      <c r="E786" s="795"/>
      <c r="F786" s="799"/>
      <c r="G786" s="1148"/>
      <c r="H786" s="739"/>
      <c r="I786" s="317">
        <f>SUM(J786:N786)</f>
        <v>20000</v>
      </c>
      <c r="J786" s="358"/>
      <c r="K786" s="358"/>
      <c r="L786" s="312"/>
      <c r="M786" s="358"/>
      <c r="N786" s="742">
        <v>20000</v>
      </c>
      <c r="P786" s="7"/>
    </row>
    <row r="787" spans="1:16" s="8" customFormat="1" ht="18" customHeight="1" x14ac:dyDescent="0.3">
      <c r="A787" s="194">
        <v>781</v>
      </c>
      <c r="B787" s="737"/>
      <c r="C787" s="59"/>
      <c r="D787" s="1003" t="s">
        <v>921</v>
      </c>
      <c r="E787" s="795"/>
      <c r="F787" s="799"/>
      <c r="G787" s="1148"/>
      <c r="H787" s="1118"/>
      <c r="I787" s="1448">
        <f>SUM(J787:N787)</f>
        <v>20000</v>
      </c>
      <c r="J787" s="1094"/>
      <c r="K787" s="1094"/>
      <c r="L787" s="1093"/>
      <c r="M787" s="1094"/>
      <c r="N787" s="1135">
        <v>20000</v>
      </c>
      <c r="P787" s="7"/>
    </row>
    <row r="788" spans="1:16" s="8" customFormat="1" ht="18" customHeight="1" x14ac:dyDescent="0.3">
      <c r="A788" s="194">
        <v>782</v>
      </c>
      <c r="B788" s="737"/>
      <c r="C788" s="59"/>
      <c r="D788" s="1002" t="s">
        <v>973</v>
      </c>
      <c r="E788" s="795"/>
      <c r="F788" s="799"/>
      <c r="G788" s="1148"/>
      <c r="H788" s="1118"/>
      <c r="I788" s="415">
        <f>SUM(J788:Q788)</f>
        <v>20000</v>
      </c>
      <c r="J788" s="358"/>
      <c r="K788" s="358"/>
      <c r="L788" s="312"/>
      <c r="M788" s="358"/>
      <c r="N788" s="1746">
        <v>20000</v>
      </c>
      <c r="P788" s="7"/>
    </row>
    <row r="789" spans="1:16" s="8" customFormat="1" ht="22.15" customHeight="1" x14ac:dyDescent="0.3">
      <c r="A789" s="194">
        <v>783</v>
      </c>
      <c r="B789" s="737"/>
      <c r="C789" s="59">
        <v>159</v>
      </c>
      <c r="D789" s="1127" t="s">
        <v>630</v>
      </c>
      <c r="E789" s="795"/>
      <c r="F789" s="799"/>
      <c r="G789" s="1148"/>
      <c r="H789" s="1118" t="s">
        <v>24</v>
      </c>
      <c r="I789" s="317"/>
      <c r="J789" s="358"/>
      <c r="K789" s="358"/>
      <c r="L789" s="312"/>
      <c r="M789" s="358"/>
      <c r="N789" s="742"/>
      <c r="P789" s="7"/>
    </row>
    <row r="790" spans="1:16" s="8" customFormat="1" ht="18" customHeight="1" x14ac:dyDescent="0.3">
      <c r="A790" s="194">
        <v>784</v>
      </c>
      <c r="B790" s="737"/>
      <c r="C790" s="59"/>
      <c r="D790" s="1128" t="s">
        <v>252</v>
      </c>
      <c r="E790" s="795"/>
      <c r="F790" s="799"/>
      <c r="G790" s="1148"/>
      <c r="H790" s="739"/>
      <c r="I790" s="317">
        <f>SUM(J790:N790)</f>
        <v>1000</v>
      </c>
      <c r="J790" s="358"/>
      <c r="K790" s="358"/>
      <c r="L790" s="312"/>
      <c r="M790" s="358"/>
      <c r="N790" s="742">
        <v>1000</v>
      </c>
      <c r="P790" s="7"/>
    </row>
    <row r="791" spans="1:16" s="8" customFormat="1" ht="18" customHeight="1" x14ac:dyDescent="0.3">
      <c r="A791" s="194">
        <v>785</v>
      </c>
      <c r="B791" s="737"/>
      <c r="C791" s="59"/>
      <c r="D791" s="1003" t="s">
        <v>921</v>
      </c>
      <c r="E791" s="795"/>
      <c r="F791" s="799"/>
      <c r="G791" s="1148"/>
      <c r="H791" s="1118"/>
      <c r="I791" s="1448">
        <f>SUM(J791:N791)</f>
        <v>1000</v>
      </c>
      <c r="J791" s="1094"/>
      <c r="K791" s="1094"/>
      <c r="L791" s="1093"/>
      <c r="M791" s="1094"/>
      <c r="N791" s="1135">
        <v>1000</v>
      </c>
      <c r="P791" s="7"/>
    </row>
    <row r="792" spans="1:16" s="8" customFormat="1" ht="18" customHeight="1" x14ac:dyDescent="0.3">
      <c r="A792" s="194">
        <v>786</v>
      </c>
      <c r="B792" s="737"/>
      <c r="C792" s="59"/>
      <c r="D792" s="1002" t="s">
        <v>973</v>
      </c>
      <c r="E792" s="795"/>
      <c r="F792" s="799"/>
      <c r="G792" s="1148"/>
      <c r="H792" s="1118"/>
      <c r="I792" s="415">
        <f>SUM(J792:Q792)</f>
        <v>1000</v>
      </c>
      <c r="J792" s="358"/>
      <c r="K792" s="358"/>
      <c r="L792" s="312"/>
      <c r="M792" s="358"/>
      <c r="N792" s="1746">
        <v>1000</v>
      </c>
      <c r="P792" s="7"/>
    </row>
    <row r="793" spans="1:16" s="8" customFormat="1" ht="22.15" customHeight="1" x14ac:dyDescent="0.3">
      <c r="A793" s="194">
        <v>787</v>
      </c>
      <c r="B793" s="737"/>
      <c r="C793" s="59">
        <v>160</v>
      </c>
      <c r="D793" s="1127" t="s">
        <v>631</v>
      </c>
      <c r="E793" s="795"/>
      <c r="F793" s="799"/>
      <c r="G793" s="1148"/>
      <c r="H793" s="1118" t="s">
        <v>24</v>
      </c>
      <c r="I793" s="570"/>
      <c r="J793" s="358"/>
      <c r="K793" s="358"/>
      <c r="L793" s="312"/>
      <c r="M793" s="358"/>
      <c r="N793" s="742"/>
      <c r="P793" s="7"/>
    </row>
    <row r="794" spans="1:16" s="8" customFormat="1" ht="18" customHeight="1" x14ac:dyDescent="0.3">
      <c r="A794" s="194">
        <v>788</v>
      </c>
      <c r="B794" s="737"/>
      <c r="C794" s="59"/>
      <c r="D794" s="1128" t="s">
        <v>252</v>
      </c>
      <c r="E794" s="795"/>
      <c r="F794" s="799"/>
      <c r="G794" s="1148"/>
      <c r="H794" s="739"/>
      <c r="I794" s="317">
        <f>SUM(J794:N794)</f>
        <v>350</v>
      </c>
      <c r="J794" s="358"/>
      <c r="K794" s="358"/>
      <c r="L794" s="312"/>
      <c r="M794" s="358"/>
      <c r="N794" s="742">
        <v>350</v>
      </c>
      <c r="P794" s="7"/>
    </row>
    <row r="795" spans="1:16" s="8" customFormat="1" ht="18" customHeight="1" x14ac:dyDescent="0.3">
      <c r="A795" s="194">
        <v>789</v>
      </c>
      <c r="B795" s="737"/>
      <c r="C795" s="59"/>
      <c r="D795" s="1003" t="s">
        <v>921</v>
      </c>
      <c r="E795" s="795"/>
      <c r="F795" s="799"/>
      <c r="G795" s="1148"/>
      <c r="H795" s="739"/>
      <c r="I795" s="1448">
        <f>SUM(J795:N795)</f>
        <v>700</v>
      </c>
      <c r="J795" s="1095"/>
      <c r="K795" s="1095"/>
      <c r="L795" s="1093"/>
      <c r="M795" s="1095"/>
      <c r="N795" s="1135">
        <v>700</v>
      </c>
      <c r="P795" s="7"/>
    </row>
    <row r="796" spans="1:16" s="8" customFormat="1" ht="18" customHeight="1" x14ac:dyDescent="0.3">
      <c r="A796" s="194">
        <v>790</v>
      </c>
      <c r="B796" s="737"/>
      <c r="C796" s="59"/>
      <c r="D796" s="1002" t="s">
        <v>972</v>
      </c>
      <c r="E796" s="795"/>
      <c r="F796" s="799"/>
      <c r="G796" s="1148"/>
      <c r="H796" s="739"/>
      <c r="I796" s="415">
        <f>SUM(J796:Q796)</f>
        <v>0</v>
      </c>
      <c r="J796" s="358"/>
      <c r="K796" s="358"/>
      <c r="L796" s="312"/>
      <c r="M796" s="358"/>
      <c r="N796" s="1102">
        <v>0</v>
      </c>
      <c r="P796" s="7"/>
    </row>
    <row r="797" spans="1:16" s="8" customFormat="1" ht="22.35" customHeight="1" x14ac:dyDescent="0.3">
      <c r="A797" s="194">
        <v>791</v>
      </c>
      <c r="B797" s="737"/>
      <c r="C797" s="59">
        <v>161</v>
      </c>
      <c r="D797" s="1126" t="s">
        <v>829</v>
      </c>
      <c r="E797" s="795"/>
      <c r="F797" s="799"/>
      <c r="G797" s="1148"/>
      <c r="H797" s="739" t="s">
        <v>24</v>
      </c>
      <c r="I797" s="317"/>
      <c r="J797" s="358"/>
      <c r="K797" s="358"/>
      <c r="L797" s="312"/>
      <c r="M797" s="358"/>
      <c r="N797" s="313"/>
      <c r="P797" s="7"/>
    </row>
    <row r="798" spans="1:16" s="8" customFormat="1" ht="18" customHeight="1" x14ac:dyDescent="0.3">
      <c r="A798" s="194">
        <v>792</v>
      </c>
      <c r="B798" s="1120"/>
      <c r="C798" s="1379"/>
      <c r="D798" s="1129" t="s">
        <v>252</v>
      </c>
      <c r="E798" s="795"/>
      <c r="F798" s="892"/>
      <c r="G798" s="1153"/>
      <c r="H798" s="1441"/>
      <c r="I798" s="1121">
        <f>SUM(J798:N798)</f>
        <v>5000</v>
      </c>
      <c r="J798" s="1122"/>
      <c r="K798" s="1122"/>
      <c r="L798" s="1123">
        <v>5000</v>
      </c>
      <c r="M798" s="1122"/>
      <c r="N798" s="1124"/>
      <c r="P798" s="7"/>
    </row>
    <row r="799" spans="1:16" s="8" customFormat="1" ht="18" customHeight="1" x14ac:dyDescent="0.3">
      <c r="A799" s="194">
        <v>793</v>
      </c>
      <c r="B799" s="1120"/>
      <c r="C799" s="1379"/>
      <c r="D799" s="1003" t="s">
        <v>921</v>
      </c>
      <c r="E799" s="795"/>
      <c r="F799" s="892"/>
      <c r="G799" s="1153"/>
      <c r="H799" s="1441"/>
      <c r="I799" s="1462">
        <f>SUM(J799:N799)</f>
        <v>5000</v>
      </c>
      <c r="J799" s="1195"/>
      <c r="K799" s="1195"/>
      <c r="L799" s="1194">
        <v>0</v>
      </c>
      <c r="M799" s="1195"/>
      <c r="N799" s="1196">
        <v>5000</v>
      </c>
      <c r="P799" s="7"/>
    </row>
    <row r="800" spans="1:16" s="8" customFormat="1" ht="18" customHeight="1" x14ac:dyDescent="0.3">
      <c r="A800" s="194">
        <v>794</v>
      </c>
      <c r="B800" s="737"/>
      <c r="C800" s="59"/>
      <c r="D800" s="1004" t="s">
        <v>972</v>
      </c>
      <c r="E800" s="795"/>
      <c r="F800" s="799"/>
      <c r="G800" s="1148"/>
      <c r="H800" s="739"/>
      <c r="I800" s="415">
        <f>SUM(J800:Q800)</f>
        <v>5000</v>
      </c>
      <c r="J800" s="1094"/>
      <c r="K800" s="1094"/>
      <c r="L800" s="1094">
        <v>0</v>
      </c>
      <c r="M800" s="1094"/>
      <c r="N800" s="1102">
        <v>5000</v>
      </c>
      <c r="P800" s="7"/>
    </row>
    <row r="801" spans="1:16" s="8" customFormat="1" ht="22.5" customHeight="1" x14ac:dyDescent="0.3">
      <c r="A801" s="194">
        <v>795</v>
      </c>
      <c r="B801" s="1120"/>
      <c r="C801" s="59">
        <v>163</v>
      </c>
      <c r="D801" s="1126" t="s">
        <v>966</v>
      </c>
      <c r="E801" s="1130"/>
      <c r="F801" s="892"/>
      <c r="G801" s="1153"/>
      <c r="H801" s="1441" t="s">
        <v>24</v>
      </c>
      <c r="I801" s="1048"/>
      <c r="J801" s="1132"/>
      <c r="K801" s="1132"/>
      <c r="L801" s="1194"/>
      <c r="M801" s="1122"/>
      <c r="N801" s="1124"/>
      <c r="P801" s="7"/>
    </row>
    <row r="802" spans="1:16" s="8" customFormat="1" ht="18" customHeight="1" x14ac:dyDescent="0.3">
      <c r="A802" s="194">
        <v>796</v>
      </c>
      <c r="B802" s="1120"/>
      <c r="C802" s="59"/>
      <c r="D802" s="1003" t="s">
        <v>921</v>
      </c>
      <c r="E802" s="1130"/>
      <c r="F802" s="892"/>
      <c r="G802" s="1153"/>
      <c r="H802" s="1441"/>
      <c r="I802" s="1048">
        <f>SUM(J802:Q802)</f>
        <v>1500</v>
      </c>
      <c r="J802" s="1132"/>
      <c r="K802" s="1132"/>
      <c r="L802" s="1194">
        <v>1500</v>
      </c>
      <c r="M802" s="1122"/>
      <c r="N802" s="1124"/>
      <c r="P802" s="7"/>
    </row>
    <row r="803" spans="1:16" s="8" customFormat="1" ht="18" customHeight="1" x14ac:dyDescent="0.3">
      <c r="A803" s="194">
        <v>797</v>
      </c>
      <c r="B803" s="1120"/>
      <c r="C803" s="59"/>
      <c r="D803" s="1004" t="s">
        <v>972</v>
      </c>
      <c r="E803" s="1130"/>
      <c r="F803" s="892"/>
      <c r="G803" s="1153"/>
      <c r="H803" s="1441"/>
      <c r="I803" s="415">
        <f>SUM(J803:Q803)</f>
        <v>0</v>
      </c>
      <c r="J803" s="1132"/>
      <c r="K803" s="1132"/>
      <c r="L803" s="1195">
        <v>0</v>
      </c>
      <c r="M803" s="1122"/>
      <c r="N803" s="1124"/>
      <c r="P803" s="7"/>
    </row>
    <row r="804" spans="1:16" s="8" customFormat="1" ht="22.5" customHeight="1" x14ac:dyDescent="0.3">
      <c r="A804" s="194">
        <v>798</v>
      </c>
      <c r="B804" s="1120"/>
      <c r="C804" s="59">
        <v>164</v>
      </c>
      <c r="D804" s="1126" t="s">
        <v>889</v>
      </c>
      <c r="E804" s="1130"/>
      <c r="F804" s="892"/>
      <c r="G804" s="1153"/>
      <c r="H804" s="1441" t="s">
        <v>24</v>
      </c>
      <c r="I804" s="1048"/>
      <c r="J804" s="1132"/>
      <c r="K804" s="1132"/>
      <c r="L804" s="1194"/>
      <c r="M804" s="1122"/>
      <c r="N804" s="1124"/>
      <c r="P804" s="7"/>
    </row>
    <row r="805" spans="1:16" s="8" customFormat="1" ht="18" customHeight="1" x14ac:dyDescent="0.3">
      <c r="A805" s="194">
        <v>799</v>
      </c>
      <c r="B805" s="1120"/>
      <c r="C805" s="59"/>
      <c r="D805" s="1003" t="s">
        <v>921</v>
      </c>
      <c r="E805" s="1130"/>
      <c r="F805" s="892"/>
      <c r="G805" s="1153"/>
      <c r="H805" s="1441"/>
      <c r="I805" s="1048">
        <f>SUM(J805:Q805)</f>
        <v>19100</v>
      </c>
      <c r="J805" s="1132"/>
      <c r="K805" s="1132"/>
      <c r="L805" s="1194">
        <v>19100</v>
      </c>
      <c r="M805" s="1122"/>
      <c r="N805" s="1124"/>
      <c r="P805" s="7"/>
    </row>
    <row r="806" spans="1:16" s="8" customFormat="1" ht="18" customHeight="1" x14ac:dyDescent="0.3">
      <c r="A806" s="194">
        <v>800</v>
      </c>
      <c r="B806" s="1120"/>
      <c r="C806" s="59"/>
      <c r="D806" s="1004" t="s">
        <v>972</v>
      </c>
      <c r="E806" s="1130"/>
      <c r="F806" s="892"/>
      <c r="G806" s="1153"/>
      <c r="H806" s="1441"/>
      <c r="I806" s="415">
        <f>SUM(J806:Q806)</f>
        <v>0</v>
      </c>
      <c r="J806" s="1132"/>
      <c r="K806" s="1132"/>
      <c r="L806" s="1195">
        <v>0</v>
      </c>
      <c r="M806" s="1122"/>
      <c r="N806" s="1124"/>
      <c r="P806" s="7"/>
    </row>
    <row r="807" spans="1:16" s="8" customFormat="1" ht="22.35" customHeight="1" x14ac:dyDescent="0.3">
      <c r="A807" s="194">
        <v>801</v>
      </c>
      <c r="B807" s="1120"/>
      <c r="C807" s="59">
        <v>165</v>
      </c>
      <c r="D807" s="1126" t="s">
        <v>967</v>
      </c>
      <c r="E807" s="1130"/>
      <c r="F807" s="892"/>
      <c r="G807" s="1153"/>
      <c r="H807" s="1441" t="s">
        <v>24</v>
      </c>
      <c r="I807" s="1048"/>
      <c r="J807" s="1132"/>
      <c r="K807" s="1132"/>
      <c r="L807" s="1194"/>
      <c r="M807" s="1122"/>
      <c r="N807" s="1124"/>
      <c r="P807" s="7"/>
    </row>
    <row r="808" spans="1:16" s="8" customFormat="1" ht="18" customHeight="1" x14ac:dyDescent="0.3">
      <c r="A808" s="194">
        <v>802</v>
      </c>
      <c r="B808" s="1120"/>
      <c r="C808" s="59"/>
      <c r="D808" s="1003" t="s">
        <v>921</v>
      </c>
      <c r="E808" s="1130"/>
      <c r="F808" s="892"/>
      <c r="G808" s="1153"/>
      <c r="H808" s="1441"/>
      <c r="I808" s="1048">
        <f>SUM(J808:Q808)</f>
        <v>2500</v>
      </c>
      <c r="J808" s="1132"/>
      <c r="K808" s="1132"/>
      <c r="L808" s="1194"/>
      <c r="M808" s="1122"/>
      <c r="N808" s="1124">
        <v>2500</v>
      </c>
      <c r="P808" s="7"/>
    </row>
    <row r="809" spans="1:16" s="8" customFormat="1" ht="18" customHeight="1" x14ac:dyDescent="0.3">
      <c r="A809" s="194">
        <v>803</v>
      </c>
      <c r="B809" s="1120"/>
      <c r="C809" s="59"/>
      <c r="D809" s="1004" t="s">
        <v>972</v>
      </c>
      <c r="E809" s="1130"/>
      <c r="F809" s="892"/>
      <c r="G809" s="1153"/>
      <c r="H809" s="1441"/>
      <c r="I809" s="415">
        <f>SUM(J809:Q809)</f>
        <v>0</v>
      </c>
      <c r="J809" s="1132"/>
      <c r="K809" s="1132"/>
      <c r="L809" s="1194"/>
      <c r="M809" s="1122"/>
      <c r="N809" s="1197">
        <v>0</v>
      </c>
      <c r="P809" s="7"/>
    </row>
    <row r="810" spans="1:16" s="8" customFormat="1" ht="22.5" customHeight="1" x14ac:dyDescent="0.3">
      <c r="A810" s="194">
        <v>804</v>
      </c>
      <c r="B810" s="1120"/>
      <c r="C810" s="59">
        <v>166</v>
      </c>
      <c r="D810" s="1126" t="s">
        <v>888</v>
      </c>
      <c r="E810" s="1130"/>
      <c r="F810" s="892"/>
      <c r="G810" s="1153"/>
      <c r="H810" s="1441" t="s">
        <v>24</v>
      </c>
      <c r="I810" s="1048"/>
      <c r="J810" s="1132"/>
      <c r="K810" s="1132"/>
      <c r="L810" s="1194"/>
      <c r="M810" s="1122"/>
      <c r="N810" s="1124"/>
      <c r="P810" s="7"/>
    </row>
    <row r="811" spans="1:16" s="8" customFormat="1" ht="18" customHeight="1" x14ac:dyDescent="0.3">
      <c r="A811" s="194">
        <v>805</v>
      </c>
      <c r="B811" s="1120"/>
      <c r="C811" s="59"/>
      <c r="D811" s="1003" t="s">
        <v>921</v>
      </c>
      <c r="E811" s="1130"/>
      <c r="F811" s="892"/>
      <c r="G811" s="1153"/>
      <c r="H811" s="1441"/>
      <c r="I811" s="1048">
        <f>SUM(J811:Q811)</f>
        <v>2000</v>
      </c>
      <c r="J811" s="1132"/>
      <c r="K811" s="1132"/>
      <c r="L811" s="1194"/>
      <c r="M811" s="1122"/>
      <c r="N811" s="1196">
        <v>2000</v>
      </c>
      <c r="P811" s="7"/>
    </row>
    <row r="812" spans="1:16" s="8" customFormat="1" ht="18" customHeight="1" x14ac:dyDescent="0.3">
      <c r="A812" s="194">
        <v>806</v>
      </c>
      <c r="B812" s="1120"/>
      <c r="C812" s="59"/>
      <c r="D812" s="1004" t="s">
        <v>972</v>
      </c>
      <c r="E812" s="1130"/>
      <c r="F812" s="892"/>
      <c r="G812" s="1153"/>
      <c r="H812" s="1441"/>
      <c r="I812" s="415">
        <f>SUM(J812:Q812)</f>
        <v>0</v>
      </c>
      <c r="J812" s="1132"/>
      <c r="K812" s="1132"/>
      <c r="L812" s="1194"/>
      <c r="M812" s="1122"/>
      <c r="N812" s="1197">
        <v>0</v>
      </c>
      <c r="P812" s="7"/>
    </row>
    <row r="813" spans="1:16" s="8" customFormat="1" ht="22.5" customHeight="1" x14ac:dyDescent="0.3">
      <c r="A813" s="194">
        <v>807</v>
      </c>
      <c r="B813" s="1120"/>
      <c r="C813" s="59">
        <v>167</v>
      </c>
      <c r="D813" s="1126" t="s">
        <v>892</v>
      </c>
      <c r="E813" s="1130"/>
      <c r="F813" s="892"/>
      <c r="G813" s="1153"/>
      <c r="H813" s="1441" t="s">
        <v>24</v>
      </c>
      <c r="I813" s="1048"/>
      <c r="J813" s="1132"/>
      <c r="K813" s="1132"/>
      <c r="L813" s="1194"/>
      <c r="M813" s="1122"/>
      <c r="N813" s="1124"/>
      <c r="P813" s="7"/>
    </row>
    <row r="814" spans="1:16" s="8" customFormat="1" ht="18" customHeight="1" x14ac:dyDescent="0.3">
      <c r="A814" s="194">
        <v>808</v>
      </c>
      <c r="B814" s="1120"/>
      <c r="C814" s="59"/>
      <c r="D814" s="1003" t="s">
        <v>921</v>
      </c>
      <c r="E814" s="1130"/>
      <c r="F814" s="892"/>
      <c r="G814" s="1153"/>
      <c r="H814" s="1441"/>
      <c r="I814" s="1048">
        <f>SUM(J814:Q814)</f>
        <v>4000</v>
      </c>
      <c r="J814" s="1132"/>
      <c r="K814" s="1132"/>
      <c r="L814" s="1194"/>
      <c r="M814" s="1122"/>
      <c r="N814" s="1196">
        <v>4000</v>
      </c>
      <c r="P814" s="7"/>
    </row>
    <row r="815" spans="1:16" s="8" customFormat="1" ht="18" customHeight="1" x14ac:dyDescent="0.3">
      <c r="A815" s="194">
        <v>809</v>
      </c>
      <c r="B815" s="1120"/>
      <c r="C815" s="59"/>
      <c r="D815" s="1004" t="s">
        <v>972</v>
      </c>
      <c r="E815" s="1130"/>
      <c r="F815" s="892"/>
      <c r="G815" s="1153"/>
      <c r="H815" s="1441"/>
      <c r="I815" s="415">
        <f>SUM(J815:Q815)</f>
        <v>0</v>
      </c>
      <c r="J815" s="1132"/>
      <c r="K815" s="1132"/>
      <c r="L815" s="1194"/>
      <c r="M815" s="1122"/>
      <c r="N815" s="1197">
        <v>0</v>
      </c>
      <c r="P815" s="7"/>
    </row>
    <row r="816" spans="1:16" s="8" customFormat="1" ht="22.5" customHeight="1" x14ac:dyDescent="0.3">
      <c r="A816" s="194">
        <v>810</v>
      </c>
      <c r="B816" s="737"/>
      <c r="C816" s="59">
        <v>168</v>
      </c>
      <c r="D816" s="1126" t="s">
        <v>968</v>
      </c>
      <c r="E816" s="795"/>
      <c r="F816" s="799"/>
      <c r="G816" s="1499"/>
      <c r="H816" s="739" t="s">
        <v>24</v>
      </c>
      <c r="I816" s="570"/>
      <c r="J816" s="743"/>
      <c r="K816" s="743"/>
      <c r="L816" s="1500"/>
      <c r="M816" s="743"/>
      <c r="N816" s="1135"/>
      <c r="P816" s="7"/>
    </row>
    <row r="817" spans="1:16" s="8" customFormat="1" ht="18" customHeight="1" x14ac:dyDescent="0.3">
      <c r="A817" s="194">
        <v>811</v>
      </c>
      <c r="B817" s="737"/>
      <c r="C817" s="59"/>
      <c r="D817" s="1003" t="s">
        <v>921</v>
      </c>
      <c r="E817" s="795"/>
      <c r="F817" s="799"/>
      <c r="G817" s="1499"/>
      <c r="H817" s="739"/>
      <c r="I817" s="1048">
        <f>SUM(J817:Q817)</f>
        <v>6000</v>
      </c>
      <c r="J817" s="743"/>
      <c r="K817" s="743"/>
      <c r="L817" s="1500">
        <v>6000</v>
      </c>
      <c r="M817" s="743"/>
      <c r="N817" s="1196"/>
      <c r="P817" s="7"/>
    </row>
    <row r="818" spans="1:16" s="8" customFormat="1" ht="18" customHeight="1" x14ac:dyDescent="0.3">
      <c r="A818" s="194">
        <v>812</v>
      </c>
      <c r="B818" s="737"/>
      <c r="C818" s="59"/>
      <c r="D818" s="1002" t="s">
        <v>972</v>
      </c>
      <c r="E818" s="795"/>
      <c r="F818" s="799"/>
      <c r="G818" s="1499"/>
      <c r="H818" s="739"/>
      <c r="I818" s="415">
        <f>SUM(J818:Q818)</f>
        <v>0</v>
      </c>
      <c r="J818" s="743"/>
      <c r="K818" s="743"/>
      <c r="L818" s="1747">
        <v>0</v>
      </c>
      <c r="M818" s="743"/>
      <c r="N818" s="1197"/>
      <c r="P818" s="7"/>
    </row>
    <row r="819" spans="1:16" s="8" customFormat="1" ht="22.5" customHeight="1" x14ac:dyDescent="0.3">
      <c r="A819" s="194">
        <v>813</v>
      </c>
      <c r="B819" s="737"/>
      <c r="C819" s="59">
        <v>169</v>
      </c>
      <c r="D819" s="1126" t="s">
        <v>945</v>
      </c>
      <c r="E819" s="795"/>
      <c r="F819" s="799"/>
      <c r="G819" s="1499"/>
      <c r="H819" s="739" t="s">
        <v>24</v>
      </c>
      <c r="I819" s="1048"/>
      <c r="J819" s="743"/>
      <c r="K819" s="743"/>
      <c r="L819" s="1500"/>
      <c r="M819" s="743"/>
      <c r="N819" s="1196"/>
      <c r="P819" s="7"/>
    </row>
    <row r="820" spans="1:16" s="8" customFormat="1" ht="18" customHeight="1" x14ac:dyDescent="0.3">
      <c r="A820" s="194">
        <v>814</v>
      </c>
      <c r="B820" s="737"/>
      <c r="C820" s="59"/>
      <c r="D820" s="1003" t="s">
        <v>921</v>
      </c>
      <c r="E820" s="795"/>
      <c r="F820" s="799"/>
      <c r="G820" s="1499"/>
      <c r="H820" s="739"/>
      <c r="I820" s="1048">
        <f>SUM(J820:Q820)</f>
        <v>248</v>
      </c>
      <c r="J820" s="743"/>
      <c r="K820" s="743"/>
      <c r="L820" s="1500">
        <v>248</v>
      </c>
      <c r="M820" s="743"/>
      <c r="N820" s="1196"/>
      <c r="P820" s="7"/>
    </row>
    <row r="821" spans="1:16" s="8" customFormat="1" ht="18" customHeight="1" x14ac:dyDescent="0.3">
      <c r="A821" s="194">
        <v>815</v>
      </c>
      <c r="B821" s="737"/>
      <c r="C821" s="59"/>
      <c r="D821" s="1002" t="s">
        <v>972</v>
      </c>
      <c r="E821" s="795"/>
      <c r="F821" s="799"/>
      <c r="G821" s="1499"/>
      <c r="H821" s="739"/>
      <c r="I821" s="415">
        <f>SUM(J821:Q821)</f>
        <v>0</v>
      </c>
      <c r="J821" s="743"/>
      <c r="K821" s="743"/>
      <c r="L821" s="1747">
        <v>0</v>
      </c>
      <c r="M821" s="743"/>
      <c r="N821" s="1135"/>
      <c r="P821" s="7"/>
    </row>
    <row r="822" spans="1:16" s="8" customFormat="1" ht="22.5" customHeight="1" x14ac:dyDescent="0.3">
      <c r="A822" s="194">
        <v>816</v>
      </c>
      <c r="B822" s="1120"/>
      <c r="C822" s="59">
        <v>170</v>
      </c>
      <c r="D822" s="1126" t="s">
        <v>946</v>
      </c>
      <c r="E822" s="1130"/>
      <c r="F822" s="892"/>
      <c r="G822" s="1503"/>
      <c r="H822" s="1441" t="s">
        <v>24</v>
      </c>
      <c r="I822" s="1048"/>
      <c r="J822" s="1122"/>
      <c r="K822" s="1122"/>
      <c r="L822" s="1194"/>
      <c r="M822" s="1122"/>
      <c r="N822" s="1196"/>
      <c r="P822" s="7"/>
    </row>
    <row r="823" spans="1:16" s="8" customFormat="1" ht="18" customHeight="1" x14ac:dyDescent="0.3">
      <c r="A823" s="194">
        <v>817</v>
      </c>
      <c r="B823" s="1120"/>
      <c r="C823" s="59"/>
      <c r="D823" s="1003" t="s">
        <v>921</v>
      </c>
      <c r="E823" s="1130"/>
      <c r="F823" s="892"/>
      <c r="G823" s="1503"/>
      <c r="H823" s="1441"/>
      <c r="I823" s="1048">
        <f>SUM(J823:Q823)</f>
        <v>1000</v>
      </c>
      <c r="J823" s="1122"/>
      <c r="K823" s="1122"/>
      <c r="L823" s="1194"/>
      <c r="M823" s="1122"/>
      <c r="N823" s="1196">
        <v>1000</v>
      </c>
      <c r="P823" s="7"/>
    </row>
    <row r="824" spans="1:16" s="8" customFormat="1" ht="18" customHeight="1" x14ac:dyDescent="0.3">
      <c r="A824" s="194">
        <v>818</v>
      </c>
      <c r="B824" s="1120"/>
      <c r="C824" s="59"/>
      <c r="D824" s="1002" t="s">
        <v>972</v>
      </c>
      <c r="E824" s="1130"/>
      <c r="F824" s="892"/>
      <c r="G824" s="1503"/>
      <c r="H824" s="1441"/>
      <c r="I824" s="415">
        <f>SUM(J824:Q824)</f>
        <v>0</v>
      </c>
      <c r="J824" s="1122"/>
      <c r="K824" s="1122"/>
      <c r="L824" s="1194"/>
      <c r="M824" s="1122"/>
      <c r="N824" s="1197">
        <v>0</v>
      </c>
      <c r="P824" s="7"/>
    </row>
    <row r="825" spans="1:16" s="8" customFormat="1" ht="22.5" customHeight="1" x14ac:dyDescent="0.3">
      <c r="A825" s="194">
        <v>819</v>
      </c>
      <c r="B825" s="1120"/>
      <c r="C825" s="59">
        <v>171</v>
      </c>
      <c r="D825" s="1126" t="s">
        <v>948</v>
      </c>
      <c r="E825" s="1130"/>
      <c r="F825" s="892"/>
      <c r="G825" s="1503"/>
      <c r="H825" s="1441" t="s">
        <v>24</v>
      </c>
      <c r="I825" s="1048"/>
      <c r="J825" s="1122"/>
      <c r="K825" s="1122"/>
      <c r="L825" s="1194"/>
      <c r="M825" s="1122"/>
      <c r="N825" s="1196"/>
      <c r="P825" s="7"/>
    </row>
    <row r="826" spans="1:16" s="8" customFormat="1" ht="18" customHeight="1" x14ac:dyDescent="0.3">
      <c r="A826" s="194">
        <v>820</v>
      </c>
      <c r="B826" s="1120"/>
      <c r="C826" s="59"/>
      <c r="D826" s="1003" t="s">
        <v>921</v>
      </c>
      <c r="E826" s="1130"/>
      <c r="F826" s="892"/>
      <c r="G826" s="1503"/>
      <c r="H826" s="1441"/>
      <c r="I826" s="1048">
        <f>SUM(J826:Q826)</f>
        <v>1500</v>
      </c>
      <c r="J826" s="1122"/>
      <c r="K826" s="1122"/>
      <c r="L826" s="1194"/>
      <c r="M826" s="1122"/>
      <c r="N826" s="1196">
        <v>1500</v>
      </c>
      <c r="P826" s="7"/>
    </row>
    <row r="827" spans="1:16" s="8" customFormat="1" ht="18" customHeight="1" thickBot="1" x14ac:dyDescent="0.35">
      <c r="A827" s="194">
        <v>821</v>
      </c>
      <c r="B827" s="865"/>
      <c r="C827" s="1506"/>
      <c r="D827" s="1639" t="s">
        <v>972</v>
      </c>
      <c r="E827" s="1125"/>
      <c r="F827" s="893"/>
      <c r="G827" s="1501"/>
      <c r="H827" s="1442"/>
      <c r="I827" s="1641">
        <f>SUM(J827:Q827)</f>
        <v>0</v>
      </c>
      <c r="J827" s="866"/>
      <c r="K827" s="866"/>
      <c r="L827" s="1237"/>
      <c r="M827" s="866"/>
      <c r="N827" s="1748">
        <v>0</v>
      </c>
      <c r="P827" s="7"/>
    </row>
    <row r="828" spans="1:16" s="8" customFormat="1" ht="27" customHeight="1" thickTop="1" x14ac:dyDescent="0.3">
      <c r="A828" s="194">
        <v>822</v>
      </c>
      <c r="B828" s="861"/>
      <c r="C828" s="790"/>
      <c r="D828" s="1923" t="s">
        <v>13</v>
      </c>
      <c r="E828" s="1924"/>
      <c r="F828" s="1924"/>
      <c r="G828" s="1925"/>
      <c r="H828" s="774"/>
      <c r="I828" s="806"/>
      <c r="J828" s="862"/>
      <c r="K828" s="862"/>
      <c r="L828" s="863"/>
      <c r="M828" s="862"/>
      <c r="N828" s="864"/>
      <c r="P828" s="7"/>
    </row>
    <row r="829" spans="1:16" s="11" customFormat="1" ht="20.100000000000001" customHeight="1" x14ac:dyDescent="0.35">
      <c r="A829" s="194">
        <v>823</v>
      </c>
      <c r="B829" s="1138"/>
      <c r="C829" s="1380"/>
      <c r="D829" s="1139" t="s">
        <v>252</v>
      </c>
      <c r="E829" s="1140"/>
      <c r="F829" s="1140"/>
      <c r="G829" s="1141"/>
      <c r="H829" s="1443"/>
      <c r="I829" s="317">
        <f>SUM(J829:N829)</f>
        <v>13911764</v>
      </c>
      <c r="J829" s="449">
        <f>J798+J794+J790+J786+J782+J778+J774+J770+J766+J762+J758+J754+J750+J746+J742+J738+J734+J727+J721+J715+J711+J705+J699+J695+J690+J686+J682+J677+J647+J643+J639+J635+J631+J627+J623+J619+J615+J611+J607+J603+J599+J595+J591+J587+J583+J579+J575+J570+J566+J562+J558+J554+J549+J545+J541+J537+J532+J528+J524+J520+J516+J512+J508+J504+J500+J496+J491+J487+J483+J479+J475+J471+J467+J463+J459+J455+J451+J447+J443+J438+J434+J429+J425+J421+J416+J412+J408+J403+J399+J395+J391+J346+J342+J338+J333+J306+J282+J278+J274+J270+J266+J261+J257+J248+J244+J239+J235+J231+J203+J198+J194+J190+J186+J136+J132+J128+J124+J120+J73+J30+J26+J22+J18+J14+J10+J651</f>
        <v>317699</v>
      </c>
      <c r="K829" s="449">
        <f>K798+K794+K790+K786+K782+K778+K774+K770+K766+K762+K758+K754+K750+K746+K742+K738+K734+K727+K721+K715+K711+K705+K699+K695+K690+K686+K682+K677+K647+K643+K639+K635+K631+K627+K623+K619+K615+K611+K607+K603+K599+K595+K591+K587+K583+K579+K575+K570+K566+K562+K558+K554+K549+K545+K541+K537+K532+K528+K524+K520+K516+K512+K508+K504+K500+K496+K491+K487+K483+K479+K475+K471+K467+K463+K459+K455+K451+K447+K443+K438+K434+K429+K425+K421+K416+K412+K408+K403+K399+K395+K391+K346+K342+K338+K333+K306+K282+K278+K274+K270+K266+K261+K257+K248+K244+K239+K235+K231+K203+K198+K194+K190+K186+K136+K132+K128+K124+K120+K73+K30+K26+K22+K18+K14+K10+K651</f>
        <v>61663</v>
      </c>
      <c r="L829" s="449">
        <f>L798+L794+L790+L786+L782+L778+L774+L770+L766+L762+L758+L754+L750+L746+L742+L738+L734+L727+L721+L715+L711+L705+L699+L695+L690+L686+L682+L677+L647+L643+L639+L635+L631+L627+L623+L619+L615+L611+L607+L603+L599+L595+L591+L587+L583+L579+L575+L570+L566+L562+L558+L554+L549+L545+L541+L537+L532+L528+L524+L520+L516+L512+L508+L504+L500+L496+L491+L487+L483+L479+L475+L471+L467+L463+L459+L455+L451+L447+L443+L438+L434+L429+L425+L421+L416+L412+L408+L403+L399+L395+L391+L346+L342+L338+L333+L306+L282+L278+L274+L270+L266+L261+L257+L248+L244+L239+L235+L231+L203+L198+L194+L190+L186+L136+L132+L128+L124+L120+L73+L30+L26+L22+L18+L14+L10+L651</f>
        <v>4343904</v>
      </c>
      <c r="M829" s="449">
        <f>M798+M794+M790+M786+M782+M778+M774+M770+M766+M762+M758+M754+M750+M746+M742+M738+M734+M727+M721+M715+M711+M705+M699+M695+M690+M686+M682+M677+M647+M643+M639+M635+M631+M627+M623+M619+M615+M611+M607+M603+M599+M595+M591+M587+M583+M579+M575+M570+M566+M562+M558+M554+M549+M545+M541+M537+M532+M528+M524+M520+M516+M512+M508+M504+M500+M496+M491+M487+M483+M479+M475+M471+M467+M463+M459+M455+M451+M447+M443+M438+M434+M429+M425+M421+M416+M412+M408+M403+M399+M395+M391+M346+M342+M338+M333+M306+M282+M278+M274+M270+M266+M261+M257+M248+M244+M239+M235+M231+M203+M198+M194+M190+M186+M136+M132+M128+M124+M120+M73+M30+M26+M22+M18+M14+M10+M651</f>
        <v>56795</v>
      </c>
      <c r="N829" s="1154">
        <f>N798+N794+N790+N786+N782+N778+N774+N770+N766+N762+N758+N754+N750+N746+N742+N738+N734+N727+N721+N715+N711+N705+N699+N695+N690+N686+N682+N677+N647+N643+N639+N635+N631+N627+N623+N619+N615+N611+N607+N603+N599+N595+N591+N587+N583+N579+N575+N570+N566+N562+N558+N554+N549+N545+N541+N537+N532+N528+N524+N520+N516+N512+N508+N504+N500+N496+N491+N487+N483+N479+N475+N471+N467+N463+N459+N455+N451+N447+N443+N438+N434+N429+N425+N421+N416+N412+N408+N403+N399+N395+N391+N346+N342+N338+N333+N306+N282+N278+N274+N270+N266+N261+N257+N248+N244+N239+N235+N231+N203+N198+N194+N190+N186+N136+N132+N128+N124+N120+N73+N30+N26+N22+N18+N14+N10+N651</f>
        <v>9131703</v>
      </c>
      <c r="O829" s="654"/>
      <c r="P829" s="7"/>
    </row>
    <row r="830" spans="1:16" s="11" customFormat="1" ht="20.100000000000001" customHeight="1" x14ac:dyDescent="0.35">
      <c r="A830" s="194">
        <v>824</v>
      </c>
      <c r="B830" s="1138"/>
      <c r="C830" s="1380"/>
      <c r="D830" s="1417" t="s">
        <v>921</v>
      </c>
      <c r="E830" s="1140"/>
      <c r="F830" s="1140"/>
      <c r="G830" s="1141"/>
      <c r="H830" s="1443"/>
      <c r="I830" s="1448">
        <f>SUM(J830:N830)</f>
        <v>16080861</v>
      </c>
      <c r="J830" s="1131">
        <f>J799+J795+J791+J787+J783+J779+J775+J771+J767+J763+J759+J755+J751+J747+J743+J739+J735+J728+J722+J716+J712+J706+J700+J696+J691+J687+J683+J678+J648+J644+J640+J636+J632+J628+J624+J620+J616+J612+J608+J604+J600+J596+J592+J588+J584+J580+J576+J571+J567+J563+J559+J555+J550+J546+J542+J538+J533+J529+J525+J521+J517+J513+J509+J505+J501+J497+J492+J488+J484+J480+J476+J472+J468+J464+J460+J456+J452+J448+J444+J439+J435+J430+J426+J422+J417+J413+J409+J404+J400+J396+J392+J347+J343+J339+J334+J307+J283+J279+J275+J271+J267+J262+J258+J249+J245+J240+J236+J232+J204+J199+J195+J191+J187+J137+J133+J129+J125+J121+J74+J31+J27+J23+J19+J15+J11+J652+J802+J805+J808+J811+J814+J252+J826+J823+J820+J817</f>
        <v>319281</v>
      </c>
      <c r="K830" s="1131">
        <f>K799+K795+K791+K787+K783+K779+K775+K771+K767+K763+K759+K755+K751+K747+K743+K739+K735+K728+K722+K716+K712+K706+K700+K696+K691+K687+K683+K678+K648+K644+K640+K636+K632+K628+K624+K620+K616+K612+K608+K604+K600+K596+K592+K588+K584+K580+K576+K571+K567+K563+K559+K555+K550+K546+K542+K538+K533+K529+K525+K521+K517+K513+K509+K505+K501+K497+K492+K488+K484+K480+K476+K472+K468+K464+K460+K456+K452+K448+K444+K439+K435+K430+K426+K422+K417+K413+K409+K404+K400+K396+K392+K347+K343+K339+K334+K307+K283+K279+K275+K271+K267+K262+K258+K249+K245+K240+K236+K232+K204+K199+K195+K191+K187+K137+K133+K129+K125+K121+K74+K31+K27+K23+K19+K15+K11+K652+K802+K805+K808+K811+K814+K252+K826+K823+K820+K817</f>
        <v>63610</v>
      </c>
      <c r="L830" s="1131">
        <f>L799+L795+L791+L787+L783+L779+L775+L771+L767+L763+L759+L755+L751+L747+L743+L739+L735+L728+L722+L716+L712+L706+L700+L696+L691+L687+L683+L678+L648+L644+L640+L636+L632+L628+L624+L620+L616+L612+L608+L604+L600+L596+L592+L588+L584+L580+L576+L571+L567+L563+L559+L555+L550+L546+L542+L538+L533+L529+L525+L521+L517+L513+L509+L505+L501+L497+L492+L488+L484+L480+L476+L472+L468+L464+L460+L456+L452+L448+L444+L439+L435+L430+L426+L422+L417+L413+L409+L404+L400+L396+L392+L347+L343+L339+L334+L307+L283+L279+L275+L271+L267+L262+L258+L249+L245+L240+L236+L232+L204+L199+L195+L191+L187+L137+L133+L129+L125+L121+L74+L31+L27+L23+L19+L15+L11+L652+L802+L805+L808+L811+L814+L252+L826+L823+L820+L817</f>
        <v>5499349</v>
      </c>
      <c r="M830" s="1131">
        <f>M799+M795+M791+M787+M783+M779+M775+M771+M767+M763+M759+M755+M751+M747+M743+M739+M735+M728+M722+M716+M712+M706+M700+M696+M691+M687+M683+M678+M648+M644+M640+M636+M632+M628+M624+M620+M616+M612+M608+M604+M600+M596+M592+M588+M584+M580+M576+M571+M567+M563+M559+M555+M550+M546+M542+M538+M533+M529+M525+M521+M517+M513+M509+M505+M501+M497+M492+M488+M484+M480+M476+M472+M468+M464+M460+M456+M452+M448+M444+M439+M435+M430+M426+M422+M417+M413+M409+M404+M400+M396+M392+M347+M343+M339+M334+M307+M283+M279+M275+M271+M267+M262+M258+M249+M245+M240+M236+M232+M204+M199+M195+M191+M187+M137+M133+M129+M125+M121+M74+M31+M27+M23+M19+M15+M11+M652+M802+M805+M808+M811+M814+M252+M826+M823+M820+M817</f>
        <v>61126</v>
      </c>
      <c r="N830" s="1465">
        <f>N799+N795+N791+N787+N783+N779+N775+N771+N767+N763+N759+N755+N751+N747+N743+N739+N735+N728+N722+N716+N712+N706+N700+N696+N691+N687+N683+N678+N648+N644+N640+N636+N632+N628+N624+N620+N616+N612+N608+N604+N600+N596+N592+N588+N584+N580+N576+N571+N567+N563+N559+N555+N550+N546+N542+N538+N533+N529+N525+N521+N517+N513+N509+N505+N501+N497+N492+N488+N484+N480+N476+N472+N468+N464+N460+N456+N452+N448+N444+N439+N435+N430+N426+N422+N417+N413+N409+N404+N400+N396+N392+N347+N343+N339+N334+N307+N283+N279+N275+N271+N267+N262+N258+N249+N245+N240+N236+N232+N204+N199+N195+N191+N187+N137+N133+N129+N125+N121+N74+N31+N27+N23+N19+N15+N11+N652+N802+N805+N808+N811+N814+N252+N826+N823+N820+N817</f>
        <v>10137495</v>
      </c>
      <c r="O830" s="654"/>
      <c r="P830" s="7"/>
    </row>
    <row r="831" spans="1:16" s="11" customFormat="1" ht="20.100000000000001" customHeight="1" thickBot="1" x14ac:dyDescent="0.4">
      <c r="A831" s="194">
        <v>825</v>
      </c>
      <c r="B831" s="188"/>
      <c r="C831" s="1381"/>
      <c r="D831" s="1004" t="s">
        <v>973</v>
      </c>
      <c r="E831" s="843"/>
      <c r="F831" s="843"/>
      <c r="G831" s="1001"/>
      <c r="H831" s="1433"/>
      <c r="I831" s="415">
        <f>SUM(J831:Q831)</f>
        <v>6727417</v>
      </c>
      <c r="J831" s="415">
        <f>J800+J796+J792+J788+J784+J780+J776+J772+J768+J764+J760+J756+J752+J748+J744+J740+J736+J729+J723+J717+J713+J707+J701+J697+J692+J688+J684+J679+J649+J645+J641+J637+J633+J629+J625+J621+J617+J613+J609+J605+J601+J597+J593+J589+J585+J581+J577+J572+J568+J564+J560+J556+J551+J547+J543+J539+J534+J530+J526+J522+J518+J514+J510+J506+J502+J498+J493+J489+J485+J481+J477+J473+J469+J465+J461+J457+J453+J449+J445+J440+J436+J431+J427+J423+J418+J414+J410+J405+J401+J397+J393+J348+J344+J340+J335+J308+J284+J280+J276+J272+J268+J263+J259+J250+J246+J241+J237+J233+J205+J200+J196+J192+J188+J138+J134+J130+J126+J122+J75+J32+J28+J24+J20+J16+J12+J653+J253+J803+J806+J809+J812+J815+J818+J821+J824+J827</f>
        <v>89811</v>
      </c>
      <c r="K831" s="415">
        <v>12382</v>
      </c>
      <c r="L831" s="415">
        <f>L800+L796+L792+L788+L784+L780+L776+L772+L768+L764+L760+L756+L752+L748+L744+L740+L736+L729+L723+L717+L713+L707+L701+L697+L692+L688+L684+L679+L649+L645+L641+L637+L633+L629+L625+L621+L617+L613+L609+L605+L601+L597+L593+L589+L585+L581+L577+L572+L568+L564+L560+L556+L551+L547+L543+L539+L534+L530+L526+L522+L518+L514+L510+L506+L502+L498+L493+L489+L485+L481+L477+L473+L469+L465+L461+L457+L453+L449+L445+L440+L436+L431+L427+L423+L418+L414+L410+L405+L401+L397+L393+L348+L344+L340+L335+L308+L284+L280+L276+L272+L268+L263+L259+L250+L246+L241+L237+L233+L205+L200+L196+L192+L188+L138+L134+L130+L126+L122+L75+L32+L28+L24+L20+L16+L12+L653+L253+L803+L806+L809+L812+L815+L818+L821+L824+L827</f>
        <v>1552085</v>
      </c>
      <c r="M831" s="415">
        <f>M800+M796+M792+M788+M784+M780+M776+M772+M768+M764+M760+M756+M752+M748+M744+M740+M736+M729+M723+M717+M713+M707+M701+M697+M692+M688+M684+M679+M649+M645+M641+M637+M633+M629+M625+M621+M617+M613+M609+M605+M601+M597+M593+M589+M585+M581+M577+M572+M568+M564+M560+M556+M551+M547+M543+M539+M534+M530+M526+M522+M518+M514+M510+M506+M502+M498+M493+M489+M485+M481+M477+M473+M469+M465+M461+M457+M453+M449+M445+M440+M436+M431+M427+M423+M418+M414+M410+M405+M401+M397+M393+M348+M344+M340+M335+M308+M284+M280+M276+M272+M268+M263+M259+M250+M246+M241+M237+M233+M205+M200+M196+M192+M188+M138+M134+M130+M126+M122+M75+M32+M28+M24+M20+M16+M12+M653+M253+M803+M806+M809+M812+M815+M818+M821+M824+M827</f>
        <v>9438</v>
      </c>
      <c r="N831" s="574">
        <f>N800+N796+N792+N788+N784+N780+N776+N772+N768+N764+N760+N756+N752+N748+N744+N740+N736+N729+N723+N717+N713+N707+N701+N697+N692+N688+N684+N679+N649+N645+N641+N637+N633+N629+N625+N621+N617+N613+N609+N605+N601+N597+N593+N589+N585+N581+N577+N572+N568+N564+N560+N556+N551+N547+N543+N539+N534+N530+N526+N522+N518+N514+N510+N506+N502+N498+N493+N489+N485+N481+N477+N473+N469+N465+N461+N457+N453+N449+N445+N440+N436+N431+N427+N423+N418+N414+N410+N405+N401+N397+N393+N348+N344+N340+N335+N308+N284+N280+N276+N272+N268+N263+N259+N250+N246+N241+N237+N233+N205+N200+N196+N192+N188+N138+N134+N130+N126+N122+N75+N32+N28+N24+N20+N16+N12+N653+N253+N803+N806+N809+N812+N815+N818+N821+N824+N827</f>
        <v>5063701</v>
      </c>
      <c r="O831" s="654"/>
      <c r="P831" s="7"/>
    </row>
    <row r="832" spans="1:16" s="11" customFormat="1" ht="22.15" customHeight="1" thickTop="1" x14ac:dyDescent="0.35">
      <c r="A832" s="194">
        <v>826</v>
      </c>
      <c r="B832" s="708"/>
      <c r="C832" s="1382"/>
      <c r="D832" s="1136" t="s">
        <v>97</v>
      </c>
      <c r="E832" s="978"/>
      <c r="F832" s="978"/>
      <c r="G832" s="998"/>
      <c r="H832" s="1444"/>
      <c r="I832" s="1453"/>
      <c r="J832" s="709"/>
      <c r="K832" s="709"/>
      <c r="L832" s="709"/>
      <c r="M832" s="709"/>
      <c r="N832" s="710"/>
      <c r="O832" s="654"/>
      <c r="P832" s="7"/>
    </row>
    <row r="833" spans="1:16" s="11" customFormat="1" ht="18" customHeight="1" x14ac:dyDescent="0.35">
      <c r="A833" s="194">
        <v>827</v>
      </c>
      <c r="B833" s="706"/>
      <c r="C833" s="707"/>
      <c r="D833" s="976" t="s">
        <v>252</v>
      </c>
      <c r="E833" s="979"/>
      <c r="F833" s="979"/>
      <c r="G833" s="977"/>
      <c r="H833" s="1445"/>
      <c r="I833" s="1054">
        <f>SUM(J833:N833)</f>
        <v>11088657</v>
      </c>
      <c r="J833" s="354">
        <f>J651+J647+J643+J639+J631+J627+J623+J619+J615+J611+J607+J599+J603+J595+J591+J587+J583+J570+J579+J575+J566+J562+J558+J554+J545+J541+J537+J532+J528+J524+J516+J471+J463+J459+J455+J451+J443+J416+J412+J408+J395+J391+J350+J342+J338+J270+J266+J261+J257+J58+J50+J38+J10+J742</f>
        <v>295509</v>
      </c>
      <c r="K833" s="354">
        <f>K651+K647+K643+K639+K631+K627+K623+K619+K615+K611+K607+K599+K603+K595+K591+K587+K583+K570+K579+K575+K566+K562+K558+K554+K545+K541+K537+K532+K528+K524+K516+K471+K463+K459+K455+K451+K443+K416+K412+K408+K395+K391+K350+K342+K338+K270+K266+K261+K257+K58+K50+K38+K10+K742</f>
        <v>54357</v>
      </c>
      <c r="L833" s="354">
        <f>L651+L647+L643+L639+L631+L627+L623+L619+L615+L611+L607+L599+L603+L595+L591+L587+L583+L570+L579+L575+L566+L562+L558+L554+L545+L541+L537+L532+L528+L524+L516+L471+L463+L459+L455+L451+L443+L416+L412+L408+L395+L391+L350+L342+L338+L270+L266+L261+L257+L58+L50+L38+L10+L742</f>
        <v>2630212</v>
      </c>
      <c r="M833" s="354">
        <f>M651+M647+M643+M639+M631+M627+M623+M619+M615+M611+M607+M599+M603+M595+M591+M587+M583+M570+M579+M575+M566+M562+M558+M554+M545+M541+M537+M532+M528+M524+M516+M471+M463+M459+M455+M451+M443+M416+M412+M408+M395+M391+M350+M342+M338+M270+M266+M261+M257+M58+M50+M38+M10+M742</f>
        <v>10185</v>
      </c>
      <c r="N833" s="355">
        <f>N651+N647+N643+N639+N631+N627+N623+N619+N615+N611+N607+N599+N603+N595+N591+N587+N583+N570+N579+N575+N566+N562+N558+N554+N545+N541+N537+N532+N528+N524+N516+N471+N463+N459+N455+N451+N443+N416+N412+N408+N395+N391+N350+N342+N338+N270+N266+N261+N257+N58+N50+N38+N10+N742</f>
        <v>8098394</v>
      </c>
      <c r="O833" s="393"/>
      <c r="P833" s="7"/>
    </row>
    <row r="834" spans="1:16" s="11" customFormat="1" ht="18" customHeight="1" x14ac:dyDescent="0.35">
      <c r="A834" s="194">
        <v>828</v>
      </c>
      <c r="B834" s="706"/>
      <c r="C834" s="707"/>
      <c r="D834" s="1003" t="s">
        <v>921</v>
      </c>
      <c r="E834" s="979"/>
      <c r="F834" s="979"/>
      <c r="G834" s="977"/>
      <c r="H834" s="1445"/>
      <c r="I834" s="1063">
        <f>SUM(J834:N834)</f>
        <v>13147377</v>
      </c>
      <c r="J834" s="793">
        <f t="shared" ref="J834:M835" si="6">J652+J648+J644+J640+J632+J628+J624+J620+J616+J612+J608+J600+J604+J596+J592+J588+J584+J571+J580+J576+J567+J563+J559+J555+J546+J542+J538+J533+J529+J525+J517+J472+J464+J460+J456+J452+J444+J417+J413+J409+J396+J392+J351+J343+J339+J271+J267+J262+J258+J59+J51+J39+J11+J743</f>
        <v>295854</v>
      </c>
      <c r="K834" s="793">
        <f t="shared" si="6"/>
        <v>54695</v>
      </c>
      <c r="L834" s="793">
        <f t="shared" si="6"/>
        <v>3723651</v>
      </c>
      <c r="M834" s="793">
        <f t="shared" si="6"/>
        <v>24899</v>
      </c>
      <c r="N834" s="794">
        <f>N652+N648+N644+N640+N632+N628+N624+N620+N616+N612+N608+N600+N604+N596+N592+N588+N584+N571+N580+N576+N567+N563+N559+N555+N546+N542+N538+N533+N529+N525+N517+N472+N464+N460+N456+N452+N444+N417+N413+N409+N396+N392+N351+N343+N339+N271+N267+N262+N258+N59+N51+N39+N11+N743+3000</f>
        <v>9048278</v>
      </c>
      <c r="O834" s="393"/>
      <c r="P834" s="7"/>
    </row>
    <row r="835" spans="1:16" s="11" customFormat="1" ht="18" customHeight="1" x14ac:dyDescent="0.35">
      <c r="A835" s="194">
        <v>829</v>
      </c>
      <c r="B835" s="706"/>
      <c r="C835" s="707"/>
      <c r="D835" s="1004" t="s">
        <v>973</v>
      </c>
      <c r="E835" s="979"/>
      <c r="F835" s="979"/>
      <c r="G835" s="977"/>
      <c r="H835" s="1445"/>
      <c r="I835" s="415">
        <f>SUM(J835:Q835)</f>
        <v>5434890</v>
      </c>
      <c r="J835" s="1097">
        <f t="shared" si="6"/>
        <v>76122</v>
      </c>
      <c r="K835" s="1097">
        <f t="shared" si="6"/>
        <v>8361</v>
      </c>
      <c r="L835" s="1097">
        <f t="shared" si="6"/>
        <v>1028407</v>
      </c>
      <c r="M835" s="1097">
        <f t="shared" si="6"/>
        <v>5307</v>
      </c>
      <c r="N835" s="1099">
        <f>N653+N649+N645+N641+N633+N629+N625+N621+N617+N613+N609+N601+N605+N597+N593+N589+N585+N572+N581+N577+N568+N564+N560+N556+N547+N543+N539+N534+N530+N526+N518+N473+N465+N461+N457+N453+N445+N418+N414+N410+N397+N393+N352+N344+N340+N272+N268+N263+N259+N60+N52+N40+N12+N744</f>
        <v>4316693</v>
      </c>
      <c r="O835" s="393"/>
      <c r="P835" s="7"/>
    </row>
    <row r="836" spans="1:16" s="11" customFormat="1" ht="22.15" customHeight="1" x14ac:dyDescent="0.35">
      <c r="A836" s="194">
        <v>830</v>
      </c>
      <c r="B836" s="706"/>
      <c r="C836" s="707"/>
      <c r="D836" s="980" t="s">
        <v>98</v>
      </c>
      <c r="E836" s="982"/>
      <c r="F836" s="982"/>
      <c r="G836" s="981"/>
      <c r="H836" s="1445"/>
      <c r="I836" s="1054"/>
      <c r="J836" s="354"/>
      <c r="K836" s="354"/>
      <c r="L836" s="354"/>
      <c r="M836" s="354"/>
      <c r="N836" s="355"/>
      <c r="O836" s="393"/>
      <c r="P836" s="7"/>
    </row>
    <row r="837" spans="1:16" s="11" customFormat="1" ht="18" customHeight="1" x14ac:dyDescent="0.35">
      <c r="A837" s="194">
        <v>831</v>
      </c>
      <c r="B837" s="1142"/>
      <c r="C837" s="1143"/>
      <c r="D837" s="1129" t="s">
        <v>252</v>
      </c>
      <c r="E837" s="1144"/>
      <c r="F837" s="1144"/>
      <c r="G837" s="1145"/>
      <c r="H837" s="1446"/>
      <c r="I837" s="1056">
        <f>SUM(J837:N837)</f>
        <v>2823107</v>
      </c>
      <c r="J837" s="1146">
        <f>J794+J790+J786+J782+J778+J774+J770+J766+J762+J758+J677+J754+J750+J746+J738+J734+J727+J721+J715+J711+J705+J699+J695+J690+J686+J682+J635+J549+J520+J512+J508+J504+J500+J496+J491+J487+J483+J479+J475+J467+J447+J438+J434+J429+J425+J421+J403+J399+J387+J383+J379+J375+J371+J367+J363+J359+J355+J333+J306+J282+J278+J274+J248+J244+J239+J235+J231+J203+J198+J194+J190+J186+J136+J132+J128+J124+J73+J66+J62+J54+J46+J42+J34+J26+J22+J18+J14+J120+J798</f>
        <v>22190</v>
      </c>
      <c r="K837" s="1146">
        <f>K794+K790+K786+K782+K778+K774+K770+K766+K762+K758+K677+K754+K750+K746+K738+K734+K727+K721+K715+K711+K705+K699+K695+K690+K686+K682+K635+K549+K520+K512+K508+K504+K500+K496+K491+K487+K483+K479+K475+K467+K447+K438+K434+K429+K425+K421+K403+K399+K387+K383+K379+K375+K371+K367+K363+K359+K355+K333+K306+K282+K278+K274+K248+K244+K239+K235+K231+K203+K198+K194+K190+K186+K136+K132+K128+K124+K73+K66+K62+K54+K46+K42+K34+K26+K22+K18+K14+K120+K798</f>
        <v>7306</v>
      </c>
      <c r="L837" s="1146">
        <f>L794+L790+L786+L782+L778+L774+L770+L766+L762+L758+L677+L754+L750+L746+L738+L734+L727+L721+L715+L711+L705+L699+L695+L690+L686+L682+L635+L549+L520+L512+L508+L504+L500+L496+L491+L487+L483+L479+L475+L467+L447+L438+L434+L429+L425+L421+L403+L399+L387+L383+L379+L375+L371+L367+L363+L359+L355+L333+L306+L282+L278+L274+L248+L244+L239+L235+L231+L203+L198+L194+L190+L186+L136+L132+L128+L124+L73+L66+L62+L54+L46+L42+L34+L26+L22+L18+L14+L120+L798</f>
        <v>1713692</v>
      </c>
      <c r="M837" s="1146">
        <f>M794+M790+M786+M782+M778+M774+M770+M766+M762+M758+M677+M754+M750+M746+M738+M734+M727+M721+M715+M711+M705+M699+M695+M690+M686+M682+M635+M549+M520+M512+M508+M504+M500+M496+M491+M487+M483+M479+M475+M467+M447+M438+M434+M429+M425+M421+M403+M399+M387+M383+M379+M375+M371+M367+M363+M359+M355+M333+M306+M282+M278+M274+M248+M244+M239+M235+M231+M203+M198+M194+M190+M186+M136+M132+M128+M124+M73+M66+M62+M54+M46+M42+M34+M26+M22+M18+M14+M120+M798</f>
        <v>46610</v>
      </c>
      <c r="N837" s="1147">
        <f>N794+N790+N786+N782+N778+N774+N770+N766+N762+N758+N677+N754+N750+N746+N738+N734+N727+N721+N715+N711+N705+N699+N695+N690+N686+N682+N635+N549+N520+N512+N508+N504+N500+N496+N491+N487+N483+N479+N475+N467+N447+N438+N434+N429+N425+N421+N403+N399+N387+N383+N379+N375+N371+N367+N363+N359+N355+N333+N306+N282+N278+N274+N248+N244+N239+N235+N231+N203+N198+N194+N190+N186+N136+N132+N128+N124+N73+N66+N62+N54+N46+N42+N34+N26+N22+N18+N14+N120+N798</f>
        <v>1033309</v>
      </c>
      <c r="O837" s="654"/>
      <c r="P837" s="7"/>
    </row>
    <row r="838" spans="1:16" s="11" customFormat="1" ht="18" customHeight="1" x14ac:dyDescent="0.35">
      <c r="A838" s="194">
        <v>832</v>
      </c>
      <c r="B838" s="1142"/>
      <c r="C838" s="1143"/>
      <c r="D838" s="1003" t="s">
        <v>921</v>
      </c>
      <c r="E838" s="1144"/>
      <c r="F838" s="1144"/>
      <c r="G838" s="1145"/>
      <c r="H838" s="1463"/>
      <c r="I838" s="1062">
        <f>SUM(J838:N838)</f>
        <v>2933484</v>
      </c>
      <c r="J838" s="1464">
        <f>J795+J791+J787+J783+J779+J775+J771+J767+J763+J759+J678+J755+J751+J747+J739+J735+J728+J722+J716+J712+J706+J700+J696+J691+J687+J683+J636+J550+J521+J513+J509+J505+J501+J497+J492+J488+J484+J480+J476+J468+J448+J435+J430+J426+J422+J404+J400+J388+J384+J380+J376+J372+J368+J364+J360+J356+J334+J307+J283+J279+J275+J249+J245+J240+J236+J232+J204+J199+J195+J191+J187+J137+J133+J129+J125+J74+J67+J63+J55+J47+J43+J35+J27+J23+J19+J15+J121+J799+J814+J811+J808+J805+J802+J252+J70+J826+J823+J820+J817</f>
        <v>23427</v>
      </c>
      <c r="K838" s="1464">
        <f>K795+K791+K787+K783+K779+K775+K771+K767+K763+K759+K678+K755+K751+K747+K739+K735+K728+K722+K716+K712+K706+K700+K696+K691+K687+K683+K636+K550+K521+K513+K509+K505+K501+K497+K492+K488+K484+K480+K476+K468+K448+K435+K430+K426+K422+K404+K400+K388+K384+K380+K376+K372+K368+K364+K360+K356+K334+K307+K283+K279+K275+K249+K245+K240+K236+K232+K204+K199+K195+K191+K187+K137+K133+K129+K125+K74+K67+K63+K55+K47+K43+K35+K27+K23+K19+K15+K121+K799+K814+K811+K808+K805+K802+K252+K70+K826+K823+K820+K817</f>
        <v>8915</v>
      </c>
      <c r="L838" s="1464">
        <f>L795+L791+L787+L783+L779+L775+L771+L767+L763+L759+L678+L755+L751+L747+L739+L735+L728+L722+L716+L712+L706+L700+L696+L691+L687+L683+L636+L550+L521+L513+L509+L505+L501+L497+L492+L488+L484+L480+L476+L468+L448+L435+L430+L426+L422+L404+L400+L388+L384+L380+L376+L372+L368+L364+L360+L356+L334+L307+L283+L279+L275+L249+L245+L240+L236+L232+L204+L199+L195+L191+L187+L137+L133+L129+L125+L74+L67+L63+L55+L47+L43+L35+L27+L23+L19+L15+L121+L799+L814+L811+L808+L805+L802+L252+L70+L826+L823+L820+L817</f>
        <v>1775698</v>
      </c>
      <c r="M838" s="1464">
        <f>M795+M791+M787+M783+M779+M775+M771+M767+M763+M759+M678+M755+M751+M747+M739+M735+M728+M722+M716+M712+M706+M700+M696+M691+M687+M683+M636+M550+M521+M513+M509+M505+M501+M497+M492+M488+M484+M480+M476+M468+M448+M435+M430+M426+M422+M404+M400+M388+M384+M380+M376+M372+M368+M364+M360+M356+M334+M307+M283+M279+M275+M249+M245+M240+M236+M232+M204+M199+M195+M191+M187+M137+M133+M129+M125+M74+M67+M63+M55+M47+M43+M35+M27+M23+M19+M15+M121+M799+M814+M811+M808+M805+M802+M252+M70+M826+M823+M820+M817</f>
        <v>36227</v>
      </c>
      <c r="N838" s="1466">
        <f>N795+N791+N787+N783+N779+N775+N771+N767+N763+N759+N678+N755+N751+N747+N739+N735+N728+N722+N716+N712+N706+N700+N696+N691+N687+N683+N636+N550+N521+N513+N509+N505+N501+N497+N492+N488+N484+N480+N476+N468+N448+N435+N430+N426+N422+N404+N400+N388+N384+N380+N376+N372+N368+N364+N360+N356+N334+N307+N283+N279+N275+N249+N245+N240+N236+N232+N204+N199+N195+N191+N187+N137+N133+N129+N125+N74+N67+N63+N55+N47+N43+N35+N27+N23+N19+N15+N121+N799+N814+N811+N808+N805+N802+N252+N70+N826+N823+N820+N817</f>
        <v>1089217</v>
      </c>
      <c r="O838" s="654"/>
      <c r="P838" s="7"/>
    </row>
    <row r="839" spans="1:16" s="11" customFormat="1" ht="18" customHeight="1" thickBot="1" x14ac:dyDescent="0.4">
      <c r="A839" s="194">
        <v>833</v>
      </c>
      <c r="B839" s="711"/>
      <c r="C839" s="712"/>
      <c r="D839" s="1677" t="s">
        <v>973</v>
      </c>
      <c r="E839" s="1137"/>
      <c r="F839" s="1137"/>
      <c r="G839" s="1155"/>
      <c r="H839" s="1447"/>
      <c r="I839" s="1678">
        <f>SUM(J839:Q839)</f>
        <v>1292527</v>
      </c>
      <c r="J839" s="1679">
        <f>J796+J792+J788+J784+J780+J776+J772+J768+J764+J760+J679+J756+J752+J748+J740+J736+J729+J723+J717+J713+J707+J701+J697+J692+J688+J684+J637+J551+J522+J514+J510+J506+J502+J498+J493+J489+J485+J481+J477+J469+J449+J440+J436+J431+J427+J423+J405+J401+J389+J385+J381+J377+J373+J369+J365+J361+J357+J335+J308+J284+J280+J276+J250+J246+J241+J237+J233+J205+J200+J196+J192+J188+J138+J134+J130+J126+J75+J68+J64+J56+J48+J44+J36+J28+J24+J20+J16+J122+J800+J253+J803+J806+J809+J812+J815+J71+J818+J821+J824+J827</f>
        <v>13689</v>
      </c>
      <c r="K839" s="1679">
        <f>K796+K792+K788+K784+K780+K776+K772+K768+K764+K760+K679+K756+K752+K748+K740+K736+K729+K723+K717+K713+K707+K701+K697+K692+K688+K684+K637+K551+K522+K514+K510+K506+K502+K498+K493+K489+K485+K481+K477+K469+K449+K440+K436+K431+K427+K423+K405+K401+K389+K385+K381+K377+K373+K369+K365+K361+K357+K335+K308+K284+K280+K276+K250+K246+K241+K237+K233+K205+K200+K196+K192+K188+K138+K134+K130+K126+K75+K68+K64+K56+K48+K44+K36+K28+K24+K20+K16+K122+K800+K253+K803+K806+K809+K812+K815+K71+K818+K821+K824+K827</f>
        <v>4021</v>
      </c>
      <c r="L839" s="1679">
        <f>L796+L792+L788+L784+L780+L776+L772+L768+L764+L760+L679+L756+L752+L748+L740+L736+L729+L723+L717+L713+L707+L701+L697+L692+L688+L684+L637+L551+L522+L514+L510+L506+L502+L498+L493+L489+L485+L481+L477+L469+L449+L440+L436+L431+L427+L423+L405+L401+L389+L385+L381+L377+L373+L369+L365+L361+L357+L335+L308+L284+L280+L276+L250+L246+L241+L237+L233+L205+L200+L196+L192+L188+L138+L134+L130+L126+L75+L68+L64+L56+L48+L44+L36+L28+L24+L20+L16+L122+L800+L253+L803+L806+L809+L812+L815+L71+L818+L821+L824+L827</f>
        <v>523678</v>
      </c>
      <c r="M839" s="1679">
        <f>M796+M792+M788+M784+M780+M776+M772+M768+M764+M760+M679+M756+M752+M748+M740+M736+M729+M723+M717+M713+M707+M701+M697+M692+M688+M684+M637+M551+M522+M514+M510+M506+M502+M498+M493+M489+M485+M481+M477+M469+M449+M440+M436+M431+M427+M423+M405+M401+M389+M385+M381+M377+M373+M369+M365+M361+M357+M335+M308+M284+M280+M276+M250+M246+M241+M237+M233+M205+M200+M196+M192+M188+M138+M134+M130+M126+M75+M68+M64+M56+M48+M44+M36+M28+M24+M20+M16+M122+M800+M253+M803+M806+M809+M812+M815+M71+M818+M821+M824+M827</f>
        <v>4131</v>
      </c>
      <c r="N839" s="1680">
        <f>N796+N792+N788+N784+N780+N776+N772+N768+N764+N760+N679+N756+N752+N748+N740+N736+N729+N723+N717+N713+N707+N701+N697+N692+N688+N684+N637+N551+N522+N514+N510+N506+N502+N498+N493+N489+N485+N481+N477+N469+N449+N440+N436+N431+N427+N423+N405+N401+N389+N385+N381+N377+N373+N369+N365+N361+N357+N335+N308+N284+N280+N276+N250+N246+N241+N237+N233+N205+N200+N196+N192+N188+N138+N134+N130+N126+N75+N68+N64+N56+N48+N44+N36+N28+N24+N20+N16+N122+N800+N253+N803+N806+N809+N812+N815+N71+N818+N821+N824+N827</f>
        <v>747008</v>
      </c>
      <c r="O839" s="654"/>
      <c r="P839" s="7"/>
    </row>
    <row r="840" spans="1:16" ht="18" customHeight="1" x14ac:dyDescent="0.3">
      <c r="A840" s="195"/>
      <c r="B840" s="1904" t="s">
        <v>25</v>
      </c>
      <c r="C840" s="1904"/>
      <c r="D840" s="1904"/>
      <c r="E840" s="56"/>
      <c r="F840" s="56"/>
      <c r="G840" s="56"/>
      <c r="H840" s="17"/>
      <c r="I840" s="57"/>
      <c r="J840" s="56"/>
      <c r="K840" s="56"/>
      <c r="L840" s="56"/>
      <c r="M840" s="56"/>
      <c r="N840" s="56"/>
    </row>
    <row r="841" spans="1:16" ht="18" customHeight="1" x14ac:dyDescent="0.3">
      <c r="A841" s="195"/>
      <c r="B841" s="199" t="s">
        <v>26</v>
      </c>
      <c r="C841" s="56"/>
      <c r="D841" s="199"/>
      <c r="E841" s="56"/>
      <c r="F841" s="56"/>
      <c r="G841" s="56"/>
      <c r="H841" s="17"/>
      <c r="I841" s="57"/>
      <c r="J841" s="56"/>
      <c r="K841" s="56"/>
      <c r="L841" s="56"/>
      <c r="M841" s="56"/>
      <c r="N841" s="56"/>
    </row>
    <row r="842" spans="1:16" ht="18" customHeight="1" x14ac:dyDescent="0.3">
      <c r="A842" s="195"/>
      <c r="B842" s="1904" t="s">
        <v>27</v>
      </c>
      <c r="C842" s="1904"/>
      <c r="D842" s="1904"/>
      <c r="E842" s="56"/>
      <c r="F842" s="56"/>
      <c r="G842" s="56"/>
      <c r="H842" s="17"/>
      <c r="I842" s="57"/>
      <c r="J842" s="56"/>
      <c r="K842" s="56"/>
      <c r="L842" s="56"/>
      <c r="M842" s="56"/>
      <c r="N842" s="56"/>
    </row>
    <row r="843" spans="1:16" ht="18" customHeight="1" x14ac:dyDescent="0.3">
      <c r="I843" s="4"/>
    </row>
    <row r="844" spans="1:16" ht="18" customHeight="1" x14ac:dyDescent="0.35"/>
    <row r="845" spans="1:16" ht="18" customHeight="1" x14ac:dyDescent="0.35"/>
    <row r="846" spans="1:16" s="5" customFormat="1" ht="18" customHeight="1" x14ac:dyDescent="0.35">
      <c r="A846" s="194"/>
      <c r="B846" s="3"/>
      <c r="C846" s="3"/>
      <c r="D846" s="9"/>
      <c r="E846" s="745"/>
      <c r="F846" s="745"/>
      <c r="G846" s="745"/>
      <c r="H846" s="3"/>
      <c r="J846" s="4"/>
      <c r="K846" s="4"/>
      <c r="L846" s="4"/>
      <c r="M846" s="4"/>
      <c r="N846" s="4"/>
      <c r="O846" s="4"/>
    </row>
    <row r="847" spans="1:16" s="5" customFormat="1" ht="18" customHeight="1" x14ac:dyDescent="0.35">
      <c r="A847" s="194"/>
      <c r="B847" s="3"/>
      <c r="C847" s="3"/>
      <c r="D847" s="9"/>
      <c r="E847" s="745"/>
      <c r="F847" s="745"/>
      <c r="G847" s="745"/>
      <c r="H847" s="3"/>
      <c r="J847" s="4"/>
      <c r="K847" s="4"/>
      <c r="L847" s="4"/>
      <c r="M847" s="4"/>
      <c r="N847" s="4"/>
      <c r="O847" s="4"/>
    </row>
    <row r="848" spans="1:16" s="5" customFormat="1" ht="18" customHeight="1" x14ac:dyDescent="0.35">
      <c r="A848" s="194"/>
      <c r="B848" s="3"/>
      <c r="C848" s="3"/>
      <c r="D848" s="9"/>
      <c r="E848" s="745"/>
      <c r="F848" s="745"/>
      <c r="G848" s="745"/>
      <c r="H848" s="3"/>
      <c r="J848" s="4"/>
      <c r="K848" s="4"/>
      <c r="L848" s="4"/>
      <c r="M848" s="4"/>
      <c r="N848" s="4"/>
      <c r="O848" s="4"/>
    </row>
    <row r="849" spans="1:15" s="5" customFormat="1" ht="18" customHeight="1" x14ac:dyDescent="0.35">
      <c r="A849" s="194"/>
      <c r="B849" s="3"/>
      <c r="C849" s="3"/>
      <c r="D849" s="9"/>
      <c r="E849" s="745"/>
      <c r="F849" s="745"/>
      <c r="G849" s="745"/>
      <c r="H849" s="3"/>
      <c r="J849" s="4"/>
      <c r="K849" s="4"/>
      <c r="L849" s="4"/>
      <c r="M849" s="4"/>
      <c r="N849" s="4"/>
      <c r="O849" s="4"/>
    </row>
    <row r="850" spans="1:15" s="5" customFormat="1" ht="18" customHeight="1" x14ac:dyDescent="0.35">
      <c r="A850" s="194"/>
      <c r="B850" s="3"/>
      <c r="C850" s="3"/>
      <c r="D850" s="9"/>
      <c r="E850" s="745"/>
      <c r="F850" s="745"/>
      <c r="G850" s="745"/>
      <c r="H850" s="3"/>
      <c r="J850" s="4"/>
      <c r="K850" s="4"/>
      <c r="L850" s="4"/>
      <c r="M850" s="4"/>
      <c r="N850" s="4"/>
      <c r="O850" s="4"/>
    </row>
    <row r="851" spans="1:15" s="5" customFormat="1" ht="18" customHeight="1" x14ac:dyDescent="0.35">
      <c r="A851" s="194"/>
      <c r="B851" s="3"/>
      <c r="C851" s="3"/>
      <c r="D851" s="10"/>
      <c r="E851" s="745"/>
      <c r="F851" s="745"/>
      <c r="G851" s="745"/>
      <c r="H851" s="3"/>
      <c r="J851" s="4"/>
      <c r="K851" s="4"/>
      <c r="L851" s="4"/>
      <c r="M851" s="4"/>
      <c r="N851" s="4"/>
      <c r="O851" s="4"/>
    </row>
    <row r="852" spans="1:15" s="5" customFormat="1" ht="18" customHeight="1" x14ac:dyDescent="0.35">
      <c r="A852" s="194"/>
      <c r="B852" s="3"/>
      <c r="C852" s="3"/>
      <c r="D852" s="10"/>
      <c r="E852" s="745"/>
      <c r="F852" s="745"/>
      <c r="G852" s="745"/>
      <c r="H852" s="3"/>
      <c r="J852" s="4"/>
      <c r="K852" s="4"/>
      <c r="L852" s="4"/>
      <c r="M852" s="4"/>
      <c r="N852" s="4"/>
      <c r="O852" s="4"/>
    </row>
    <row r="853" spans="1:15" s="5" customFormat="1" ht="18" customHeight="1" x14ac:dyDescent="0.35">
      <c r="A853" s="194"/>
      <c r="B853" s="3"/>
      <c r="C853" s="3"/>
      <c r="D853" s="9"/>
      <c r="E853" s="745"/>
      <c r="F853" s="745"/>
      <c r="G853" s="745"/>
      <c r="H853" s="3"/>
      <c r="J853" s="4"/>
      <c r="K853" s="4"/>
      <c r="L853" s="4"/>
      <c r="M853" s="4"/>
      <c r="N853" s="4"/>
      <c r="O853" s="4"/>
    </row>
    <row r="854" spans="1:15" s="5" customFormat="1" ht="18" customHeight="1" x14ac:dyDescent="0.35">
      <c r="A854" s="194"/>
      <c r="B854" s="3"/>
      <c r="C854" s="3"/>
      <c r="D854" s="9"/>
      <c r="E854" s="745"/>
      <c r="F854" s="745"/>
      <c r="G854" s="745"/>
      <c r="H854" s="3"/>
      <c r="J854" s="4"/>
      <c r="K854" s="4"/>
      <c r="L854" s="4"/>
      <c r="M854" s="4"/>
      <c r="N854" s="4"/>
      <c r="O854" s="4"/>
    </row>
    <row r="855" spans="1:15" s="5" customFormat="1" ht="18" customHeight="1" x14ac:dyDescent="0.35">
      <c r="A855" s="194"/>
      <c r="B855" s="3"/>
      <c r="C855" s="3"/>
      <c r="D855" s="9"/>
      <c r="E855" s="745"/>
      <c r="F855" s="745"/>
      <c r="G855" s="745"/>
      <c r="H855" s="3"/>
      <c r="J855" s="4"/>
      <c r="K855" s="4"/>
      <c r="L855" s="4"/>
      <c r="M855" s="4"/>
      <c r="N855" s="4"/>
      <c r="O855" s="4"/>
    </row>
    <row r="856" spans="1:15" s="5" customFormat="1" ht="18" customHeight="1" x14ac:dyDescent="0.35">
      <c r="A856" s="194"/>
      <c r="B856" s="3"/>
      <c r="C856" s="3"/>
      <c r="D856" s="9"/>
      <c r="E856" s="745"/>
      <c r="F856" s="745"/>
      <c r="G856" s="745"/>
      <c r="H856" s="3"/>
      <c r="J856" s="4"/>
      <c r="K856" s="4"/>
      <c r="L856" s="4"/>
      <c r="M856" s="4"/>
      <c r="N856" s="4"/>
      <c r="O856" s="4"/>
    </row>
    <row r="857" spans="1:15" s="5" customFormat="1" ht="18" customHeight="1" x14ac:dyDescent="0.35">
      <c r="A857" s="194"/>
      <c r="B857" s="3"/>
      <c r="C857" s="3"/>
      <c r="D857" s="9"/>
      <c r="E857" s="745"/>
      <c r="F857" s="745"/>
      <c r="G857" s="745"/>
      <c r="H857" s="3"/>
      <c r="J857" s="4"/>
      <c r="K857" s="4"/>
      <c r="L857" s="4"/>
      <c r="M857" s="4"/>
      <c r="N857" s="4"/>
      <c r="O857" s="4"/>
    </row>
    <row r="858" spans="1:15" s="5" customFormat="1" ht="18" customHeight="1" x14ac:dyDescent="0.35">
      <c r="A858" s="194"/>
      <c r="B858" s="3"/>
      <c r="C858" s="3"/>
      <c r="D858" s="9"/>
      <c r="E858" s="745"/>
      <c r="F858" s="745"/>
      <c r="G858" s="745"/>
      <c r="H858" s="3"/>
      <c r="J858" s="4"/>
      <c r="K858" s="4"/>
      <c r="L858" s="4"/>
      <c r="M858" s="4"/>
      <c r="N858" s="4"/>
      <c r="O858" s="4"/>
    </row>
    <row r="859" spans="1:15" s="5" customFormat="1" ht="18" customHeight="1" x14ac:dyDescent="0.35">
      <c r="A859" s="194"/>
      <c r="B859" s="3"/>
      <c r="C859" s="3"/>
      <c r="D859" s="9"/>
      <c r="E859" s="745"/>
      <c r="F859" s="745"/>
      <c r="G859" s="745"/>
      <c r="H859" s="3"/>
      <c r="J859" s="4"/>
      <c r="K859" s="4"/>
      <c r="L859" s="4"/>
      <c r="M859" s="4"/>
      <c r="N859" s="4"/>
      <c r="O859" s="4"/>
    </row>
    <row r="860" spans="1:15" s="5" customFormat="1" ht="18" customHeight="1" x14ac:dyDescent="0.35">
      <c r="A860" s="194"/>
      <c r="B860" s="3"/>
      <c r="C860" s="3"/>
      <c r="D860" s="9"/>
      <c r="E860" s="745"/>
      <c r="F860" s="745"/>
      <c r="G860" s="745"/>
      <c r="H860" s="3"/>
      <c r="J860" s="4"/>
      <c r="K860" s="4"/>
      <c r="L860" s="4"/>
      <c r="M860" s="4"/>
      <c r="N860" s="4"/>
      <c r="O860" s="4"/>
    </row>
    <row r="861" spans="1:15" s="5" customFormat="1" ht="18" customHeight="1" x14ac:dyDescent="0.35">
      <c r="A861" s="194"/>
      <c r="B861" s="3"/>
      <c r="C861" s="3"/>
      <c r="D861" s="9"/>
      <c r="E861" s="745"/>
      <c r="F861" s="745"/>
      <c r="G861" s="745"/>
      <c r="H861" s="3"/>
      <c r="J861" s="4"/>
      <c r="K861" s="4"/>
      <c r="L861" s="4"/>
      <c r="M861" s="4"/>
      <c r="N861" s="4"/>
      <c r="O861" s="4"/>
    </row>
    <row r="862" spans="1:15" ht="18" customHeight="1" x14ac:dyDescent="0.35"/>
    <row r="863" spans="1:15" ht="18" customHeight="1" x14ac:dyDescent="0.35"/>
    <row r="864" spans="1:15" ht="18" customHeight="1" x14ac:dyDescent="0.35"/>
    <row r="865" spans="4:14" ht="18" customHeight="1" x14ac:dyDescent="0.35"/>
    <row r="866" spans="4:14" ht="18" customHeight="1" x14ac:dyDescent="0.35"/>
    <row r="867" spans="4:14" ht="18" customHeight="1" x14ac:dyDescent="0.35"/>
    <row r="868" spans="4:14" ht="18" customHeight="1" x14ac:dyDescent="0.35"/>
    <row r="869" spans="4:14" ht="18" customHeight="1" x14ac:dyDescent="0.35"/>
    <row r="870" spans="4:14" ht="18" customHeight="1" x14ac:dyDescent="0.35"/>
    <row r="871" spans="4:14" ht="18" customHeight="1" x14ac:dyDescent="0.35"/>
    <row r="872" spans="4:14" ht="18" customHeight="1" x14ac:dyDescent="0.35"/>
    <row r="873" spans="4:14" ht="18" customHeight="1" x14ac:dyDescent="0.35"/>
    <row r="874" spans="4:14" ht="18" customHeight="1" x14ac:dyDescent="0.35"/>
    <row r="875" spans="4:14" ht="18" customHeight="1" x14ac:dyDescent="0.35"/>
    <row r="876" spans="4:14" ht="18" customHeight="1" x14ac:dyDescent="0.35"/>
    <row r="877" spans="4:14" ht="18" customHeight="1" x14ac:dyDescent="0.35">
      <c r="D877" s="12"/>
      <c r="E877" s="746"/>
      <c r="F877" s="746"/>
      <c r="G877" s="746"/>
      <c r="I877" s="11"/>
      <c r="J877" s="3"/>
      <c r="K877" s="3"/>
      <c r="L877" s="3"/>
      <c r="M877" s="3"/>
      <c r="N877" s="3"/>
    </row>
    <row r="878" spans="4:14" ht="18" customHeight="1" x14ac:dyDescent="0.35">
      <c r="D878" s="12"/>
      <c r="E878" s="746"/>
      <c r="F878" s="746"/>
      <c r="G878" s="746"/>
      <c r="I878" s="11"/>
      <c r="J878" s="3"/>
      <c r="K878" s="3"/>
      <c r="L878" s="3"/>
      <c r="M878" s="3"/>
      <c r="N878" s="3"/>
    </row>
    <row r="879" spans="4:14" ht="18" customHeight="1" x14ac:dyDescent="0.35">
      <c r="D879" s="12"/>
      <c r="E879" s="746"/>
      <c r="F879" s="746"/>
      <c r="G879" s="746"/>
      <c r="I879" s="11"/>
      <c r="J879" s="3"/>
      <c r="K879" s="3"/>
      <c r="L879" s="3"/>
      <c r="M879" s="3"/>
      <c r="N879" s="3"/>
    </row>
    <row r="880" spans="4:14" ht="18" customHeight="1" x14ac:dyDescent="0.35">
      <c r="D880" s="12"/>
      <c r="E880" s="746"/>
      <c r="F880" s="746"/>
      <c r="G880" s="746"/>
      <c r="I880" s="11"/>
      <c r="J880" s="3"/>
      <c r="K880" s="3"/>
      <c r="L880" s="3"/>
      <c r="M880" s="3"/>
      <c r="N880" s="3"/>
    </row>
    <row r="881" spans="1:14" ht="18" customHeight="1" x14ac:dyDescent="0.35"/>
    <row r="882" spans="1:14" ht="18" customHeight="1" x14ac:dyDescent="0.35"/>
    <row r="883" spans="1:14" ht="18" customHeight="1" x14ac:dyDescent="0.35"/>
    <row r="884" spans="1:14" ht="18" customHeight="1" x14ac:dyDescent="0.35"/>
    <row r="885" spans="1:14" ht="18" customHeight="1" x14ac:dyDescent="0.35"/>
    <row r="886" spans="1:14" ht="18" customHeight="1" x14ac:dyDescent="0.35">
      <c r="D886" s="10"/>
    </row>
    <row r="887" spans="1:14" ht="18" customHeight="1" x14ac:dyDescent="0.35">
      <c r="D887" s="10"/>
    </row>
    <row r="888" spans="1:14" s="5" customFormat="1" ht="18" customHeight="1" x14ac:dyDescent="0.35">
      <c r="A888" s="194"/>
      <c r="B888" s="3"/>
      <c r="C888" s="3"/>
      <c r="D888" s="10"/>
      <c r="E888" s="745"/>
      <c r="F888" s="745"/>
      <c r="G888" s="745"/>
      <c r="H888" s="3"/>
      <c r="J888" s="4"/>
      <c r="K888" s="4"/>
      <c r="L888" s="4"/>
      <c r="M888" s="4"/>
      <c r="N888" s="4"/>
    </row>
    <row r="889" spans="1:14" s="5" customFormat="1" ht="18" customHeight="1" x14ac:dyDescent="0.35">
      <c r="A889" s="194"/>
      <c r="B889" s="3"/>
      <c r="C889" s="3"/>
      <c r="D889" s="10"/>
      <c r="E889" s="745"/>
      <c r="F889" s="745"/>
      <c r="G889" s="745"/>
      <c r="H889" s="3"/>
      <c r="J889" s="4"/>
      <c r="K889" s="4"/>
      <c r="L889" s="4"/>
      <c r="M889" s="4"/>
      <c r="N889" s="4"/>
    </row>
    <row r="890" spans="1:14" s="5" customFormat="1" ht="18" customHeight="1" x14ac:dyDescent="0.35">
      <c r="A890" s="194"/>
      <c r="B890" s="3"/>
      <c r="C890" s="3"/>
      <c r="D890" s="10"/>
      <c r="E890" s="745"/>
      <c r="F890" s="745"/>
      <c r="G890" s="745"/>
      <c r="H890" s="3"/>
      <c r="J890" s="4"/>
      <c r="K890" s="4"/>
      <c r="L890" s="4"/>
      <c r="M890" s="4"/>
      <c r="N890" s="4"/>
    </row>
    <row r="891" spans="1:14" s="5" customFormat="1" ht="18" customHeight="1" x14ac:dyDescent="0.35">
      <c r="A891" s="194"/>
      <c r="B891" s="3"/>
      <c r="C891" s="3"/>
      <c r="D891" s="10"/>
      <c r="E891" s="745"/>
      <c r="F891" s="745"/>
      <c r="G891" s="745"/>
      <c r="H891" s="3"/>
      <c r="J891" s="4"/>
      <c r="K891" s="4"/>
      <c r="L891" s="4"/>
      <c r="M891" s="4"/>
      <c r="N891" s="4"/>
    </row>
    <row r="892" spans="1:14" s="5" customFormat="1" ht="18" customHeight="1" x14ac:dyDescent="0.35">
      <c r="A892" s="194"/>
      <c r="B892" s="3"/>
      <c r="C892" s="3"/>
      <c r="D892" s="10"/>
      <c r="E892" s="745"/>
      <c r="F892" s="745"/>
      <c r="G892" s="745"/>
      <c r="H892" s="3"/>
      <c r="J892" s="4"/>
      <c r="K892" s="4"/>
      <c r="L892" s="4"/>
      <c r="M892" s="4"/>
      <c r="N892" s="4"/>
    </row>
    <row r="893" spans="1:14" s="5" customFormat="1" ht="18" customHeight="1" x14ac:dyDescent="0.35">
      <c r="A893" s="194"/>
      <c r="B893" s="3"/>
      <c r="C893" s="3"/>
      <c r="D893" s="10"/>
      <c r="E893" s="745"/>
      <c r="F893" s="745"/>
      <c r="G893" s="745"/>
      <c r="H893" s="3"/>
      <c r="J893" s="4"/>
      <c r="K893" s="4"/>
      <c r="L893" s="4"/>
      <c r="M893" s="4"/>
      <c r="N893" s="4"/>
    </row>
    <row r="894" spans="1:14" s="5" customFormat="1" ht="18" customHeight="1" x14ac:dyDescent="0.35">
      <c r="A894" s="194"/>
      <c r="B894" s="3"/>
      <c r="C894" s="3"/>
      <c r="D894" s="10"/>
      <c r="E894" s="745"/>
      <c r="F894" s="745"/>
      <c r="G894" s="745"/>
      <c r="H894" s="3"/>
      <c r="J894" s="4"/>
      <c r="K894" s="4"/>
      <c r="L894" s="4"/>
      <c r="M894" s="4"/>
      <c r="N894" s="4"/>
    </row>
    <row r="895" spans="1:14" ht="18" customHeight="1" x14ac:dyDescent="0.35"/>
    <row r="896" spans="1:14" ht="18" customHeight="1" x14ac:dyDescent="0.35"/>
    <row r="897" spans="1:15" ht="18" customHeight="1" x14ac:dyDescent="0.35"/>
    <row r="898" spans="1:15" ht="18" customHeight="1" x14ac:dyDescent="0.35"/>
    <row r="899" spans="1:15" ht="18" customHeight="1" x14ac:dyDescent="0.35"/>
    <row r="900" spans="1:15" ht="18" customHeight="1" x14ac:dyDescent="0.35"/>
    <row r="901" spans="1:15" ht="18" customHeight="1" x14ac:dyDescent="0.35"/>
    <row r="902" spans="1:15" ht="18" customHeight="1" x14ac:dyDescent="0.35"/>
    <row r="903" spans="1:15" ht="18" customHeight="1" x14ac:dyDescent="0.35"/>
    <row r="904" spans="1:15" ht="18" customHeight="1" x14ac:dyDescent="0.35"/>
    <row r="905" spans="1:15" ht="18" customHeight="1" x14ac:dyDescent="0.35"/>
    <row r="906" spans="1:15" ht="18" customHeight="1" x14ac:dyDescent="0.35"/>
    <row r="907" spans="1:15" ht="18" customHeight="1" x14ac:dyDescent="0.35"/>
    <row r="908" spans="1:15" s="5" customFormat="1" ht="18" customHeight="1" x14ac:dyDescent="0.35">
      <c r="A908" s="194"/>
      <c r="B908" s="3"/>
      <c r="C908" s="3"/>
      <c r="D908" s="10"/>
      <c r="E908" s="745"/>
      <c r="F908" s="745"/>
      <c r="G908" s="745"/>
      <c r="H908" s="3"/>
      <c r="J908" s="4"/>
      <c r="K908" s="4"/>
      <c r="L908" s="4"/>
      <c r="M908" s="4"/>
      <c r="N908" s="4"/>
    </row>
    <row r="909" spans="1:15" ht="18" customHeight="1" x14ac:dyDescent="0.35"/>
    <row r="910" spans="1:15" s="5" customFormat="1" ht="18" customHeight="1" x14ac:dyDescent="0.35">
      <c r="A910" s="194"/>
      <c r="B910" s="3"/>
      <c r="C910" s="3"/>
      <c r="D910" s="9"/>
      <c r="E910" s="745"/>
      <c r="F910" s="745"/>
      <c r="G910" s="745"/>
      <c r="H910" s="3"/>
      <c r="J910" s="4"/>
      <c r="K910" s="4"/>
      <c r="L910" s="4"/>
      <c r="M910" s="4"/>
      <c r="N910" s="4"/>
      <c r="O910" s="4"/>
    </row>
    <row r="911" spans="1:15" s="5" customFormat="1" ht="18" customHeight="1" x14ac:dyDescent="0.35">
      <c r="A911" s="194"/>
      <c r="B911" s="3"/>
      <c r="C911" s="3"/>
      <c r="D911" s="9"/>
      <c r="E911" s="745"/>
      <c r="F911" s="745"/>
      <c r="G911" s="745"/>
      <c r="H911" s="3"/>
      <c r="J911" s="4"/>
      <c r="K911" s="4"/>
      <c r="L911" s="4"/>
      <c r="M911" s="4"/>
      <c r="N911" s="4"/>
      <c r="O911" s="4"/>
    </row>
    <row r="912" spans="1:15" s="5" customFormat="1" x14ac:dyDescent="0.35">
      <c r="A912" s="194"/>
      <c r="B912" s="3"/>
      <c r="C912" s="3"/>
      <c r="D912" s="9"/>
      <c r="E912" s="745"/>
      <c r="F912" s="745"/>
      <c r="G912" s="745"/>
      <c r="H912" s="3"/>
      <c r="J912" s="4"/>
      <c r="K912" s="4"/>
      <c r="L912" s="4"/>
      <c r="M912" s="4"/>
      <c r="N912" s="4"/>
      <c r="O912" s="4"/>
    </row>
    <row r="913" spans="1:15" s="5" customFormat="1" x14ac:dyDescent="0.35">
      <c r="A913" s="194"/>
      <c r="B913" s="3"/>
      <c r="C913" s="3"/>
      <c r="D913" s="9"/>
      <c r="E913" s="745"/>
      <c r="F913" s="745"/>
      <c r="G913" s="745"/>
      <c r="H913" s="3"/>
      <c r="J913" s="4"/>
      <c r="K913" s="4"/>
      <c r="L913" s="4"/>
      <c r="M913" s="4"/>
      <c r="N913" s="4"/>
      <c r="O913" s="4"/>
    </row>
    <row r="914" spans="1:15" s="5" customFormat="1" x14ac:dyDescent="0.35">
      <c r="A914" s="194"/>
      <c r="B914" s="3"/>
      <c r="C914" s="3"/>
      <c r="D914" s="9"/>
      <c r="E914" s="745"/>
      <c r="F914" s="745"/>
      <c r="G914" s="745"/>
      <c r="H914" s="3"/>
      <c r="J914" s="4"/>
      <c r="K914" s="4"/>
      <c r="L914" s="4"/>
      <c r="M914" s="4"/>
      <c r="N914" s="4"/>
      <c r="O914" s="4"/>
    </row>
    <row r="915" spans="1:15" s="5" customFormat="1" x14ac:dyDescent="0.35">
      <c r="A915" s="194"/>
      <c r="B915" s="3"/>
      <c r="C915" s="3"/>
      <c r="D915" s="9"/>
      <c r="E915" s="745"/>
      <c r="F915" s="745"/>
      <c r="G915" s="745"/>
      <c r="H915" s="3"/>
      <c r="J915" s="4"/>
      <c r="K915" s="4"/>
      <c r="L915" s="4"/>
      <c r="M915" s="4"/>
      <c r="N915" s="4"/>
      <c r="O915" s="4"/>
    </row>
    <row r="916" spans="1:15" s="5" customFormat="1" x14ac:dyDescent="0.35">
      <c r="A916" s="194"/>
      <c r="B916" s="3"/>
      <c r="C916" s="3"/>
      <c r="D916" s="9"/>
      <c r="E916" s="745"/>
      <c r="F916" s="745"/>
      <c r="G916" s="745"/>
      <c r="H916" s="3"/>
      <c r="J916" s="4"/>
      <c r="K916" s="4"/>
      <c r="L916" s="4"/>
      <c r="M916" s="4"/>
      <c r="N916" s="4"/>
      <c r="O916" s="4"/>
    </row>
    <row r="917" spans="1:15" s="5" customFormat="1" x14ac:dyDescent="0.35">
      <c r="A917" s="194"/>
      <c r="B917" s="3"/>
      <c r="C917" s="3"/>
      <c r="D917" s="9"/>
      <c r="E917" s="745"/>
      <c r="F917" s="745"/>
      <c r="G917" s="745"/>
      <c r="H917" s="3"/>
      <c r="J917" s="4"/>
      <c r="K917" s="4"/>
      <c r="L917" s="4"/>
      <c r="M917" s="4"/>
      <c r="N917" s="4"/>
      <c r="O917" s="4"/>
    </row>
    <row r="918" spans="1:15" s="5" customFormat="1" x14ac:dyDescent="0.35">
      <c r="A918" s="194"/>
      <c r="B918" s="3"/>
      <c r="C918" s="3"/>
      <c r="D918" s="9"/>
      <c r="E918" s="745"/>
      <c r="F918" s="745"/>
      <c r="G918" s="745"/>
      <c r="H918" s="3"/>
      <c r="J918" s="4"/>
      <c r="K918" s="4"/>
      <c r="L918" s="4"/>
      <c r="M918" s="4"/>
      <c r="N918" s="4"/>
      <c r="O918" s="4"/>
    </row>
    <row r="919" spans="1:15" s="5" customFormat="1" x14ac:dyDescent="0.35">
      <c r="A919" s="194"/>
      <c r="B919" s="3"/>
      <c r="C919" s="3"/>
      <c r="D919" s="9"/>
      <c r="E919" s="745"/>
      <c r="F919" s="745"/>
      <c r="G919" s="745"/>
      <c r="H919" s="3"/>
      <c r="J919" s="4"/>
      <c r="K919" s="4"/>
      <c r="L919" s="4"/>
      <c r="M919" s="4"/>
      <c r="N919" s="4"/>
      <c r="O919" s="4"/>
    </row>
    <row r="920" spans="1:15" s="5" customFormat="1" x14ac:dyDescent="0.35">
      <c r="A920" s="194"/>
      <c r="B920" s="3"/>
      <c r="C920" s="3"/>
      <c r="D920" s="9"/>
      <c r="E920" s="745"/>
      <c r="F920" s="745"/>
      <c r="G920" s="745"/>
      <c r="H920" s="3"/>
      <c r="J920" s="4"/>
      <c r="K920" s="4"/>
      <c r="L920" s="4"/>
      <c r="M920" s="4"/>
      <c r="N920" s="4"/>
      <c r="O920" s="4"/>
    </row>
    <row r="921" spans="1:15" s="5" customFormat="1" x14ac:dyDescent="0.35">
      <c r="A921" s="194"/>
      <c r="B921" s="3"/>
      <c r="C921" s="3"/>
      <c r="D921" s="9"/>
      <c r="E921" s="745"/>
      <c r="F921" s="745"/>
      <c r="G921" s="745"/>
      <c r="H921" s="3"/>
      <c r="J921" s="4"/>
      <c r="K921" s="4"/>
      <c r="L921" s="4"/>
      <c r="M921" s="4"/>
      <c r="N921" s="4"/>
      <c r="O921" s="4"/>
    </row>
    <row r="922" spans="1:15" s="5" customFormat="1" x14ac:dyDescent="0.35">
      <c r="A922" s="194"/>
      <c r="B922" s="3"/>
      <c r="C922" s="3"/>
      <c r="D922" s="9"/>
      <c r="E922" s="745"/>
      <c r="F922" s="745"/>
      <c r="G922" s="745"/>
      <c r="H922" s="3"/>
      <c r="J922" s="4"/>
      <c r="K922" s="4"/>
      <c r="L922" s="4"/>
      <c r="M922" s="4"/>
      <c r="N922" s="4"/>
      <c r="O922" s="4"/>
    </row>
    <row r="923" spans="1:15" s="5" customFormat="1" x14ac:dyDescent="0.35">
      <c r="A923" s="194"/>
      <c r="B923" s="3"/>
      <c r="C923" s="3"/>
      <c r="D923" s="9"/>
      <c r="E923" s="745"/>
      <c r="F923" s="745"/>
      <c r="G923" s="745"/>
      <c r="H923" s="3"/>
      <c r="J923" s="4"/>
      <c r="K923" s="4"/>
      <c r="L923" s="4"/>
      <c r="M923" s="4"/>
      <c r="N923" s="4"/>
      <c r="O923" s="4"/>
    </row>
    <row r="924" spans="1:15" s="5" customFormat="1" x14ac:dyDescent="0.35">
      <c r="A924" s="194"/>
      <c r="B924" s="3"/>
      <c r="C924" s="3"/>
      <c r="D924" s="9"/>
      <c r="E924" s="745"/>
      <c r="F924" s="745"/>
      <c r="G924" s="745"/>
      <c r="H924" s="3"/>
      <c r="J924" s="4"/>
      <c r="K924" s="4"/>
      <c r="L924" s="4"/>
      <c r="M924" s="4"/>
      <c r="N924" s="4"/>
      <c r="O924" s="4"/>
    </row>
    <row r="925" spans="1:15" s="5" customFormat="1" x14ac:dyDescent="0.35">
      <c r="A925" s="194"/>
      <c r="B925" s="3"/>
      <c r="C925" s="3"/>
      <c r="D925" s="9"/>
      <c r="E925" s="745"/>
      <c r="F925" s="745"/>
      <c r="G925" s="745"/>
      <c r="H925" s="3"/>
      <c r="J925" s="4"/>
      <c r="K925" s="4"/>
      <c r="L925" s="4"/>
      <c r="M925" s="4"/>
      <c r="N925" s="4"/>
      <c r="O925" s="4"/>
    </row>
    <row r="926" spans="1:15" s="5" customFormat="1" x14ac:dyDescent="0.35">
      <c r="A926" s="194"/>
      <c r="B926" s="3"/>
      <c r="C926" s="3"/>
      <c r="D926" s="9"/>
      <c r="E926" s="745"/>
      <c r="F926" s="745"/>
      <c r="G926" s="745"/>
      <c r="H926" s="3"/>
      <c r="J926" s="4"/>
      <c r="K926" s="4"/>
      <c r="L926" s="4"/>
      <c r="M926" s="4"/>
      <c r="N926" s="4"/>
      <c r="O926" s="4"/>
    </row>
    <row r="927" spans="1:15" s="5" customFormat="1" x14ac:dyDescent="0.35">
      <c r="A927" s="194"/>
      <c r="B927" s="3"/>
      <c r="C927" s="3"/>
      <c r="D927" s="9"/>
      <c r="E927" s="745"/>
      <c r="F927" s="745"/>
      <c r="G927" s="745"/>
      <c r="H927" s="3"/>
      <c r="J927" s="4"/>
      <c r="K927" s="4"/>
      <c r="L927" s="4"/>
      <c r="M927" s="4"/>
      <c r="N927" s="4"/>
      <c r="O927" s="4"/>
    </row>
    <row r="928" spans="1:15" s="5" customFormat="1" x14ac:dyDescent="0.35">
      <c r="A928" s="194"/>
      <c r="B928" s="3"/>
      <c r="C928" s="3"/>
      <c r="D928" s="9"/>
      <c r="E928" s="745"/>
      <c r="F928" s="745"/>
      <c r="G928" s="745"/>
      <c r="H928" s="3"/>
      <c r="J928" s="4"/>
      <c r="K928" s="4"/>
      <c r="L928" s="4"/>
      <c r="M928" s="4"/>
      <c r="N928" s="4"/>
      <c r="O928" s="4"/>
    </row>
    <row r="929" spans="1:15" s="5" customFormat="1" x14ac:dyDescent="0.35">
      <c r="A929" s="194"/>
      <c r="B929" s="3"/>
      <c r="C929" s="3"/>
      <c r="D929" s="9"/>
      <c r="E929" s="745"/>
      <c r="F929" s="745"/>
      <c r="G929" s="745"/>
      <c r="H929" s="3"/>
      <c r="J929" s="4"/>
      <c r="K929" s="4"/>
      <c r="L929" s="4"/>
      <c r="M929" s="4"/>
      <c r="N929" s="4"/>
      <c r="O929" s="4"/>
    </row>
    <row r="930" spans="1:15" s="5" customFormat="1" x14ac:dyDescent="0.35">
      <c r="A930" s="194"/>
      <c r="B930" s="3"/>
      <c r="C930" s="3"/>
      <c r="D930" s="9"/>
      <c r="E930" s="745"/>
      <c r="F930" s="745"/>
      <c r="G930" s="745"/>
      <c r="H930" s="3"/>
      <c r="J930" s="4"/>
      <c r="K930" s="4"/>
      <c r="L930" s="4"/>
      <c r="M930" s="4"/>
      <c r="N930" s="4"/>
      <c r="O930" s="4"/>
    </row>
    <row r="931" spans="1:15" s="5" customFormat="1" x14ac:dyDescent="0.35">
      <c r="A931" s="194"/>
      <c r="B931" s="3"/>
      <c r="C931" s="3"/>
      <c r="D931" s="9"/>
      <c r="E931" s="745"/>
      <c r="F931" s="745"/>
      <c r="G931" s="745"/>
      <c r="H931" s="3"/>
      <c r="J931" s="4"/>
      <c r="K931" s="4"/>
      <c r="L931" s="4"/>
      <c r="M931" s="4"/>
      <c r="N931" s="4"/>
      <c r="O931" s="4"/>
    </row>
    <row r="932" spans="1:15" s="5" customFormat="1" x14ac:dyDescent="0.35">
      <c r="A932" s="194"/>
      <c r="B932" s="3"/>
      <c r="C932" s="3"/>
      <c r="D932" s="9"/>
      <c r="E932" s="745"/>
      <c r="F932" s="745"/>
      <c r="G932" s="745"/>
      <c r="H932" s="3"/>
      <c r="J932" s="4"/>
      <c r="K932" s="4"/>
      <c r="L932" s="4"/>
      <c r="M932" s="4"/>
      <c r="N932" s="4"/>
      <c r="O932" s="4"/>
    </row>
    <row r="933" spans="1:15" s="5" customFormat="1" x14ac:dyDescent="0.35">
      <c r="A933" s="194"/>
      <c r="B933" s="3"/>
      <c r="C933" s="3"/>
      <c r="D933" s="9"/>
      <c r="E933" s="745"/>
      <c r="F933" s="745"/>
      <c r="G933" s="745"/>
      <c r="H933" s="3"/>
      <c r="J933" s="4"/>
      <c r="K933" s="4"/>
      <c r="L933" s="4"/>
      <c r="M933" s="4"/>
      <c r="N933" s="4"/>
      <c r="O933" s="4"/>
    </row>
    <row r="934" spans="1:15" s="5" customFormat="1" x14ac:dyDescent="0.35">
      <c r="A934" s="194"/>
      <c r="B934" s="3"/>
      <c r="C934" s="3"/>
      <c r="D934" s="9"/>
      <c r="E934" s="745"/>
      <c r="F934" s="745"/>
      <c r="G934" s="745"/>
      <c r="H934" s="3"/>
      <c r="J934" s="4"/>
      <c r="K934" s="4"/>
      <c r="L934" s="4"/>
      <c r="M934" s="4"/>
      <c r="N934" s="4"/>
      <c r="O934" s="4"/>
    </row>
    <row r="935" spans="1:15" s="5" customFormat="1" x14ac:dyDescent="0.35">
      <c r="A935" s="194"/>
      <c r="B935" s="3"/>
      <c r="C935" s="3"/>
      <c r="D935" s="9"/>
      <c r="E935" s="745"/>
      <c r="F935" s="745"/>
      <c r="G935" s="745"/>
      <c r="H935" s="3"/>
      <c r="J935" s="4"/>
      <c r="K935" s="4"/>
      <c r="L935" s="4"/>
      <c r="M935" s="4"/>
      <c r="N935" s="4"/>
      <c r="O935" s="4"/>
    </row>
    <row r="936" spans="1:15" s="5" customFormat="1" x14ac:dyDescent="0.35">
      <c r="A936" s="194"/>
      <c r="B936" s="3"/>
      <c r="C936" s="3"/>
      <c r="D936" s="9"/>
      <c r="E936" s="745"/>
      <c r="F936" s="745"/>
      <c r="G936" s="745"/>
      <c r="H936" s="3"/>
      <c r="J936" s="4"/>
      <c r="K936" s="4"/>
      <c r="L936" s="4"/>
      <c r="M936" s="4"/>
      <c r="N936" s="4"/>
      <c r="O936" s="4"/>
    </row>
    <row r="937" spans="1:15" s="5" customFormat="1" x14ac:dyDescent="0.35">
      <c r="A937" s="194"/>
      <c r="B937" s="3"/>
      <c r="C937" s="3"/>
      <c r="D937" s="9"/>
      <c r="E937" s="745"/>
      <c r="F937" s="745"/>
      <c r="G937" s="745"/>
      <c r="H937" s="3"/>
      <c r="J937" s="4"/>
      <c r="K937" s="4"/>
      <c r="L937" s="4"/>
      <c r="M937" s="4"/>
      <c r="N937" s="4"/>
      <c r="O937" s="4"/>
    </row>
    <row r="938" spans="1:15" s="5" customFormat="1" x14ac:dyDescent="0.35">
      <c r="A938" s="194"/>
      <c r="B938" s="3"/>
      <c r="C938" s="3"/>
      <c r="D938" s="9"/>
      <c r="E938" s="745"/>
      <c r="F938" s="745"/>
      <c r="G938" s="745"/>
      <c r="H938" s="3"/>
      <c r="J938" s="4"/>
      <c r="K938" s="4"/>
      <c r="L938" s="4"/>
      <c r="M938" s="4"/>
      <c r="N938" s="4"/>
      <c r="O938" s="4"/>
    </row>
    <row r="939" spans="1:15" s="5" customFormat="1" x14ac:dyDescent="0.35">
      <c r="A939" s="194"/>
      <c r="B939" s="3"/>
      <c r="C939" s="3"/>
      <c r="D939" s="9"/>
      <c r="E939" s="745"/>
      <c r="F939" s="745"/>
      <c r="G939" s="745"/>
      <c r="H939" s="3"/>
      <c r="J939" s="4"/>
      <c r="K939" s="4"/>
      <c r="L939" s="4"/>
      <c r="M939" s="4"/>
      <c r="N939" s="4"/>
      <c r="O939" s="4"/>
    </row>
    <row r="940" spans="1:15" s="5" customFormat="1" x14ac:dyDescent="0.35">
      <c r="A940" s="194"/>
      <c r="B940" s="3"/>
      <c r="C940" s="3"/>
      <c r="D940" s="9"/>
      <c r="E940" s="745"/>
      <c r="F940" s="745"/>
      <c r="G940" s="745"/>
      <c r="H940" s="3"/>
      <c r="J940" s="4"/>
      <c r="K940" s="4"/>
      <c r="L940" s="4"/>
      <c r="M940" s="4"/>
      <c r="N940" s="4"/>
      <c r="O940" s="4"/>
    </row>
    <row r="941" spans="1:15" s="5" customFormat="1" x14ac:dyDescent="0.35">
      <c r="A941" s="194"/>
      <c r="B941" s="3"/>
      <c r="C941" s="3"/>
      <c r="D941" s="9"/>
      <c r="E941" s="745"/>
      <c r="F941" s="745"/>
      <c r="G941" s="745"/>
      <c r="H941" s="3"/>
      <c r="J941" s="4"/>
      <c r="K941" s="4"/>
      <c r="L941" s="4"/>
      <c r="M941" s="4"/>
      <c r="N941" s="4"/>
      <c r="O941" s="4"/>
    </row>
    <row r="942" spans="1:15" s="5" customFormat="1" x14ac:dyDescent="0.35">
      <c r="A942" s="194"/>
      <c r="B942" s="3"/>
      <c r="C942" s="3"/>
      <c r="D942" s="9"/>
      <c r="E942" s="745"/>
      <c r="F942" s="745"/>
      <c r="G942" s="745"/>
      <c r="H942" s="3"/>
      <c r="J942" s="4"/>
      <c r="K942" s="4"/>
      <c r="L942" s="4"/>
      <c r="M942" s="4"/>
      <c r="N942" s="4"/>
      <c r="O942" s="4"/>
    </row>
    <row r="943" spans="1:15" s="5" customFormat="1" x14ac:dyDescent="0.35">
      <c r="A943" s="194"/>
      <c r="B943" s="3"/>
      <c r="C943" s="3"/>
      <c r="D943" s="9"/>
      <c r="E943" s="745"/>
      <c r="F943" s="745"/>
      <c r="G943" s="745"/>
      <c r="H943" s="3"/>
      <c r="J943" s="4"/>
      <c r="K943" s="4"/>
      <c r="L943" s="4"/>
      <c r="M943" s="4"/>
      <c r="N943" s="4"/>
      <c r="O943" s="4"/>
    </row>
    <row r="944" spans="1:15" s="5" customFormat="1" x14ac:dyDescent="0.35">
      <c r="A944" s="194"/>
      <c r="B944" s="3"/>
      <c r="C944" s="3"/>
      <c r="D944" s="9"/>
      <c r="E944" s="745"/>
      <c r="F944" s="745"/>
      <c r="G944" s="745"/>
      <c r="H944" s="3"/>
      <c r="J944" s="4"/>
      <c r="K944" s="4"/>
      <c r="L944" s="4"/>
      <c r="M944" s="4"/>
      <c r="N944" s="4"/>
      <c r="O944" s="4"/>
    </row>
    <row r="945" spans="1:15" s="5" customFormat="1" x14ac:dyDescent="0.35">
      <c r="A945" s="194"/>
      <c r="B945" s="3"/>
      <c r="C945" s="3"/>
      <c r="D945" s="9"/>
      <c r="E945" s="745"/>
      <c r="F945" s="745"/>
      <c r="G945" s="745"/>
      <c r="H945" s="3"/>
      <c r="J945" s="4"/>
      <c r="K945" s="4"/>
      <c r="L945" s="4"/>
      <c r="M945" s="4"/>
      <c r="N945" s="4"/>
      <c r="O945" s="4"/>
    </row>
    <row r="946" spans="1:15" s="5" customFormat="1" x14ac:dyDescent="0.35">
      <c r="A946" s="194"/>
      <c r="B946" s="3"/>
      <c r="C946" s="3"/>
      <c r="D946" s="9"/>
      <c r="E946" s="745"/>
      <c r="F946" s="745"/>
      <c r="G946" s="745"/>
      <c r="H946" s="3"/>
      <c r="J946" s="4"/>
      <c r="K946" s="4"/>
      <c r="L946" s="4"/>
      <c r="M946" s="4"/>
      <c r="N946" s="4"/>
      <c r="O946" s="4"/>
    </row>
    <row r="947" spans="1:15" s="5" customFormat="1" x14ac:dyDescent="0.35">
      <c r="A947" s="194"/>
      <c r="B947" s="3"/>
      <c r="C947" s="3"/>
      <c r="D947" s="9"/>
      <c r="E947" s="745"/>
      <c r="F947" s="745"/>
      <c r="G947" s="745"/>
      <c r="H947" s="3"/>
      <c r="J947" s="4"/>
      <c r="K947" s="4"/>
      <c r="L947" s="4"/>
      <c r="M947" s="4"/>
      <c r="N947" s="4"/>
      <c r="O947" s="4"/>
    </row>
    <row r="948" spans="1:15" s="5" customFormat="1" x14ac:dyDescent="0.35">
      <c r="A948" s="194"/>
      <c r="B948" s="3"/>
      <c r="C948" s="3"/>
      <c r="D948" s="9"/>
      <c r="E948" s="745"/>
      <c r="F948" s="745"/>
      <c r="G948" s="745"/>
      <c r="H948" s="3"/>
      <c r="J948" s="4"/>
      <c r="K948" s="4"/>
      <c r="L948" s="4"/>
      <c r="M948" s="4"/>
      <c r="N948" s="4"/>
      <c r="O948" s="4"/>
    </row>
    <row r="949" spans="1:15" s="5" customFormat="1" x14ac:dyDescent="0.35">
      <c r="A949" s="194"/>
      <c r="B949" s="3"/>
      <c r="C949" s="3"/>
      <c r="D949" s="9"/>
      <c r="E949" s="745"/>
      <c r="F949" s="745"/>
      <c r="G949" s="745"/>
      <c r="H949" s="3"/>
      <c r="J949" s="4"/>
      <c r="K949" s="4"/>
      <c r="L949" s="4"/>
      <c r="M949" s="4"/>
      <c r="N949" s="4"/>
      <c r="O949" s="4"/>
    </row>
    <row r="950" spans="1:15" s="5" customFormat="1" x14ac:dyDescent="0.35">
      <c r="A950" s="194"/>
      <c r="B950" s="3"/>
      <c r="C950" s="3"/>
      <c r="D950" s="9"/>
      <c r="E950" s="745"/>
      <c r="F950" s="745"/>
      <c r="G950" s="745"/>
      <c r="H950" s="3"/>
      <c r="J950" s="4"/>
      <c r="K950" s="4"/>
      <c r="L950" s="4"/>
      <c r="M950" s="4"/>
      <c r="N950" s="4"/>
      <c r="O950" s="4"/>
    </row>
    <row r="951" spans="1:15" s="5" customFormat="1" x14ac:dyDescent="0.35">
      <c r="A951" s="194"/>
      <c r="B951" s="3"/>
      <c r="C951" s="3"/>
      <c r="D951" s="9"/>
      <c r="E951" s="745"/>
      <c r="F951" s="745"/>
      <c r="G951" s="745"/>
      <c r="H951" s="3"/>
      <c r="J951" s="4"/>
      <c r="K951" s="4"/>
      <c r="L951" s="4"/>
      <c r="M951" s="4"/>
      <c r="N951" s="4"/>
      <c r="O951" s="4"/>
    </row>
    <row r="952" spans="1:15" s="5" customFormat="1" x14ac:dyDescent="0.35">
      <c r="A952" s="194"/>
      <c r="B952" s="3"/>
      <c r="C952" s="3"/>
      <c r="D952" s="9"/>
      <c r="E952" s="745"/>
      <c r="F952" s="745"/>
      <c r="G952" s="745"/>
      <c r="H952" s="3"/>
      <c r="J952" s="4"/>
      <c r="K952" s="4"/>
      <c r="L952" s="4"/>
      <c r="M952" s="4"/>
      <c r="N952" s="4"/>
      <c r="O952" s="4"/>
    </row>
    <row r="953" spans="1:15" s="5" customFormat="1" x14ac:dyDescent="0.35">
      <c r="A953" s="194"/>
      <c r="B953" s="3"/>
      <c r="C953" s="3"/>
      <c r="D953" s="9"/>
      <c r="E953" s="745"/>
      <c r="F953" s="745"/>
      <c r="G953" s="745"/>
      <c r="H953" s="3"/>
      <c r="J953" s="4"/>
      <c r="K953" s="4"/>
      <c r="L953" s="4"/>
      <c r="M953" s="4"/>
      <c r="N953" s="4"/>
      <c r="O953" s="4"/>
    </row>
    <row r="954" spans="1:15" s="5" customFormat="1" x14ac:dyDescent="0.35">
      <c r="A954" s="194"/>
      <c r="B954" s="3"/>
      <c r="C954" s="3"/>
      <c r="D954" s="9"/>
      <c r="E954" s="745"/>
      <c r="F954" s="745"/>
      <c r="G954" s="745"/>
      <c r="H954" s="3"/>
      <c r="J954" s="4"/>
      <c r="K954" s="4"/>
      <c r="L954" s="4"/>
      <c r="M954" s="4"/>
      <c r="N954" s="4"/>
      <c r="O954" s="4"/>
    </row>
    <row r="955" spans="1:15" s="5" customFormat="1" x14ac:dyDescent="0.35">
      <c r="A955" s="194"/>
      <c r="B955" s="3"/>
      <c r="C955" s="3"/>
      <c r="D955" s="9"/>
      <c r="E955" s="745"/>
      <c r="F955" s="745"/>
      <c r="G955" s="745"/>
      <c r="H955" s="3"/>
      <c r="J955" s="4"/>
      <c r="K955" s="4"/>
      <c r="L955" s="4"/>
      <c r="M955" s="4"/>
      <c r="N955" s="4"/>
      <c r="O955" s="4"/>
    </row>
    <row r="956" spans="1:15" s="5" customFormat="1" x14ac:dyDescent="0.35">
      <c r="A956" s="194"/>
      <c r="B956" s="3"/>
      <c r="C956" s="3"/>
      <c r="D956" s="9"/>
      <c r="E956" s="745"/>
      <c r="F956" s="745"/>
      <c r="G956" s="745"/>
      <c r="H956" s="3"/>
      <c r="J956" s="4"/>
      <c r="K956" s="4"/>
      <c r="L956" s="4"/>
      <c r="M956" s="4"/>
      <c r="N956" s="4"/>
      <c r="O956" s="4"/>
    </row>
    <row r="957" spans="1:15" s="5" customFormat="1" x14ac:dyDescent="0.35">
      <c r="A957" s="194"/>
      <c r="B957" s="3"/>
      <c r="C957" s="3"/>
      <c r="D957" s="9"/>
      <c r="E957" s="745"/>
      <c r="F957" s="745"/>
      <c r="G957" s="745"/>
      <c r="H957" s="3"/>
      <c r="J957" s="4"/>
      <c r="K957" s="4"/>
      <c r="L957" s="4"/>
      <c r="M957" s="4"/>
      <c r="N957" s="4"/>
      <c r="O957" s="4"/>
    </row>
    <row r="958" spans="1:15" s="5" customFormat="1" x14ac:dyDescent="0.35">
      <c r="A958" s="194"/>
      <c r="B958" s="3"/>
      <c r="C958" s="3"/>
      <c r="D958" s="9"/>
      <c r="E958" s="745"/>
      <c r="F958" s="745"/>
      <c r="G958" s="745"/>
      <c r="H958" s="3"/>
      <c r="J958" s="4"/>
      <c r="K958" s="4"/>
      <c r="L958" s="4"/>
      <c r="M958" s="4"/>
      <c r="N958" s="4"/>
      <c r="O958" s="4"/>
    </row>
    <row r="959" spans="1:15" s="5" customFormat="1" x14ac:dyDescent="0.35">
      <c r="A959" s="194"/>
      <c r="B959" s="3"/>
      <c r="C959" s="3"/>
      <c r="D959" s="9"/>
      <c r="E959" s="745"/>
      <c r="F959" s="745"/>
      <c r="G959" s="745"/>
      <c r="H959" s="3"/>
      <c r="J959" s="4"/>
      <c r="K959" s="4"/>
      <c r="L959" s="4"/>
      <c r="M959" s="4"/>
      <c r="N959" s="4"/>
      <c r="O959" s="4"/>
    </row>
    <row r="960" spans="1:15" s="5" customFormat="1" x14ac:dyDescent="0.35">
      <c r="A960" s="194"/>
      <c r="B960" s="3"/>
      <c r="C960" s="3"/>
      <c r="D960" s="9"/>
      <c r="E960" s="745"/>
      <c r="F960" s="745"/>
      <c r="G960" s="745"/>
      <c r="H960" s="3"/>
      <c r="J960" s="4"/>
      <c r="K960" s="4"/>
      <c r="L960" s="4"/>
      <c r="M960" s="4"/>
      <c r="N960" s="4"/>
      <c r="O960" s="4"/>
    </row>
    <row r="961" spans="1:15" s="5" customFormat="1" x14ac:dyDescent="0.35">
      <c r="A961" s="194"/>
      <c r="B961" s="3"/>
      <c r="C961" s="3"/>
      <c r="D961" s="9"/>
      <c r="E961" s="745"/>
      <c r="F961" s="745"/>
      <c r="G961" s="745"/>
      <c r="H961" s="3"/>
      <c r="J961" s="4"/>
      <c r="K961" s="4"/>
      <c r="L961" s="4"/>
      <c r="M961" s="4"/>
      <c r="N961" s="4"/>
      <c r="O961" s="4"/>
    </row>
    <row r="962" spans="1:15" s="5" customFormat="1" x14ac:dyDescent="0.35">
      <c r="A962" s="194"/>
      <c r="B962" s="3"/>
      <c r="C962" s="3"/>
      <c r="D962" s="9"/>
      <c r="E962" s="745"/>
      <c r="F962" s="745"/>
      <c r="G962" s="745"/>
      <c r="H962" s="3"/>
      <c r="J962" s="4"/>
      <c r="K962" s="4"/>
      <c r="L962" s="4"/>
      <c r="M962" s="4"/>
      <c r="N962" s="4"/>
      <c r="O962" s="4"/>
    </row>
  </sheetData>
  <mergeCells count="18">
    <mergeCell ref="B1:D1"/>
    <mergeCell ref="G1:I1"/>
    <mergeCell ref="B2:N2"/>
    <mergeCell ref="B3:N3"/>
    <mergeCell ref="M4:N4"/>
    <mergeCell ref="B842:D842"/>
    <mergeCell ref="I6:I7"/>
    <mergeCell ref="J6:N6"/>
    <mergeCell ref="E6:E7"/>
    <mergeCell ref="B6:B7"/>
    <mergeCell ref="C6:C7"/>
    <mergeCell ref="G6:G7"/>
    <mergeCell ref="D6:D7"/>
    <mergeCell ref="F6:F7"/>
    <mergeCell ref="H6:H7"/>
    <mergeCell ref="B840:D840"/>
    <mergeCell ref="D169:E169"/>
    <mergeCell ref="D828:G828"/>
  </mergeCells>
  <printOptions horizontalCentered="1"/>
  <pageMargins left="0.19685039370078741" right="0.19685039370078741" top="0.59055118110236227" bottom="0.59055118110236227" header="0.51181102362204722" footer="0.51181102362204722"/>
  <pageSetup paperSize="9" scale="66" fitToHeight="0" orientation="landscape" r:id="rId1"/>
  <headerFooter alignWithMargins="0">
    <oddFooter>&amp;C- &amp;P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IQ470"/>
  <sheetViews>
    <sheetView view="pageBreakPreview" zoomScaleNormal="100" zoomScaleSheetLayoutView="100" workbookViewId="0">
      <pane ySplit="8" topLeftCell="A454" activePane="bottomLeft" state="frozen"/>
      <selection activeCell="N9" sqref="N9"/>
      <selection pane="bottomLeft" activeCell="Q464" sqref="Q464"/>
    </sheetView>
  </sheetViews>
  <sheetFormatPr defaultColWidth="9.28515625" defaultRowHeight="15" x14ac:dyDescent="0.3"/>
  <cols>
    <col min="1" max="1" width="3.7109375" style="813" customWidth="1"/>
    <col min="2" max="2" width="5.7109375" style="814" customWidth="1"/>
    <col min="3" max="3" width="5.7109375" style="209" customWidth="1"/>
    <col min="4" max="4" width="59.7109375" style="815" customWidth="1"/>
    <col min="5" max="7" width="10.7109375" style="206" customWidth="1"/>
    <col min="8" max="8" width="6.7109375" style="816" customWidth="1"/>
    <col min="9" max="11" width="14.7109375" style="206" customWidth="1"/>
    <col min="12" max="12" width="15.7109375" style="206" customWidth="1"/>
    <col min="13" max="13" width="13.7109375" style="841" customWidth="1"/>
    <col min="14" max="16384" width="9.28515625" style="207"/>
  </cols>
  <sheetData>
    <row r="1" spans="1:251" s="142" customFormat="1" ht="18" customHeight="1" x14ac:dyDescent="0.3">
      <c r="A1" s="811"/>
      <c r="B1" s="1931" t="s">
        <v>1014</v>
      </c>
      <c r="C1" s="1931"/>
      <c r="D1" s="1931"/>
      <c r="E1" s="200"/>
      <c r="F1" s="200"/>
      <c r="G1" s="200"/>
      <c r="H1" s="812"/>
      <c r="I1" s="1932"/>
      <c r="J1" s="1932"/>
      <c r="K1" s="1932"/>
      <c r="L1" s="1932"/>
      <c r="M1" s="1932"/>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1"/>
      <c r="BG1" s="201"/>
      <c r="BH1" s="201"/>
      <c r="BI1" s="201"/>
      <c r="BJ1" s="201"/>
      <c r="BK1" s="201"/>
      <c r="BL1" s="201"/>
      <c r="BM1" s="201"/>
      <c r="BN1" s="201"/>
      <c r="BO1" s="201"/>
      <c r="BP1" s="201"/>
      <c r="BQ1" s="201"/>
      <c r="BR1" s="201"/>
      <c r="BS1" s="201"/>
      <c r="BT1" s="201"/>
      <c r="BU1" s="201"/>
      <c r="BV1" s="201"/>
      <c r="BW1" s="201"/>
      <c r="BX1" s="201"/>
      <c r="BY1" s="201"/>
      <c r="BZ1" s="201"/>
      <c r="CA1" s="201"/>
      <c r="CB1" s="201"/>
      <c r="CC1" s="201"/>
      <c r="CD1" s="201"/>
      <c r="CE1" s="201"/>
      <c r="CF1" s="201"/>
      <c r="CG1" s="201"/>
      <c r="CH1" s="201"/>
      <c r="CI1" s="201"/>
      <c r="CJ1" s="201"/>
      <c r="CK1" s="201"/>
      <c r="CL1" s="201"/>
      <c r="CM1" s="201"/>
      <c r="CN1" s="201"/>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c r="FN1" s="201"/>
      <c r="FO1" s="201"/>
      <c r="FP1" s="201"/>
      <c r="FQ1" s="201"/>
      <c r="FR1" s="201"/>
      <c r="FS1" s="201"/>
      <c r="FT1" s="201"/>
      <c r="FU1" s="201"/>
      <c r="FV1" s="201"/>
      <c r="FW1" s="201"/>
      <c r="FX1" s="201"/>
      <c r="FY1" s="201"/>
      <c r="FZ1" s="201"/>
      <c r="GA1" s="201"/>
      <c r="GB1" s="201"/>
      <c r="GC1" s="201"/>
      <c r="GD1" s="201"/>
      <c r="GE1" s="201"/>
      <c r="GF1" s="201"/>
      <c r="GG1" s="201"/>
      <c r="GH1" s="201"/>
      <c r="GI1" s="201"/>
      <c r="GJ1" s="201"/>
      <c r="GK1" s="201"/>
      <c r="GL1" s="201"/>
      <c r="GM1" s="201"/>
      <c r="GN1" s="201"/>
      <c r="GO1" s="201"/>
      <c r="GP1" s="201"/>
      <c r="GQ1" s="201"/>
      <c r="GR1" s="201"/>
      <c r="GS1" s="201"/>
      <c r="GT1" s="201"/>
      <c r="GU1" s="201"/>
      <c r="GV1" s="201"/>
      <c r="GW1" s="201"/>
      <c r="GX1" s="201"/>
      <c r="GY1" s="201"/>
      <c r="GZ1" s="201"/>
      <c r="HA1" s="201"/>
      <c r="HB1" s="201"/>
      <c r="HC1" s="201"/>
      <c r="HD1" s="201"/>
      <c r="HE1" s="201"/>
      <c r="HF1" s="201"/>
      <c r="HG1" s="201"/>
      <c r="HH1" s="201"/>
      <c r="HI1" s="201"/>
      <c r="HJ1" s="201"/>
      <c r="HK1" s="201"/>
      <c r="HL1" s="201"/>
      <c r="HM1" s="201"/>
      <c r="HN1" s="201"/>
      <c r="HO1" s="201"/>
      <c r="HP1" s="201"/>
      <c r="HQ1" s="201"/>
      <c r="HR1" s="201"/>
      <c r="HS1" s="201"/>
      <c r="HT1" s="201"/>
      <c r="HU1" s="201"/>
      <c r="HV1" s="201"/>
      <c r="HW1" s="201"/>
      <c r="HX1" s="201"/>
      <c r="HY1" s="201"/>
      <c r="HZ1" s="201"/>
      <c r="IA1" s="201"/>
      <c r="IB1" s="201"/>
      <c r="IC1" s="201"/>
      <c r="ID1" s="201"/>
      <c r="IE1" s="201"/>
      <c r="IF1" s="201"/>
      <c r="IG1" s="201"/>
      <c r="IH1" s="201"/>
      <c r="II1" s="201"/>
      <c r="IJ1" s="201"/>
      <c r="IK1" s="201"/>
      <c r="IL1" s="201"/>
      <c r="IM1" s="201"/>
      <c r="IN1" s="201"/>
      <c r="IO1" s="201"/>
      <c r="IP1" s="201"/>
      <c r="IQ1" s="201"/>
    </row>
    <row r="2" spans="1:251" s="142" customFormat="1" ht="18" customHeight="1" x14ac:dyDescent="0.35">
      <c r="A2" s="813"/>
      <c r="B2" s="1933" t="s">
        <v>14</v>
      </c>
      <c r="C2" s="1933"/>
      <c r="D2" s="1933"/>
      <c r="E2" s="1933"/>
      <c r="F2" s="1933"/>
      <c r="G2" s="1933"/>
      <c r="H2" s="1933"/>
      <c r="I2" s="1933"/>
      <c r="J2" s="1933"/>
      <c r="K2" s="1933"/>
      <c r="L2" s="1933"/>
      <c r="M2" s="1933"/>
    </row>
    <row r="3" spans="1:251" s="142" customFormat="1" ht="18" customHeight="1" x14ac:dyDescent="0.3">
      <c r="A3" s="813"/>
      <c r="B3" s="1934" t="s">
        <v>1015</v>
      </c>
      <c r="C3" s="1934"/>
      <c r="D3" s="1934"/>
      <c r="E3" s="1934"/>
      <c r="F3" s="1934"/>
      <c r="G3" s="1934"/>
      <c r="H3" s="1934"/>
      <c r="I3" s="1934"/>
      <c r="J3" s="1934"/>
      <c r="K3" s="1934"/>
      <c r="L3" s="1934"/>
      <c r="M3" s="1934"/>
    </row>
    <row r="4" spans="1:251" ht="18" customHeight="1" x14ac:dyDescent="0.3">
      <c r="M4" s="208" t="s">
        <v>0</v>
      </c>
    </row>
    <row r="5" spans="1:251" s="51" customFormat="1" ht="18" customHeight="1" thickBot="1" x14ac:dyDescent="0.35">
      <c r="A5" s="813"/>
      <c r="B5" s="817" t="s">
        <v>1</v>
      </c>
      <c r="C5" s="251" t="s">
        <v>3</v>
      </c>
      <c r="D5" s="818" t="s">
        <v>2</v>
      </c>
      <c r="E5" s="818" t="s">
        <v>4</v>
      </c>
      <c r="F5" s="818" t="s">
        <v>5</v>
      </c>
      <c r="G5" s="818" t="s">
        <v>15</v>
      </c>
      <c r="H5" s="818" t="s">
        <v>16</v>
      </c>
      <c r="I5" s="818" t="s">
        <v>17</v>
      </c>
      <c r="J5" s="818" t="s">
        <v>32</v>
      </c>
      <c r="K5" s="818" t="s">
        <v>28</v>
      </c>
      <c r="L5" s="818" t="s">
        <v>23</v>
      </c>
      <c r="M5" s="818" t="s">
        <v>33</v>
      </c>
      <c r="N5" s="813"/>
      <c r="O5" s="813"/>
      <c r="P5" s="813"/>
      <c r="Q5" s="813"/>
      <c r="R5" s="813"/>
      <c r="S5" s="813"/>
      <c r="T5" s="813"/>
      <c r="U5" s="813"/>
      <c r="V5" s="813"/>
      <c r="W5" s="813"/>
      <c r="X5" s="813"/>
      <c r="Y5" s="813"/>
      <c r="Z5" s="813"/>
      <c r="AA5" s="813"/>
      <c r="AB5" s="813"/>
      <c r="AC5" s="813"/>
      <c r="AD5" s="813"/>
      <c r="AE5" s="813"/>
      <c r="AF5" s="813"/>
      <c r="AG5" s="813"/>
      <c r="AH5" s="813"/>
      <c r="AI5" s="813"/>
      <c r="AJ5" s="813"/>
      <c r="AK5" s="813"/>
      <c r="AL5" s="813"/>
      <c r="AM5" s="813"/>
      <c r="AN5" s="813"/>
      <c r="AO5" s="813"/>
      <c r="AP5" s="813"/>
      <c r="AQ5" s="813"/>
      <c r="AR5" s="813"/>
      <c r="AS5" s="813"/>
      <c r="AT5" s="813"/>
      <c r="AU5" s="813"/>
      <c r="AV5" s="813"/>
      <c r="AW5" s="813"/>
      <c r="AX5" s="813"/>
      <c r="AY5" s="813"/>
      <c r="AZ5" s="813"/>
      <c r="BA5" s="813"/>
      <c r="BB5" s="813"/>
      <c r="BC5" s="813"/>
      <c r="BD5" s="813"/>
      <c r="BE5" s="813"/>
      <c r="BF5" s="813"/>
      <c r="BG5" s="813"/>
      <c r="BH5" s="813"/>
      <c r="BI5" s="813"/>
      <c r="BJ5" s="813"/>
      <c r="BK5" s="813"/>
      <c r="BL5" s="813"/>
      <c r="BM5" s="813"/>
      <c r="BN5" s="813"/>
      <c r="BO5" s="813"/>
      <c r="BP5" s="813"/>
      <c r="BQ5" s="813"/>
      <c r="BR5" s="813"/>
      <c r="BS5" s="813"/>
      <c r="BT5" s="813"/>
      <c r="BU5" s="813"/>
      <c r="BV5" s="813"/>
      <c r="BW5" s="813"/>
      <c r="BX5" s="813"/>
      <c r="BY5" s="813"/>
      <c r="BZ5" s="813"/>
      <c r="CA5" s="813"/>
      <c r="CB5" s="813"/>
      <c r="CC5" s="813"/>
      <c r="CD5" s="813"/>
      <c r="CE5" s="813"/>
      <c r="CF5" s="813"/>
      <c r="CG5" s="813"/>
      <c r="CH5" s="813"/>
      <c r="CI5" s="813"/>
      <c r="CJ5" s="813"/>
      <c r="CK5" s="813"/>
      <c r="CL5" s="813"/>
      <c r="CM5" s="813"/>
      <c r="CN5" s="813"/>
      <c r="CO5" s="813"/>
      <c r="CP5" s="813"/>
      <c r="CQ5" s="813"/>
      <c r="CR5" s="813"/>
      <c r="CS5" s="813"/>
      <c r="CT5" s="813"/>
      <c r="CU5" s="813"/>
      <c r="CV5" s="813"/>
      <c r="CW5" s="813"/>
      <c r="CX5" s="813"/>
      <c r="CY5" s="813"/>
      <c r="CZ5" s="813"/>
      <c r="DA5" s="813"/>
      <c r="DB5" s="813"/>
      <c r="DC5" s="813"/>
      <c r="DD5" s="813"/>
      <c r="DE5" s="813"/>
      <c r="DF5" s="813"/>
      <c r="DG5" s="813"/>
      <c r="DH5" s="813"/>
      <c r="DI5" s="813"/>
      <c r="DJ5" s="813"/>
      <c r="DK5" s="813"/>
      <c r="DL5" s="813"/>
      <c r="DM5" s="813"/>
      <c r="DN5" s="813"/>
      <c r="DO5" s="813"/>
      <c r="DP5" s="813"/>
      <c r="DQ5" s="813"/>
      <c r="DR5" s="813"/>
      <c r="DS5" s="813"/>
      <c r="DT5" s="813"/>
      <c r="DU5" s="813"/>
      <c r="DV5" s="813"/>
      <c r="DW5" s="813"/>
      <c r="DX5" s="813"/>
      <c r="DY5" s="813"/>
      <c r="DZ5" s="813"/>
      <c r="EA5" s="813"/>
      <c r="EB5" s="813"/>
      <c r="EC5" s="813"/>
      <c r="ED5" s="813"/>
      <c r="EE5" s="813"/>
      <c r="EF5" s="813"/>
      <c r="EG5" s="813"/>
      <c r="EH5" s="813"/>
      <c r="EI5" s="813"/>
      <c r="EJ5" s="813"/>
      <c r="EK5" s="813"/>
      <c r="EL5" s="813"/>
      <c r="EM5" s="813"/>
      <c r="EN5" s="813"/>
      <c r="EO5" s="813"/>
      <c r="EP5" s="813"/>
      <c r="EQ5" s="813"/>
      <c r="ER5" s="813"/>
      <c r="ES5" s="813"/>
      <c r="ET5" s="813"/>
      <c r="EU5" s="813"/>
      <c r="EV5" s="813"/>
      <c r="EW5" s="813"/>
      <c r="EX5" s="813"/>
      <c r="EY5" s="813"/>
      <c r="EZ5" s="813"/>
      <c r="FA5" s="813"/>
      <c r="FB5" s="813"/>
      <c r="FC5" s="813"/>
      <c r="FD5" s="813"/>
      <c r="FE5" s="813"/>
      <c r="FF5" s="813"/>
      <c r="FG5" s="813"/>
      <c r="FH5" s="813"/>
      <c r="FI5" s="813"/>
      <c r="FJ5" s="813"/>
      <c r="FK5" s="813"/>
      <c r="FL5" s="813"/>
      <c r="FM5" s="813"/>
      <c r="FN5" s="813"/>
      <c r="FO5" s="813"/>
      <c r="FP5" s="813"/>
      <c r="FQ5" s="813"/>
      <c r="FR5" s="813"/>
      <c r="FS5" s="813"/>
      <c r="FT5" s="813"/>
      <c r="FU5" s="813"/>
      <c r="FV5" s="813"/>
      <c r="FW5" s="813"/>
      <c r="FX5" s="813"/>
      <c r="FY5" s="813"/>
      <c r="FZ5" s="813"/>
      <c r="GA5" s="813"/>
      <c r="GB5" s="813"/>
      <c r="GC5" s="813"/>
      <c r="GD5" s="813"/>
      <c r="GE5" s="813"/>
      <c r="GF5" s="813"/>
      <c r="GG5" s="813"/>
      <c r="GH5" s="813"/>
      <c r="GI5" s="813"/>
      <c r="GJ5" s="813"/>
      <c r="GK5" s="813"/>
      <c r="GL5" s="813"/>
      <c r="GM5" s="813"/>
      <c r="GN5" s="813"/>
      <c r="GO5" s="813"/>
      <c r="GP5" s="813"/>
      <c r="GQ5" s="813"/>
      <c r="GR5" s="813"/>
      <c r="GS5" s="813"/>
      <c r="GT5" s="813"/>
      <c r="GU5" s="813"/>
      <c r="GV5" s="813"/>
      <c r="GW5" s="813"/>
      <c r="GX5" s="813"/>
      <c r="GY5" s="813"/>
      <c r="GZ5" s="813"/>
      <c r="HA5" s="813"/>
      <c r="HB5" s="813"/>
      <c r="HC5" s="813"/>
      <c r="HD5" s="813"/>
      <c r="HE5" s="813"/>
      <c r="HF5" s="813"/>
      <c r="HG5" s="813"/>
      <c r="HH5" s="813"/>
      <c r="HI5" s="813"/>
      <c r="HJ5" s="813"/>
      <c r="HK5" s="813"/>
      <c r="HL5" s="813"/>
      <c r="HM5" s="813"/>
      <c r="HN5" s="813"/>
      <c r="HO5" s="813"/>
      <c r="HP5" s="813"/>
      <c r="HQ5" s="813"/>
      <c r="HR5" s="813"/>
      <c r="HS5" s="813"/>
      <c r="HT5" s="813"/>
      <c r="HU5" s="813"/>
      <c r="HV5" s="813"/>
      <c r="HW5" s="813"/>
      <c r="HX5" s="813"/>
      <c r="HY5" s="813"/>
      <c r="HZ5" s="813"/>
      <c r="IA5" s="813"/>
      <c r="IB5" s="813"/>
      <c r="IC5" s="813"/>
      <c r="ID5" s="813"/>
      <c r="IE5" s="813"/>
      <c r="IF5" s="813"/>
      <c r="IG5" s="813"/>
      <c r="IH5" s="813"/>
      <c r="II5" s="813"/>
      <c r="IJ5" s="813"/>
      <c r="IK5" s="813"/>
      <c r="IL5" s="813"/>
      <c r="IM5" s="813"/>
      <c r="IN5" s="813"/>
      <c r="IO5" s="813"/>
      <c r="IP5" s="813"/>
      <c r="IQ5" s="813"/>
    </row>
    <row r="6" spans="1:251" ht="30" customHeight="1" x14ac:dyDescent="0.3">
      <c r="B6" s="1947" t="s">
        <v>18</v>
      </c>
      <c r="C6" s="1950" t="s">
        <v>19</v>
      </c>
      <c r="D6" s="1953" t="s">
        <v>6</v>
      </c>
      <c r="E6" s="1944" t="s">
        <v>21</v>
      </c>
      <c r="F6" s="1944" t="s">
        <v>668</v>
      </c>
      <c r="G6" s="1962" t="s">
        <v>847</v>
      </c>
      <c r="H6" s="1959" t="s">
        <v>245</v>
      </c>
      <c r="I6" s="1938" t="s">
        <v>524</v>
      </c>
      <c r="J6" s="1939"/>
      <c r="K6" s="1939"/>
      <c r="L6" s="1940"/>
      <c r="M6" s="1941" t="s">
        <v>551</v>
      </c>
    </row>
    <row r="7" spans="1:251" ht="45.75" customHeight="1" x14ac:dyDescent="0.3">
      <c r="B7" s="1948"/>
      <c r="C7" s="1951"/>
      <c r="D7" s="1954"/>
      <c r="E7" s="1945"/>
      <c r="F7" s="1945"/>
      <c r="G7" s="1963"/>
      <c r="H7" s="1960"/>
      <c r="I7" s="816" t="s">
        <v>35</v>
      </c>
      <c r="J7" s="1956" t="s">
        <v>129</v>
      </c>
      <c r="K7" s="1956"/>
      <c r="L7" s="1957" t="s">
        <v>102</v>
      </c>
      <c r="M7" s="1942"/>
    </row>
    <row r="8" spans="1:251" ht="53.25" customHeight="1" thickBot="1" x14ac:dyDescent="0.35">
      <c r="B8" s="1949"/>
      <c r="C8" s="1952"/>
      <c r="D8" s="1955"/>
      <c r="E8" s="1946"/>
      <c r="F8" s="1946"/>
      <c r="G8" s="1964"/>
      <c r="H8" s="1961"/>
      <c r="I8" s="819" t="s">
        <v>38</v>
      </c>
      <c r="J8" s="820" t="s">
        <v>193</v>
      </c>
      <c r="K8" s="820" t="s">
        <v>130</v>
      </c>
      <c r="L8" s="1958"/>
      <c r="M8" s="1943"/>
    </row>
    <row r="9" spans="1:251" ht="23.25" customHeight="1" x14ac:dyDescent="0.3">
      <c r="A9" s="821">
        <v>1</v>
      </c>
      <c r="B9" s="822">
        <v>18</v>
      </c>
      <c r="C9" s="246" t="s">
        <v>29</v>
      </c>
      <c r="D9" s="990"/>
      <c r="E9" s="991"/>
      <c r="F9" s="992"/>
      <c r="G9" s="993"/>
      <c r="H9" s="989"/>
      <c r="I9" s="823"/>
      <c r="J9" s="824"/>
      <c r="K9" s="824"/>
      <c r="L9" s="825"/>
      <c r="M9" s="826"/>
    </row>
    <row r="10" spans="1:251" ht="32.25" customHeight="1" x14ac:dyDescent="0.3">
      <c r="A10" s="821">
        <v>2</v>
      </c>
      <c r="B10" s="827"/>
      <c r="C10" s="143">
        <v>1</v>
      </c>
      <c r="D10" s="343" t="s">
        <v>400</v>
      </c>
      <c r="E10" s="1019">
        <f>F10+G10+L12+M11</f>
        <v>44906</v>
      </c>
      <c r="F10" s="1324">
        <f>5652+4318+8001+4020</f>
        <v>21991</v>
      </c>
      <c r="G10" s="1325">
        <v>1207</v>
      </c>
      <c r="H10" s="1326" t="s">
        <v>23</v>
      </c>
      <c r="I10" s="944"/>
      <c r="J10" s="984"/>
      <c r="K10" s="984"/>
      <c r="L10" s="985"/>
      <c r="M10" s="1327"/>
    </row>
    <row r="11" spans="1:251" ht="18" customHeight="1" x14ac:dyDescent="0.35">
      <c r="A11" s="821">
        <v>3</v>
      </c>
      <c r="B11" s="827"/>
      <c r="C11" s="159"/>
      <c r="D11" s="997" t="s">
        <v>252</v>
      </c>
      <c r="E11" s="1331"/>
      <c r="F11" s="1332"/>
      <c r="G11" s="1333"/>
      <c r="H11" s="1334"/>
      <c r="I11" s="1335"/>
      <c r="J11" s="1336">
        <f>10000+11708</f>
        <v>21708</v>
      </c>
      <c r="K11" s="1336"/>
      <c r="L11" s="1337">
        <f t="shared" ref="L11:L60" si="0">SUM(I11:K11)</f>
        <v>21708</v>
      </c>
      <c r="M11" s="1327"/>
    </row>
    <row r="12" spans="1:251" ht="18" customHeight="1" x14ac:dyDescent="0.35">
      <c r="A12" s="821">
        <v>4</v>
      </c>
      <c r="B12" s="827"/>
      <c r="C12" s="159"/>
      <c r="D12" s="996" t="s">
        <v>921</v>
      </c>
      <c r="E12" s="1331"/>
      <c r="F12" s="1332"/>
      <c r="G12" s="1333"/>
      <c r="H12" s="1334"/>
      <c r="I12" s="1009"/>
      <c r="J12" s="986">
        <v>21708</v>
      </c>
      <c r="K12" s="986"/>
      <c r="L12" s="1428">
        <f t="shared" si="0"/>
        <v>21708</v>
      </c>
      <c r="M12" s="1327"/>
    </row>
    <row r="13" spans="1:251" ht="18" customHeight="1" x14ac:dyDescent="0.35">
      <c r="A13" s="821">
        <v>5</v>
      </c>
      <c r="B13" s="827"/>
      <c r="C13" s="159"/>
      <c r="D13" s="994" t="s">
        <v>973</v>
      </c>
      <c r="E13" s="1032"/>
      <c r="F13" s="1338"/>
      <c r="G13" s="1339"/>
      <c r="H13" s="1340"/>
      <c r="I13" s="1192"/>
      <c r="J13" s="949">
        <v>0</v>
      </c>
      <c r="K13" s="949"/>
      <c r="L13" s="922">
        <f>SUM(F13:K13)</f>
        <v>0</v>
      </c>
      <c r="M13" s="1327"/>
    </row>
    <row r="14" spans="1:251" ht="32.25" customHeight="1" x14ac:dyDescent="0.3">
      <c r="A14" s="821">
        <v>6</v>
      </c>
      <c r="B14" s="827"/>
      <c r="C14" s="143">
        <v>2</v>
      </c>
      <c r="D14" s="343" t="s">
        <v>790</v>
      </c>
      <c r="E14" s="1019">
        <f>F14+G14+L16+M15</f>
        <v>1000</v>
      </c>
      <c r="F14" s="1324"/>
      <c r="G14" s="1325"/>
      <c r="H14" s="1326" t="s">
        <v>23</v>
      </c>
      <c r="I14" s="944"/>
      <c r="J14" s="984"/>
      <c r="K14" s="984"/>
      <c r="L14" s="985"/>
      <c r="M14" s="1327"/>
    </row>
    <row r="15" spans="1:251" ht="18" customHeight="1" x14ac:dyDescent="0.35">
      <c r="A15" s="821">
        <v>7</v>
      </c>
      <c r="B15" s="827"/>
      <c r="C15" s="159"/>
      <c r="D15" s="997" t="s">
        <v>252</v>
      </c>
      <c r="E15" s="1331"/>
      <c r="F15" s="1332"/>
      <c r="G15" s="1333"/>
      <c r="H15" s="1334"/>
      <c r="I15" s="1335"/>
      <c r="J15" s="1336">
        <v>1000</v>
      </c>
      <c r="K15" s="1336"/>
      <c r="L15" s="1337">
        <f t="shared" si="0"/>
        <v>1000</v>
      </c>
      <c r="M15" s="1327"/>
    </row>
    <row r="16" spans="1:251" ht="18" customHeight="1" x14ac:dyDescent="0.35">
      <c r="A16" s="821">
        <v>8</v>
      </c>
      <c r="B16" s="827"/>
      <c r="C16" s="159"/>
      <c r="D16" s="996" t="s">
        <v>921</v>
      </c>
      <c r="E16" s="1331"/>
      <c r="F16" s="1332"/>
      <c r="G16" s="1333"/>
      <c r="H16" s="1334"/>
      <c r="I16" s="1009"/>
      <c r="J16" s="986">
        <v>1000</v>
      </c>
      <c r="K16" s="986"/>
      <c r="L16" s="1428">
        <f t="shared" si="0"/>
        <v>1000</v>
      </c>
      <c r="M16" s="1327"/>
    </row>
    <row r="17" spans="1:13" ht="18" customHeight="1" x14ac:dyDescent="0.35">
      <c r="A17" s="821">
        <v>9</v>
      </c>
      <c r="B17" s="827"/>
      <c r="C17" s="159"/>
      <c r="D17" s="994" t="s">
        <v>973</v>
      </c>
      <c r="E17" s="1032"/>
      <c r="F17" s="1338"/>
      <c r="G17" s="1339"/>
      <c r="H17" s="1340"/>
      <c r="I17" s="1192"/>
      <c r="J17" s="949">
        <v>0</v>
      </c>
      <c r="K17" s="949"/>
      <c r="L17" s="922">
        <f>SUM(F17:K17)</f>
        <v>0</v>
      </c>
      <c r="M17" s="1327"/>
    </row>
    <row r="18" spans="1:13" ht="22.15" customHeight="1" x14ac:dyDescent="0.3">
      <c r="A18" s="821">
        <v>10</v>
      </c>
      <c r="B18" s="827"/>
      <c r="C18" s="159">
        <v>100</v>
      </c>
      <c r="D18" s="144" t="s">
        <v>669</v>
      </c>
      <c r="E18" s="1019">
        <f>F18+G18+L20+M19</f>
        <v>5000</v>
      </c>
      <c r="F18" s="1324"/>
      <c r="G18" s="1325"/>
      <c r="H18" s="1326" t="s">
        <v>23</v>
      </c>
      <c r="I18" s="944"/>
      <c r="J18" s="984"/>
      <c r="K18" s="984"/>
      <c r="L18" s="985"/>
      <c r="M18" s="1327"/>
    </row>
    <row r="19" spans="1:13" ht="18" customHeight="1" x14ac:dyDescent="0.35">
      <c r="A19" s="821">
        <v>11</v>
      </c>
      <c r="B19" s="827"/>
      <c r="C19" s="159"/>
      <c r="D19" s="997" t="s">
        <v>252</v>
      </c>
      <c r="E19" s="1331"/>
      <c r="F19" s="1332"/>
      <c r="G19" s="1333"/>
      <c r="H19" s="1334"/>
      <c r="I19" s="1335"/>
      <c r="J19" s="1336">
        <v>5000</v>
      </c>
      <c r="K19" s="1336"/>
      <c r="L19" s="1337">
        <f t="shared" si="0"/>
        <v>5000</v>
      </c>
      <c r="M19" s="1327"/>
    </row>
    <row r="20" spans="1:13" ht="18" customHeight="1" x14ac:dyDescent="0.35">
      <c r="A20" s="821">
        <v>12</v>
      </c>
      <c r="B20" s="827"/>
      <c r="C20" s="159"/>
      <c r="D20" s="996" t="s">
        <v>921</v>
      </c>
      <c r="E20" s="1331"/>
      <c r="F20" s="1332"/>
      <c r="G20" s="1333"/>
      <c r="H20" s="1334"/>
      <c r="I20" s="1009"/>
      <c r="J20" s="986">
        <v>5000</v>
      </c>
      <c r="K20" s="986"/>
      <c r="L20" s="1428">
        <f t="shared" si="0"/>
        <v>5000</v>
      </c>
      <c r="M20" s="1327"/>
    </row>
    <row r="21" spans="1:13" ht="18" customHeight="1" x14ac:dyDescent="0.35">
      <c r="A21" s="821">
        <v>13</v>
      </c>
      <c r="B21" s="827"/>
      <c r="C21" s="159"/>
      <c r="D21" s="994" t="s">
        <v>973</v>
      </c>
      <c r="E21" s="1032"/>
      <c r="F21" s="1338"/>
      <c r="G21" s="1339"/>
      <c r="H21" s="1340"/>
      <c r="I21" s="1192"/>
      <c r="J21" s="949">
        <v>0</v>
      </c>
      <c r="K21" s="949"/>
      <c r="L21" s="922">
        <f>SUM(F21:K21)</f>
        <v>0</v>
      </c>
      <c r="M21" s="1327"/>
    </row>
    <row r="22" spans="1:13" ht="22.15" customHeight="1" x14ac:dyDescent="0.3">
      <c r="A22" s="821">
        <v>14</v>
      </c>
      <c r="B22" s="827"/>
      <c r="C22" s="159">
        <v>3</v>
      </c>
      <c r="D22" s="830" t="s">
        <v>352</v>
      </c>
      <c r="E22" s="1019">
        <f t="shared" ref="E22:E25" si="1">F22+G22+L22+M22</f>
        <v>3820</v>
      </c>
      <c r="F22" s="1324">
        <f>3210+110+100+100+100+100</f>
        <v>3720</v>
      </c>
      <c r="G22" s="1325">
        <v>100</v>
      </c>
      <c r="H22" s="1326" t="s">
        <v>24</v>
      </c>
      <c r="I22" s="944"/>
      <c r="J22" s="984"/>
      <c r="K22" s="984"/>
      <c r="L22" s="985"/>
      <c r="M22" s="1327"/>
    </row>
    <row r="23" spans="1:13" ht="22.15" customHeight="1" x14ac:dyDescent="0.3">
      <c r="A23" s="821">
        <v>15</v>
      </c>
      <c r="B23" s="827"/>
      <c r="C23" s="159">
        <v>4</v>
      </c>
      <c r="D23" s="830" t="s">
        <v>353</v>
      </c>
      <c r="E23" s="1019">
        <f t="shared" si="1"/>
        <v>203670</v>
      </c>
      <c r="F23" s="1324">
        <f>84090+35890+22900+22900+22900</f>
        <v>188680</v>
      </c>
      <c r="G23" s="1325">
        <v>14990</v>
      </c>
      <c r="H23" s="1326" t="s">
        <v>24</v>
      </c>
      <c r="I23" s="944"/>
      <c r="J23" s="984"/>
      <c r="K23" s="984"/>
      <c r="L23" s="985"/>
      <c r="M23" s="1327"/>
    </row>
    <row r="24" spans="1:13" ht="22.15" customHeight="1" x14ac:dyDescent="0.3">
      <c r="A24" s="821">
        <v>16</v>
      </c>
      <c r="B24" s="827"/>
      <c r="C24" s="159">
        <v>5</v>
      </c>
      <c r="D24" s="830" t="s">
        <v>354</v>
      </c>
      <c r="E24" s="1019">
        <f t="shared" si="1"/>
        <v>5600</v>
      </c>
      <c r="F24" s="1324">
        <f>100+1500+2000+1000</f>
        <v>4600</v>
      </c>
      <c r="G24" s="1325">
        <v>1000</v>
      </c>
      <c r="H24" s="1326" t="s">
        <v>24</v>
      </c>
      <c r="I24" s="944"/>
      <c r="J24" s="984"/>
      <c r="K24" s="984"/>
      <c r="L24" s="985"/>
      <c r="M24" s="1327"/>
    </row>
    <row r="25" spans="1:13" ht="22.15" customHeight="1" x14ac:dyDescent="0.3">
      <c r="A25" s="821">
        <v>17</v>
      </c>
      <c r="B25" s="827"/>
      <c r="C25" s="159">
        <v>6</v>
      </c>
      <c r="D25" s="830" t="s">
        <v>355</v>
      </c>
      <c r="E25" s="1019">
        <f t="shared" si="1"/>
        <v>574100</v>
      </c>
      <c r="F25" s="1324">
        <f>82900+195200+98000+99000</f>
        <v>475100</v>
      </c>
      <c r="G25" s="1325">
        <v>99000</v>
      </c>
      <c r="H25" s="1326" t="s">
        <v>24</v>
      </c>
      <c r="I25" s="944"/>
      <c r="J25" s="984"/>
      <c r="K25" s="984"/>
      <c r="L25" s="985"/>
      <c r="M25" s="1327"/>
    </row>
    <row r="26" spans="1:13" ht="22.15" customHeight="1" x14ac:dyDescent="0.3">
      <c r="A26" s="821">
        <v>18</v>
      </c>
      <c r="B26" s="827"/>
      <c r="C26" s="159">
        <v>7</v>
      </c>
      <c r="D26" s="144" t="s">
        <v>317</v>
      </c>
      <c r="E26" s="1019">
        <f>F26+G26+L28+M27</f>
        <v>166321</v>
      </c>
      <c r="F26" s="1324">
        <f>8127+11064+7643+7255+1255</f>
        <v>35344</v>
      </c>
      <c r="G26" s="1325">
        <v>30618</v>
      </c>
      <c r="H26" s="1326" t="s">
        <v>24</v>
      </c>
      <c r="I26" s="944"/>
      <c r="J26" s="984"/>
      <c r="K26" s="984"/>
      <c r="L26" s="985"/>
      <c r="M26" s="1327"/>
    </row>
    <row r="27" spans="1:13" ht="18" customHeight="1" x14ac:dyDescent="0.35">
      <c r="A27" s="821">
        <v>19</v>
      </c>
      <c r="B27" s="827"/>
      <c r="C27" s="159"/>
      <c r="D27" s="997" t="s">
        <v>252</v>
      </c>
      <c r="E27" s="1331"/>
      <c r="F27" s="1332"/>
      <c r="G27" s="1333"/>
      <c r="H27" s="1334"/>
      <c r="I27" s="1335">
        <v>4355</v>
      </c>
      <c r="J27" s="1336">
        <f>21009+69000</f>
        <v>90009</v>
      </c>
      <c r="K27" s="1336"/>
      <c r="L27" s="1337">
        <f t="shared" si="0"/>
        <v>94364</v>
      </c>
      <c r="M27" s="1327"/>
    </row>
    <row r="28" spans="1:13" ht="18" customHeight="1" x14ac:dyDescent="0.35">
      <c r="A28" s="821">
        <v>20</v>
      </c>
      <c r="B28" s="827"/>
      <c r="C28" s="159"/>
      <c r="D28" s="996" t="s">
        <v>921</v>
      </c>
      <c r="E28" s="1331"/>
      <c r="F28" s="1332"/>
      <c r="G28" s="1333"/>
      <c r="H28" s="1334"/>
      <c r="I28" s="1009">
        <v>14550</v>
      </c>
      <c r="J28" s="986">
        <v>85809</v>
      </c>
      <c r="K28" s="986"/>
      <c r="L28" s="1428">
        <f t="shared" si="0"/>
        <v>100359</v>
      </c>
      <c r="M28" s="1327"/>
    </row>
    <row r="29" spans="1:13" ht="18" customHeight="1" x14ac:dyDescent="0.35">
      <c r="A29" s="821">
        <v>21</v>
      </c>
      <c r="B29" s="827"/>
      <c r="C29" s="159"/>
      <c r="D29" s="994" t="s">
        <v>972</v>
      </c>
      <c r="E29" s="1019"/>
      <c r="F29" s="1324"/>
      <c r="G29" s="1325"/>
      <c r="H29" s="1326"/>
      <c r="I29" s="1192">
        <v>5760</v>
      </c>
      <c r="J29" s="949">
        <v>8717</v>
      </c>
      <c r="K29" s="984"/>
      <c r="L29" s="922">
        <f>SUM(F29:K29)</f>
        <v>14477</v>
      </c>
      <c r="M29" s="1327"/>
    </row>
    <row r="30" spans="1:13" ht="32.25" customHeight="1" x14ac:dyDescent="0.3">
      <c r="A30" s="821">
        <v>22</v>
      </c>
      <c r="B30" s="827"/>
      <c r="C30" s="143">
        <v>8</v>
      </c>
      <c r="D30" s="343" t="s">
        <v>384</v>
      </c>
      <c r="E30" s="1019">
        <f>F30+G30+L32+M31</f>
        <v>61698</v>
      </c>
      <c r="F30" s="1324">
        <f>9028+6276</f>
        <v>15304</v>
      </c>
      <c r="G30" s="1325">
        <v>15308</v>
      </c>
      <c r="H30" s="1326" t="s">
        <v>24</v>
      </c>
      <c r="I30" s="944"/>
      <c r="J30" s="984"/>
      <c r="K30" s="984"/>
      <c r="L30" s="985"/>
      <c r="M30" s="1327"/>
    </row>
    <row r="31" spans="1:13" ht="18" customHeight="1" x14ac:dyDescent="0.35">
      <c r="A31" s="821">
        <v>23</v>
      </c>
      <c r="B31" s="827"/>
      <c r="C31" s="159"/>
      <c r="D31" s="997" t="s">
        <v>252</v>
      </c>
      <c r="E31" s="1331"/>
      <c r="F31" s="1332"/>
      <c r="G31" s="1333"/>
      <c r="H31" s="1334"/>
      <c r="I31" s="1335">
        <v>114</v>
      </c>
      <c r="J31" s="1336">
        <f>23200+7772</f>
        <v>30972</v>
      </c>
      <c r="K31" s="1336"/>
      <c r="L31" s="1337">
        <f t="shared" si="0"/>
        <v>31086</v>
      </c>
      <c r="M31" s="1327"/>
    </row>
    <row r="32" spans="1:13" ht="18" customHeight="1" x14ac:dyDescent="0.35">
      <c r="A32" s="821">
        <v>24</v>
      </c>
      <c r="B32" s="827"/>
      <c r="C32" s="159"/>
      <c r="D32" s="996" t="s">
        <v>921</v>
      </c>
      <c r="E32" s="1331"/>
      <c r="F32" s="1332"/>
      <c r="G32" s="1333"/>
      <c r="H32" s="1334"/>
      <c r="I32" s="1009">
        <v>114</v>
      </c>
      <c r="J32" s="986">
        <v>30972</v>
      </c>
      <c r="K32" s="986"/>
      <c r="L32" s="1428">
        <f t="shared" si="0"/>
        <v>31086</v>
      </c>
      <c r="M32" s="1327"/>
    </row>
    <row r="33" spans="1:13" ht="18" customHeight="1" x14ac:dyDescent="0.35">
      <c r="A33" s="821">
        <v>25</v>
      </c>
      <c r="B33" s="827"/>
      <c r="C33" s="159"/>
      <c r="D33" s="994" t="s">
        <v>973</v>
      </c>
      <c r="E33" s="1032"/>
      <c r="F33" s="1338"/>
      <c r="G33" s="1339"/>
      <c r="H33" s="1340"/>
      <c r="I33" s="1192">
        <v>0</v>
      </c>
      <c r="J33" s="949">
        <v>0</v>
      </c>
      <c r="K33" s="949"/>
      <c r="L33" s="922">
        <f>SUM(F33:K33)</f>
        <v>0</v>
      </c>
      <c r="M33" s="1327"/>
    </row>
    <row r="34" spans="1:13" ht="50.25" customHeight="1" x14ac:dyDescent="0.3">
      <c r="A34" s="821">
        <v>26</v>
      </c>
      <c r="B34" s="827"/>
      <c r="C34" s="143">
        <v>9</v>
      </c>
      <c r="D34" s="144" t="s">
        <v>401</v>
      </c>
      <c r="E34" s="1019">
        <f>F34+G34+L36+M35</f>
        <v>31627</v>
      </c>
      <c r="F34" s="1324">
        <v>26363</v>
      </c>
      <c r="G34" s="1325">
        <v>4363</v>
      </c>
      <c r="H34" s="1326" t="s">
        <v>24</v>
      </c>
      <c r="I34" s="944"/>
      <c r="J34" s="984"/>
      <c r="K34" s="984"/>
      <c r="L34" s="985"/>
      <c r="M34" s="1327"/>
    </row>
    <row r="35" spans="1:13" ht="18" customHeight="1" x14ac:dyDescent="0.35">
      <c r="A35" s="821">
        <v>27</v>
      </c>
      <c r="B35" s="827"/>
      <c r="C35" s="159"/>
      <c r="D35" s="997" t="s">
        <v>252</v>
      </c>
      <c r="E35" s="1331"/>
      <c r="F35" s="1332"/>
      <c r="G35" s="1333"/>
      <c r="H35" s="1334"/>
      <c r="I35" s="1335">
        <v>411</v>
      </c>
      <c r="J35" s="1336">
        <v>490</v>
      </c>
      <c r="K35" s="1336"/>
      <c r="L35" s="1337">
        <f>SUM(I35:K35)</f>
        <v>901</v>
      </c>
      <c r="M35" s="1327"/>
    </row>
    <row r="36" spans="1:13" ht="18" customHeight="1" x14ac:dyDescent="0.35">
      <c r="A36" s="821">
        <v>28</v>
      </c>
      <c r="B36" s="827"/>
      <c r="C36" s="159"/>
      <c r="D36" s="996" t="s">
        <v>921</v>
      </c>
      <c r="E36" s="1331"/>
      <c r="F36" s="1332"/>
      <c r="G36" s="1333"/>
      <c r="H36" s="1334"/>
      <c r="I36" s="1009">
        <v>411</v>
      </c>
      <c r="J36" s="986">
        <v>490</v>
      </c>
      <c r="K36" s="986"/>
      <c r="L36" s="1428">
        <f>SUM(I36:K36)</f>
        <v>901</v>
      </c>
      <c r="M36" s="1327"/>
    </row>
    <row r="37" spans="1:13" ht="18" customHeight="1" x14ac:dyDescent="0.35">
      <c r="A37" s="821">
        <v>29</v>
      </c>
      <c r="B37" s="827"/>
      <c r="C37" s="159"/>
      <c r="D37" s="994" t="s">
        <v>973</v>
      </c>
      <c r="E37" s="1032"/>
      <c r="F37" s="1338"/>
      <c r="G37" s="1339"/>
      <c r="H37" s="1340"/>
      <c r="I37" s="1192">
        <v>0</v>
      </c>
      <c r="J37" s="949">
        <v>0</v>
      </c>
      <c r="K37" s="949"/>
      <c r="L37" s="922">
        <f>SUM(F37:K37)</f>
        <v>0</v>
      </c>
      <c r="M37" s="1327"/>
    </row>
    <row r="38" spans="1:13" ht="22.15" customHeight="1" x14ac:dyDescent="0.3">
      <c r="A38" s="821">
        <v>30</v>
      </c>
      <c r="B38" s="827"/>
      <c r="C38" s="159">
        <v>10</v>
      </c>
      <c r="D38" s="144" t="s">
        <v>402</v>
      </c>
      <c r="E38" s="1019">
        <f>F38+G38+L40+M39</f>
        <v>28519</v>
      </c>
      <c r="F38" s="1324">
        <v>9652</v>
      </c>
      <c r="G38" s="1325">
        <v>980</v>
      </c>
      <c r="H38" s="1326" t="s">
        <v>24</v>
      </c>
      <c r="I38" s="944"/>
      <c r="J38" s="984"/>
      <c r="K38" s="984"/>
      <c r="L38" s="985"/>
      <c r="M38" s="1327"/>
    </row>
    <row r="39" spans="1:13" ht="18" customHeight="1" x14ac:dyDescent="0.35">
      <c r="A39" s="821">
        <v>31</v>
      </c>
      <c r="B39" s="827"/>
      <c r="C39" s="159"/>
      <c r="D39" s="997" t="s">
        <v>252</v>
      </c>
      <c r="E39" s="1331"/>
      <c r="F39" s="1332"/>
      <c r="G39" s="1333"/>
      <c r="H39" s="1334"/>
      <c r="I39" s="1335"/>
      <c r="J39" s="1336">
        <v>17887</v>
      </c>
      <c r="K39" s="1336"/>
      <c r="L39" s="1337">
        <f>SUM(I39:K39)</f>
        <v>17887</v>
      </c>
      <c r="M39" s="1327"/>
    </row>
    <row r="40" spans="1:13" ht="18" customHeight="1" x14ac:dyDescent="0.35">
      <c r="A40" s="821">
        <v>32</v>
      </c>
      <c r="B40" s="827"/>
      <c r="C40" s="159"/>
      <c r="D40" s="996" t="s">
        <v>921</v>
      </c>
      <c r="E40" s="1331"/>
      <c r="F40" s="1332"/>
      <c r="G40" s="1333"/>
      <c r="H40" s="1334"/>
      <c r="I40" s="1009"/>
      <c r="J40" s="986">
        <v>17887</v>
      </c>
      <c r="K40" s="986"/>
      <c r="L40" s="1428">
        <f>SUM(I40:K40)</f>
        <v>17887</v>
      </c>
      <c r="M40" s="1327"/>
    </row>
    <row r="41" spans="1:13" ht="18" customHeight="1" x14ac:dyDescent="0.35">
      <c r="A41" s="821">
        <v>33</v>
      </c>
      <c r="B41" s="827"/>
      <c r="C41" s="159"/>
      <c r="D41" s="994" t="s">
        <v>973</v>
      </c>
      <c r="E41" s="1032"/>
      <c r="F41" s="1338"/>
      <c r="G41" s="1339"/>
      <c r="H41" s="1340"/>
      <c r="I41" s="1192"/>
      <c r="J41" s="949">
        <v>2413</v>
      </c>
      <c r="K41" s="949"/>
      <c r="L41" s="922">
        <f>SUM(F41:K41)</f>
        <v>2413</v>
      </c>
      <c r="M41" s="1327"/>
    </row>
    <row r="42" spans="1:13" ht="51" customHeight="1" x14ac:dyDescent="0.3">
      <c r="A42" s="821">
        <v>34</v>
      </c>
      <c r="B42" s="827"/>
      <c r="C42" s="143">
        <v>24</v>
      </c>
      <c r="D42" s="144" t="s">
        <v>690</v>
      </c>
      <c r="E42" s="1019">
        <f>F42+G42+L44+M43</f>
        <v>88900</v>
      </c>
      <c r="F42" s="1324"/>
      <c r="G42" s="1325"/>
      <c r="H42" s="1326" t="s">
        <v>23</v>
      </c>
      <c r="I42" s="944"/>
      <c r="J42" s="984"/>
      <c r="K42" s="984"/>
      <c r="L42" s="985"/>
      <c r="M42" s="1327"/>
    </row>
    <row r="43" spans="1:13" ht="18" customHeight="1" x14ac:dyDescent="0.35">
      <c r="A43" s="821">
        <v>35</v>
      </c>
      <c r="B43" s="827"/>
      <c r="C43" s="159"/>
      <c r="D43" s="997" t="s">
        <v>252</v>
      </c>
      <c r="E43" s="1331"/>
      <c r="F43" s="1332"/>
      <c r="G43" s="1333"/>
      <c r="H43" s="1334"/>
      <c r="I43" s="1335"/>
      <c r="J43" s="1336">
        <v>88900</v>
      </c>
      <c r="K43" s="1336"/>
      <c r="L43" s="1337">
        <f t="shared" si="0"/>
        <v>88900</v>
      </c>
      <c r="M43" s="1327"/>
    </row>
    <row r="44" spans="1:13" ht="18" customHeight="1" x14ac:dyDescent="0.35">
      <c r="A44" s="821">
        <v>36</v>
      </c>
      <c r="B44" s="827"/>
      <c r="C44" s="159"/>
      <c r="D44" s="996" t="s">
        <v>921</v>
      </c>
      <c r="E44" s="1331"/>
      <c r="F44" s="1332"/>
      <c r="G44" s="1333"/>
      <c r="H44" s="1334"/>
      <c r="I44" s="1009"/>
      <c r="J44" s="986">
        <v>88900</v>
      </c>
      <c r="K44" s="986"/>
      <c r="L44" s="1428">
        <f t="shared" si="0"/>
        <v>88900</v>
      </c>
      <c r="M44" s="1327"/>
    </row>
    <row r="45" spans="1:13" ht="18" customHeight="1" x14ac:dyDescent="0.35">
      <c r="A45" s="821">
        <v>37</v>
      </c>
      <c r="B45" s="827"/>
      <c r="C45" s="159"/>
      <c r="D45" s="994" t="s">
        <v>973</v>
      </c>
      <c r="E45" s="1032"/>
      <c r="F45" s="1338"/>
      <c r="G45" s="1339"/>
      <c r="H45" s="1340"/>
      <c r="I45" s="1192"/>
      <c r="J45" s="949">
        <v>70000</v>
      </c>
      <c r="K45" s="949"/>
      <c r="L45" s="922">
        <f>SUM(F45:K45)</f>
        <v>70000</v>
      </c>
      <c r="M45" s="1327"/>
    </row>
    <row r="46" spans="1:13" ht="38.1" customHeight="1" x14ac:dyDescent="0.3">
      <c r="A46" s="821">
        <v>38</v>
      </c>
      <c r="B46" s="827"/>
      <c r="C46" s="143">
        <v>25</v>
      </c>
      <c r="D46" s="144" t="s">
        <v>691</v>
      </c>
      <c r="E46" s="1019">
        <f>F46+G46+L48+M47</f>
        <v>114300</v>
      </c>
      <c r="F46" s="1324"/>
      <c r="G46" s="1325"/>
      <c r="H46" s="1326" t="s">
        <v>23</v>
      </c>
      <c r="I46" s="944"/>
      <c r="J46" s="984"/>
      <c r="K46" s="984"/>
      <c r="L46" s="985"/>
      <c r="M46" s="1327"/>
    </row>
    <row r="47" spans="1:13" ht="18" customHeight="1" x14ac:dyDescent="0.35">
      <c r="A47" s="821">
        <v>39</v>
      </c>
      <c r="B47" s="827"/>
      <c r="C47" s="159"/>
      <c r="D47" s="997" t="s">
        <v>252</v>
      </c>
      <c r="E47" s="1331"/>
      <c r="F47" s="1332"/>
      <c r="G47" s="1333"/>
      <c r="H47" s="1334"/>
      <c r="I47" s="1335"/>
      <c r="J47" s="1336">
        <v>114300</v>
      </c>
      <c r="K47" s="1336"/>
      <c r="L47" s="1337">
        <f t="shared" si="0"/>
        <v>114300</v>
      </c>
      <c r="M47" s="1327"/>
    </row>
    <row r="48" spans="1:13" ht="18" customHeight="1" x14ac:dyDescent="0.35">
      <c r="A48" s="821">
        <v>40</v>
      </c>
      <c r="B48" s="827"/>
      <c r="C48" s="159"/>
      <c r="D48" s="996" t="s">
        <v>921</v>
      </c>
      <c r="E48" s="1331"/>
      <c r="F48" s="1332"/>
      <c r="G48" s="1333"/>
      <c r="H48" s="1334"/>
      <c r="I48" s="1009"/>
      <c r="J48" s="986">
        <v>114300</v>
      </c>
      <c r="K48" s="986"/>
      <c r="L48" s="1428">
        <f t="shared" si="0"/>
        <v>114300</v>
      </c>
      <c r="M48" s="1327"/>
    </row>
    <row r="49" spans="1:251" ht="18" customHeight="1" x14ac:dyDescent="0.35">
      <c r="A49" s="821">
        <v>41</v>
      </c>
      <c r="B49" s="827"/>
      <c r="C49" s="159"/>
      <c r="D49" s="994" t="s">
        <v>973</v>
      </c>
      <c r="E49" s="1032"/>
      <c r="F49" s="1338"/>
      <c r="G49" s="1339"/>
      <c r="H49" s="1340"/>
      <c r="I49" s="1192"/>
      <c r="J49" s="949">
        <v>0</v>
      </c>
      <c r="K49" s="949"/>
      <c r="L49" s="922">
        <f>SUM(F49:K49)</f>
        <v>0</v>
      </c>
      <c r="M49" s="1327"/>
    </row>
    <row r="50" spans="1:251" ht="50.25" customHeight="1" x14ac:dyDescent="0.3">
      <c r="A50" s="821">
        <v>42</v>
      </c>
      <c r="B50" s="827"/>
      <c r="C50" s="143">
        <v>26</v>
      </c>
      <c r="D50" s="144" t="s">
        <v>692</v>
      </c>
      <c r="E50" s="1019">
        <f>F50+G50+L52+M51</f>
        <v>114300</v>
      </c>
      <c r="F50" s="1324"/>
      <c r="G50" s="1325"/>
      <c r="H50" s="1326" t="s">
        <v>23</v>
      </c>
      <c r="I50" s="944"/>
      <c r="J50" s="984"/>
      <c r="K50" s="984"/>
      <c r="L50" s="985"/>
      <c r="M50" s="1327"/>
    </row>
    <row r="51" spans="1:251" ht="18" customHeight="1" x14ac:dyDescent="0.35">
      <c r="A51" s="821">
        <v>43</v>
      </c>
      <c r="B51" s="827"/>
      <c r="C51" s="159"/>
      <c r="D51" s="997" t="s">
        <v>252</v>
      </c>
      <c r="E51" s="1331"/>
      <c r="F51" s="1332"/>
      <c r="G51" s="1333"/>
      <c r="H51" s="1334"/>
      <c r="I51" s="1335"/>
      <c r="J51" s="1336">
        <v>114300</v>
      </c>
      <c r="K51" s="1336"/>
      <c r="L51" s="1337">
        <f>SUM(I51:K51)</f>
        <v>114300</v>
      </c>
      <c r="M51" s="1327"/>
    </row>
    <row r="52" spans="1:251" ht="18" customHeight="1" x14ac:dyDescent="0.35">
      <c r="A52" s="821">
        <v>44</v>
      </c>
      <c r="B52" s="827"/>
      <c r="C52" s="159"/>
      <c r="D52" s="996" t="s">
        <v>921</v>
      </c>
      <c r="E52" s="1331"/>
      <c r="F52" s="1332"/>
      <c r="G52" s="1333"/>
      <c r="H52" s="1334"/>
      <c r="I52" s="1009"/>
      <c r="J52" s="986">
        <v>114300</v>
      </c>
      <c r="K52" s="986"/>
      <c r="L52" s="1428">
        <f>SUM(I52:K52)</f>
        <v>114300</v>
      </c>
      <c r="M52" s="1327"/>
    </row>
    <row r="53" spans="1:251" ht="18" customHeight="1" x14ac:dyDescent="0.35">
      <c r="A53" s="821">
        <v>45</v>
      </c>
      <c r="B53" s="827"/>
      <c r="C53" s="159"/>
      <c r="D53" s="994" t="s">
        <v>973</v>
      </c>
      <c r="E53" s="1032"/>
      <c r="F53" s="1338"/>
      <c r="G53" s="1339"/>
      <c r="H53" s="1340"/>
      <c r="I53" s="1192"/>
      <c r="J53" s="949">
        <v>0</v>
      </c>
      <c r="K53" s="949"/>
      <c r="L53" s="922">
        <f>SUM(F53:K53)</f>
        <v>0</v>
      </c>
      <c r="M53" s="1327"/>
    </row>
    <row r="54" spans="1:251" ht="22.15" customHeight="1" x14ac:dyDescent="0.3">
      <c r="A54" s="821">
        <v>46</v>
      </c>
      <c r="B54" s="827"/>
      <c r="C54" s="159">
        <v>27</v>
      </c>
      <c r="D54" s="144" t="s">
        <v>449</v>
      </c>
      <c r="E54" s="1019">
        <f>F54+G54+L56+M55</f>
        <v>4496</v>
      </c>
      <c r="F54" s="1324"/>
      <c r="G54" s="1325">
        <v>2473</v>
      </c>
      <c r="H54" s="1326" t="s">
        <v>24</v>
      </c>
      <c r="I54" s="944"/>
      <c r="J54" s="984"/>
      <c r="K54" s="984"/>
      <c r="L54" s="985"/>
      <c r="M54" s="1327"/>
    </row>
    <row r="55" spans="1:251" ht="18" customHeight="1" x14ac:dyDescent="0.35">
      <c r="A55" s="821">
        <v>47</v>
      </c>
      <c r="B55" s="827"/>
      <c r="C55" s="159"/>
      <c r="D55" s="997" t="s">
        <v>252</v>
      </c>
      <c r="E55" s="1331"/>
      <c r="F55" s="1332"/>
      <c r="G55" s="1333"/>
      <c r="H55" s="1334"/>
      <c r="I55" s="1335"/>
      <c r="J55" s="1336">
        <v>2023</v>
      </c>
      <c r="K55" s="1336"/>
      <c r="L55" s="1337">
        <f t="shared" si="0"/>
        <v>2023</v>
      </c>
      <c r="M55" s="1327"/>
    </row>
    <row r="56" spans="1:251" ht="18" customHeight="1" x14ac:dyDescent="0.35">
      <c r="A56" s="821">
        <v>48</v>
      </c>
      <c r="B56" s="827"/>
      <c r="C56" s="159"/>
      <c r="D56" s="996" t="s">
        <v>921</v>
      </c>
      <c r="E56" s="1331"/>
      <c r="F56" s="1332"/>
      <c r="G56" s="1333"/>
      <c r="H56" s="1334"/>
      <c r="I56" s="1009"/>
      <c r="J56" s="986">
        <v>2023</v>
      </c>
      <c r="K56" s="986"/>
      <c r="L56" s="1428">
        <f t="shared" si="0"/>
        <v>2023</v>
      </c>
      <c r="M56" s="1327"/>
    </row>
    <row r="57" spans="1:251" ht="18" customHeight="1" x14ac:dyDescent="0.35">
      <c r="A57" s="821">
        <v>49</v>
      </c>
      <c r="B57" s="827"/>
      <c r="C57" s="159"/>
      <c r="D57" s="994" t="s">
        <v>973</v>
      </c>
      <c r="E57" s="1032"/>
      <c r="F57" s="1338"/>
      <c r="G57" s="1339"/>
      <c r="H57" s="1340"/>
      <c r="I57" s="1192"/>
      <c r="J57" s="949">
        <v>0</v>
      </c>
      <c r="K57" s="949"/>
      <c r="L57" s="922">
        <f>SUM(F57:K57)</f>
        <v>0</v>
      </c>
      <c r="M57" s="1327"/>
    </row>
    <row r="58" spans="1:251" ht="69.75" customHeight="1" x14ac:dyDescent="0.3">
      <c r="A58" s="821">
        <v>50</v>
      </c>
      <c r="B58" s="827"/>
      <c r="C58" s="143">
        <v>30</v>
      </c>
      <c r="D58" s="343" t="s">
        <v>494</v>
      </c>
      <c r="E58" s="1019">
        <f>F58+G58+L60+M59</f>
        <v>6298</v>
      </c>
      <c r="F58" s="1324">
        <f>10+55</f>
        <v>65</v>
      </c>
      <c r="G58" s="1325"/>
      <c r="H58" s="1326" t="s">
        <v>24</v>
      </c>
      <c r="I58" s="1018"/>
      <c r="J58" s="1019"/>
      <c r="K58" s="1019"/>
      <c r="L58" s="985"/>
      <c r="M58" s="1327"/>
      <c r="N58" s="831"/>
      <c r="O58" s="831"/>
      <c r="P58" s="831"/>
      <c r="Q58" s="831"/>
      <c r="R58" s="831"/>
      <c r="S58" s="831"/>
      <c r="T58" s="831"/>
      <c r="U58" s="831"/>
      <c r="V58" s="831"/>
      <c r="W58" s="831"/>
      <c r="X58" s="831"/>
      <c r="Y58" s="831"/>
      <c r="Z58" s="831"/>
      <c r="AA58" s="831"/>
      <c r="AB58" s="831"/>
      <c r="AC58" s="831"/>
      <c r="AD58" s="831"/>
      <c r="AE58" s="831"/>
      <c r="AF58" s="831"/>
      <c r="AG58" s="831"/>
      <c r="AH58" s="831"/>
      <c r="AI58" s="831"/>
      <c r="AJ58" s="831"/>
      <c r="AK58" s="831"/>
      <c r="AL58" s="831"/>
      <c r="AM58" s="831"/>
      <c r="AN58" s="831"/>
      <c r="AO58" s="831"/>
      <c r="AP58" s="831"/>
      <c r="AQ58" s="831"/>
      <c r="AR58" s="831"/>
      <c r="AS58" s="831"/>
      <c r="AT58" s="831"/>
      <c r="AU58" s="831"/>
      <c r="AV58" s="831"/>
      <c r="AW58" s="831"/>
      <c r="AX58" s="831"/>
      <c r="AY58" s="831"/>
      <c r="AZ58" s="831"/>
      <c r="BA58" s="831"/>
      <c r="BB58" s="831"/>
      <c r="BC58" s="831"/>
      <c r="BD58" s="831"/>
      <c r="BE58" s="831"/>
      <c r="BF58" s="831"/>
      <c r="BG58" s="831"/>
      <c r="BH58" s="831"/>
      <c r="BI58" s="831"/>
      <c r="BJ58" s="831"/>
      <c r="BK58" s="831"/>
      <c r="BL58" s="831"/>
      <c r="BM58" s="831"/>
      <c r="BN58" s="831"/>
      <c r="BO58" s="831"/>
      <c r="BP58" s="831"/>
      <c r="BQ58" s="831"/>
      <c r="BR58" s="831"/>
      <c r="BS58" s="831"/>
      <c r="BT58" s="831"/>
      <c r="BU58" s="831"/>
      <c r="BV58" s="831"/>
      <c r="BW58" s="831"/>
      <c r="BX58" s="831"/>
      <c r="BY58" s="831"/>
      <c r="BZ58" s="831"/>
      <c r="CA58" s="831"/>
      <c r="CB58" s="831"/>
      <c r="CC58" s="831"/>
      <c r="CD58" s="831"/>
      <c r="CE58" s="831"/>
      <c r="CF58" s="831"/>
      <c r="CG58" s="831"/>
      <c r="CH58" s="831"/>
      <c r="CI58" s="831"/>
      <c r="CJ58" s="831"/>
      <c r="CK58" s="831"/>
      <c r="CL58" s="831"/>
      <c r="CM58" s="831"/>
      <c r="CN58" s="831"/>
      <c r="CO58" s="831"/>
      <c r="CP58" s="831"/>
      <c r="CQ58" s="831"/>
      <c r="CR58" s="831"/>
      <c r="CS58" s="831"/>
      <c r="CT58" s="831"/>
      <c r="CU58" s="831"/>
      <c r="CV58" s="831"/>
      <c r="CW58" s="831"/>
      <c r="CX58" s="831"/>
      <c r="CY58" s="831"/>
      <c r="CZ58" s="831"/>
      <c r="DA58" s="831"/>
      <c r="DB58" s="831"/>
      <c r="DC58" s="831"/>
      <c r="DD58" s="831"/>
      <c r="DE58" s="831"/>
      <c r="DF58" s="831"/>
      <c r="DG58" s="831"/>
      <c r="DH58" s="831"/>
      <c r="DI58" s="831"/>
      <c r="DJ58" s="831"/>
      <c r="DK58" s="831"/>
      <c r="DL58" s="831"/>
      <c r="DM58" s="831"/>
      <c r="DN58" s="831"/>
      <c r="DO58" s="831"/>
      <c r="DP58" s="831"/>
      <c r="DQ58" s="831"/>
      <c r="DR58" s="831"/>
      <c r="DS58" s="831"/>
      <c r="DT58" s="831"/>
      <c r="DU58" s="831"/>
      <c r="DV58" s="831"/>
      <c r="DW58" s="831"/>
      <c r="DX58" s="831"/>
      <c r="DY58" s="831"/>
      <c r="DZ58" s="831"/>
      <c r="EA58" s="831"/>
      <c r="EB58" s="831"/>
      <c r="EC58" s="831"/>
      <c r="ED58" s="831"/>
      <c r="EE58" s="831"/>
      <c r="EF58" s="831"/>
      <c r="EG58" s="831"/>
      <c r="EH58" s="831"/>
      <c r="EI58" s="831"/>
      <c r="EJ58" s="831"/>
      <c r="EK58" s="831"/>
      <c r="EL58" s="831"/>
      <c r="EM58" s="831"/>
      <c r="EN58" s="831"/>
      <c r="EO58" s="831"/>
      <c r="EP58" s="831"/>
      <c r="EQ58" s="831"/>
      <c r="ER58" s="831"/>
      <c r="ES58" s="831"/>
      <c r="ET58" s="831"/>
      <c r="EU58" s="831"/>
      <c r="EV58" s="831"/>
      <c r="EW58" s="831"/>
      <c r="EX58" s="831"/>
      <c r="EY58" s="831"/>
      <c r="EZ58" s="831"/>
      <c r="FA58" s="831"/>
      <c r="FB58" s="831"/>
      <c r="FC58" s="831"/>
      <c r="FD58" s="831"/>
      <c r="FE58" s="831"/>
      <c r="FF58" s="831"/>
      <c r="FG58" s="831"/>
      <c r="FH58" s="831"/>
      <c r="FI58" s="831"/>
      <c r="FJ58" s="831"/>
      <c r="FK58" s="831"/>
      <c r="FL58" s="831"/>
      <c r="FM58" s="831"/>
      <c r="FN58" s="831"/>
      <c r="FO58" s="831"/>
      <c r="FP58" s="831"/>
      <c r="FQ58" s="831"/>
      <c r="FR58" s="831"/>
      <c r="FS58" s="831"/>
      <c r="FT58" s="831"/>
      <c r="FU58" s="831"/>
      <c r="FV58" s="831"/>
      <c r="FW58" s="831"/>
      <c r="FX58" s="831"/>
      <c r="FY58" s="831"/>
      <c r="FZ58" s="831"/>
      <c r="GA58" s="831"/>
      <c r="GB58" s="831"/>
      <c r="GC58" s="831"/>
      <c r="GD58" s="831"/>
      <c r="GE58" s="831"/>
      <c r="GF58" s="831"/>
      <c r="GG58" s="831"/>
      <c r="GH58" s="831"/>
      <c r="GI58" s="831"/>
      <c r="GJ58" s="831"/>
      <c r="GK58" s="831"/>
      <c r="GL58" s="831"/>
      <c r="GM58" s="831"/>
      <c r="GN58" s="831"/>
      <c r="GO58" s="831"/>
      <c r="GP58" s="831"/>
      <c r="GQ58" s="831"/>
      <c r="GR58" s="831"/>
      <c r="GS58" s="831"/>
      <c r="GT58" s="831"/>
      <c r="GU58" s="831"/>
      <c r="GV58" s="831"/>
      <c r="GW58" s="831"/>
      <c r="GX58" s="831"/>
      <c r="GY58" s="831"/>
      <c r="GZ58" s="831"/>
      <c r="HA58" s="831"/>
      <c r="HB58" s="831"/>
      <c r="HC58" s="831"/>
      <c r="HD58" s="831"/>
      <c r="HE58" s="831"/>
      <c r="HF58" s="831"/>
      <c r="HG58" s="831"/>
      <c r="HH58" s="831"/>
      <c r="HI58" s="831"/>
      <c r="HJ58" s="831"/>
      <c r="HK58" s="831"/>
      <c r="HL58" s="831"/>
      <c r="HM58" s="831"/>
      <c r="HN58" s="831"/>
      <c r="HO58" s="831"/>
      <c r="HP58" s="831"/>
      <c r="HQ58" s="831"/>
      <c r="HR58" s="831"/>
      <c r="HS58" s="831"/>
      <c r="HT58" s="831"/>
      <c r="HU58" s="831"/>
      <c r="HV58" s="831"/>
      <c r="HW58" s="831"/>
      <c r="HX58" s="831"/>
      <c r="HY58" s="831"/>
      <c r="HZ58" s="831"/>
      <c r="IA58" s="831"/>
      <c r="IB58" s="831"/>
      <c r="IC58" s="831"/>
      <c r="ID58" s="831"/>
      <c r="IE58" s="831"/>
      <c r="IF58" s="831"/>
      <c r="IG58" s="831"/>
      <c r="IH58" s="831"/>
      <c r="II58" s="831"/>
      <c r="IJ58" s="831"/>
      <c r="IK58" s="831"/>
      <c r="IL58" s="831"/>
      <c r="IM58" s="831"/>
      <c r="IN58" s="831"/>
      <c r="IO58" s="831"/>
      <c r="IP58" s="831"/>
      <c r="IQ58" s="831"/>
    </row>
    <row r="59" spans="1:251" ht="18" customHeight="1" x14ac:dyDescent="0.35">
      <c r="A59" s="821">
        <v>51</v>
      </c>
      <c r="B59" s="827"/>
      <c r="C59" s="159"/>
      <c r="D59" s="997" t="s">
        <v>252</v>
      </c>
      <c r="E59" s="1331"/>
      <c r="F59" s="1332"/>
      <c r="G59" s="1333"/>
      <c r="H59" s="1334"/>
      <c r="I59" s="1335"/>
      <c r="J59" s="1336">
        <f>3218+3015</f>
        <v>6233</v>
      </c>
      <c r="K59" s="1336"/>
      <c r="L59" s="1337">
        <f t="shared" si="0"/>
        <v>6233</v>
      </c>
      <c r="M59" s="1327"/>
      <c r="N59" s="831"/>
      <c r="O59" s="831"/>
      <c r="P59" s="831"/>
      <c r="Q59" s="831"/>
      <c r="R59" s="831"/>
      <c r="S59" s="831"/>
      <c r="T59" s="831"/>
      <c r="U59" s="831"/>
      <c r="V59" s="831"/>
      <c r="W59" s="831"/>
      <c r="X59" s="831"/>
      <c r="Y59" s="831"/>
      <c r="Z59" s="831"/>
      <c r="AA59" s="831"/>
      <c r="AB59" s="831"/>
      <c r="AC59" s="831"/>
      <c r="AD59" s="831"/>
      <c r="AE59" s="831"/>
      <c r="AF59" s="831"/>
      <c r="AG59" s="831"/>
      <c r="AH59" s="831"/>
      <c r="AI59" s="831"/>
      <c r="AJ59" s="831"/>
      <c r="AK59" s="831"/>
      <c r="AL59" s="831"/>
      <c r="AM59" s="831"/>
      <c r="AN59" s="831"/>
      <c r="AO59" s="831"/>
      <c r="AP59" s="831"/>
      <c r="AQ59" s="831"/>
      <c r="AR59" s="831"/>
      <c r="AS59" s="831"/>
      <c r="AT59" s="831"/>
      <c r="AU59" s="831"/>
      <c r="AV59" s="831"/>
      <c r="AW59" s="831"/>
      <c r="AX59" s="831"/>
      <c r="AY59" s="831"/>
      <c r="AZ59" s="831"/>
      <c r="BA59" s="831"/>
      <c r="BB59" s="831"/>
      <c r="BC59" s="831"/>
      <c r="BD59" s="831"/>
      <c r="BE59" s="831"/>
      <c r="BF59" s="831"/>
      <c r="BG59" s="831"/>
      <c r="BH59" s="831"/>
      <c r="BI59" s="831"/>
      <c r="BJ59" s="831"/>
      <c r="BK59" s="831"/>
      <c r="BL59" s="831"/>
      <c r="BM59" s="831"/>
      <c r="BN59" s="831"/>
      <c r="BO59" s="831"/>
      <c r="BP59" s="831"/>
      <c r="BQ59" s="831"/>
      <c r="BR59" s="831"/>
      <c r="BS59" s="831"/>
      <c r="BT59" s="831"/>
      <c r="BU59" s="831"/>
      <c r="BV59" s="831"/>
      <c r="BW59" s="831"/>
      <c r="BX59" s="831"/>
      <c r="BY59" s="831"/>
      <c r="BZ59" s="831"/>
      <c r="CA59" s="831"/>
      <c r="CB59" s="831"/>
      <c r="CC59" s="831"/>
      <c r="CD59" s="831"/>
      <c r="CE59" s="831"/>
      <c r="CF59" s="831"/>
      <c r="CG59" s="831"/>
      <c r="CH59" s="831"/>
      <c r="CI59" s="831"/>
      <c r="CJ59" s="831"/>
      <c r="CK59" s="831"/>
      <c r="CL59" s="831"/>
      <c r="CM59" s="831"/>
      <c r="CN59" s="831"/>
      <c r="CO59" s="831"/>
      <c r="CP59" s="831"/>
      <c r="CQ59" s="831"/>
      <c r="CR59" s="831"/>
      <c r="CS59" s="831"/>
      <c r="CT59" s="831"/>
      <c r="CU59" s="831"/>
      <c r="CV59" s="831"/>
      <c r="CW59" s="831"/>
      <c r="CX59" s="831"/>
      <c r="CY59" s="831"/>
      <c r="CZ59" s="831"/>
      <c r="DA59" s="831"/>
      <c r="DB59" s="831"/>
      <c r="DC59" s="831"/>
      <c r="DD59" s="831"/>
      <c r="DE59" s="831"/>
      <c r="DF59" s="831"/>
      <c r="DG59" s="831"/>
      <c r="DH59" s="831"/>
      <c r="DI59" s="831"/>
      <c r="DJ59" s="831"/>
      <c r="DK59" s="831"/>
      <c r="DL59" s="831"/>
      <c r="DM59" s="831"/>
      <c r="DN59" s="831"/>
      <c r="DO59" s="831"/>
      <c r="DP59" s="831"/>
      <c r="DQ59" s="831"/>
      <c r="DR59" s="831"/>
      <c r="DS59" s="831"/>
      <c r="DT59" s="831"/>
      <c r="DU59" s="831"/>
      <c r="DV59" s="831"/>
      <c r="DW59" s="831"/>
      <c r="DX59" s="831"/>
      <c r="DY59" s="831"/>
      <c r="DZ59" s="831"/>
      <c r="EA59" s="831"/>
      <c r="EB59" s="831"/>
      <c r="EC59" s="831"/>
      <c r="ED59" s="831"/>
      <c r="EE59" s="831"/>
      <c r="EF59" s="831"/>
      <c r="EG59" s="831"/>
      <c r="EH59" s="831"/>
      <c r="EI59" s="831"/>
      <c r="EJ59" s="831"/>
      <c r="EK59" s="831"/>
      <c r="EL59" s="831"/>
      <c r="EM59" s="831"/>
      <c r="EN59" s="831"/>
      <c r="EO59" s="831"/>
      <c r="EP59" s="831"/>
      <c r="EQ59" s="831"/>
      <c r="ER59" s="831"/>
      <c r="ES59" s="831"/>
      <c r="ET59" s="831"/>
      <c r="EU59" s="831"/>
      <c r="EV59" s="831"/>
      <c r="EW59" s="831"/>
      <c r="EX59" s="831"/>
      <c r="EY59" s="831"/>
      <c r="EZ59" s="831"/>
      <c r="FA59" s="831"/>
      <c r="FB59" s="831"/>
      <c r="FC59" s="831"/>
      <c r="FD59" s="831"/>
      <c r="FE59" s="831"/>
      <c r="FF59" s="831"/>
      <c r="FG59" s="831"/>
      <c r="FH59" s="831"/>
      <c r="FI59" s="831"/>
      <c r="FJ59" s="831"/>
      <c r="FK59" s="831"/>
      <c r="FL59" s="831"/>
      <c r="FM59" s="831"/>
      <c r="FN59" s="831"/>
      <c r="FO59" s="831"/>
      <c r="FP59" s="831"/>
      <c r="FQ59" s="831"/>
      <c r="FR59" s="831"/>
      <c r="FS59" s="831"/>
      <c r="FT59" s="831"/>
      <c r="FU59" s="831"/>
      <c r="FV59" s="831"/>
      <c r="FW59" s="831"/>
      <c r="FX59" s="831"/>
      <c r="FY59" s="831"/>
      <c r="FZ59" s="831"/>
      <c r="GA59" s="831"/>
      <c r="GB59" s="831"/>
      <c r="GC59" s="831"/>
      <c r="GD59" s="831"/>
      <c r="GE59" s="831"/>
      <c r="GF59" s="831"/>
      <c r="GG59" s="831"/>
      <c r="GH59" s="831"/>
      <c r="GI59" s="831"/>
      <c r="GJ59" s="831"/>
      <c r="GK59" s="831"/>
      <c r="GL59" s="831"/>
      <c r="GM59" s="831"/>
      <c r="GN59" s="831"/>
      <c r="GO59" s="831"/>
      <c r="GP59" s="831"/>
      <c r="GQ59" s="831"/>
      <c r="GR59" s="831"/>
      <c r="GS59" s="831"/>
      <c r="GT59" s="831"/>
      <c r="GU59" s="831"/>
      <c r="GV59" s="831"/>
      <c r="GW59" s="831"/>
      <c r="GX59" s="831"/>
      <c r="GY59" s="831"/>
      <c r="GZ59" s="831"/>
      <c r="HA59" s="831"/>
      <c r="HB59" s="831"/>
      <c r="HC59" s="831"/>
      <c r="HD59" s="831"/>
      <c r="HE59" s="831"/>
      <c r="HF59" s="831"/>
      <c r="HG59" s="831"/>
      <c r="HH59" s="831"/>
      <c r="HI59" s="831"/>
      <c r="HJ59" s="831"/>
      <c r="HK59" s="831"/>
      <c r="HL59" s="831"/>
      <c r="HM59" s="831"/>
      <c r="HN59" s="831"/>
      <c r="HO59" s="831"/>
      <c r="HP59" s="831"/>
      <c r="HQ59" s="831"/>
      <c r="HR59" s="831"/>
      <c r="HS59" s="831"/>
      <c r="HT59" s="831"/>
      <c r="HU59" s="831"/>
      <c r="HV59" s="831"/>
      <c r="HW59" s="831"/>
      <c r="HX59" s="831"/>
      <c r="HY59" s="831"/>
      <c r="HZ59" s="831"/>
      <c r="IA59" s="831"/>
      <c r="IB59" s="831"/>
      <c r="IC59" s="831"/>
      <c r="ID59" s="831"/>
      <c r="IE59" s="831"/>
      <c r="IF59" s="831"/>
      <c r="IG59" s="831"/>
      <c r="IH59" s="831"/>
      <c r="II59" s="831"/>
      <c r="IJ59" s="831"/>
      <c r="IK59" s="831"/>
      <c r="IL59" s="831"/>
      <c r="IM59" s="831"/>
      <c r="IN59" s="831"/>
      <c r="IO59" s="831"/>
      <c r="IP59" s="831"/>
      <c r="IQ59" s="831"/>
    </row>
    <row r="60" spans="1:251" ht="18" customHeight="1" x14ac:dyDescent="0.35">
      <c r="A60" s="821">
        <v>52</v>
      </c>
      <c r="B60" s="827"/>
      <c r="C60" s="159"/>
      <c r="D60" s="996" t="s">
        <v>921</v>
      </c>
      <c r="E60" s="1331"/>
      <c r="F60" s="1332"/>
      <c r="G60" s="1333"/>
      <c r="H60" s="1334"/>
      <c r="I60" s="1009"/>
      <c r="J60" s="986">
        <v>6233</v>
      </c>
      <c r="K60" s="986"/>
      <c r="L60" s="1428">
        <f t="shared" si="0"/>
        <v>6233</v>
      </c>
      <c r="M60" s="1023"/>
      <c r="N60" s="831"/>
      <c r="O60" s="831"/>
      <c r="P60" s="831"/>
      <c r="Q60" s="831"/>
      <c r="R60" s="831"/>
      <c r="S60" s="831"/>
      <c r="T60" s="831"/>
      <c r="U60" s="831"/>
      <c r="V60" s="831"/>
      <c r="W60" s="831"/>
      <c r="X60" s="831"/>
      <c r="Y60" s="831"/>
      <c r="Z60" s="831"/>
      <c r="AA60" s="831"/>
      <c r="AB60" s="831"/>
      <c r="AC60" s="831"/>
      <c r="AD60" s="831"/>
      <c r="AE60" s="831"/>
      <c r="AF60" s="831"/>
      <c r="AG60" s="831"/>
      <c r="AH60" s="831"/>
      <c r="AI60" s="831"/>
      <c r="AJ60" s="831"/>
      <c r="AK60" s="831"/>
      <c r="AL60" s="831"/>
      <c r="AM60" s="831"/>
      <c r="AN60" s="831"/>
      <c r="AO60" s="831"/>
      <c r="AP60" s="831"/>
      <c r="AQ60" s="831"/>
      <c r="AR60" s="831"/>
      <c r="AS60" s="831"/>
      <c r="AT60" s="831"/>
      <c r="AU60" s="831"/>
      <c r="AV60" s="831"/>
      <c r="AW60" s="831"/>
      <c r="AX60" s="831"/>
      <c r="AY60" s="831"/>
      <c r="AZ60" s="831"/>
      <c r="BA60" s="831"/>
      <c r="BB60" s="831"/>
      <c r="BC60" s="831"/>
      <c r="BD60" s="831"/>
      <c r="BE60" s="831"/>
      <c r="BF60" s="831"/>
      <c r="BG60" s="831"/>
      <c r="BH60" s="831"/>
      <c r="BI60" s="831"/>
      <c r="BJ60" s="831"/>
      <c r="BK60" s="831"/>
      <c r="BL60" s="831"/>
      <c r="BM60" s="831"/>
      <c r="BN60" s="831"/>
      <c r="BO60" s="831"/>
      <c r="BP60" s="831"/>
      <c r="BQ60" s="831"/>
      <c r="BR60" s="831"/>
      <c r="BS60" s="831"/>
      <c r="BT60" s="831"/>
      <c r="BU60" s="831"/>
      <c r="BV60" s="831"/>
      <c r="BW60" s="831"/>
      <c r="BX60" s="831"/>
      <c r="BY60" s="831"/>
      <c r="BZ60" s="831"/>
      <c r="CA60" s="831"/>
      <c r="CB60" s="831"/>
      <c r="CC60" s="831"/>
      <c r="CD60" s="831"/>
      <c r="CE60" s="831"/>
      <c r="CF60" s="831"/>
      <c r="CG60" s="831"/>
      <c r="CH60" s="831"/>
      <c r="CI60" s="831"/>
      <c r="CJ60" s="831"/>
      <c r="CK60" s="831"/>
      <c r="CL60" s="831"/>
      <c r="CM60" s="831"/>
      <c r="CN60" s="831"/>
      <c r="CO60" s="831"/>
      <c r="CP60" s="831"/>
      <c r="CQ60" s="831"/>
      <c r="CR60" s="831"/>
      <c r="CS60" s="831"/>
      <c r="CT60" s="831"/>
      <c r="CU60" s="831"/>
      <c r="CV60" s="831"/>
      <c r="CW60" s="831"/>
      <c r="CX60" s="831"/>
      <c r="CY60" s="831"/>
      <c r="CZ60" s="831"/>
      <c r="DA60" s="831"/>
      <c r="DB60" s="831"/>
      <c r="DC60" s="831"/>
      <c r="DD60" s="831"/>
      <c r="DE60" s="831"/>
      <c r="DF60" s="831"/>
      <c r="DG60" s="831"/>
      <c r="DH60" s="831"/>
      <c r="DI60" s="831"/>
      <c r="DJ60" s="831"/>
      <c r="DK60" s="831"/>
      <c r="DL60" s="831"/>
      <c r="DM60" s="831"/>
      <c r="DN60" s="831"/>
      <c r="DO60" s="831"/>
      <c r="DP60" s="831"/>
      <c r="DQ60" s="831"/>
      <c r="DR60" s="831"/>
      <c r="DS60" s="831"/>
      <c r="DT60" s="831"/>
      <c r="DU60" s="831"/>
      <c r="DV60" s="831"/>
      <c r="DW60" s="831"/>
      <c r="DX60" s="831"/>
      <c r="DY60" s="831"/>
      <c r="DZ60" s="831"/>
      <c r="EA60" s="831"/>
      <c r="EB60" s="831"/>
      <c r="EC60" s="831"/>
      <c r="ED60" s="831"/>
      <c r="EE60" s="831"/>
      <c r="EF60" s="831"/>
      <c r="EG60" s="831"/>
      <c r="EH60" s="831"/>
      <c r="EI60" s="831"/>
      <c r="EJ60" s="831"/>
      <c r="EK60" s="831"/>
      <c r="EL60" s="831"/>
      <c r="EM60" s="831"/>
      <c r="EN60" s="831"/>
      <c r="EO60" s="831"/>
      <c r="EP60" s="831"/>
      <c r="EQ60" s="831"/>
      <c r="ER60" s="831"/>
      <c r="ES60" s="831"/>
      <c r="ET60" s="831"/>
      <c r="EU60" s="831"/>
      <c r="EV60" s="831"/>
      <c r="EW60" s="831"/>
      <c r="EX60" s="831"/>
      <c r="EY60" s="831"/>
      <c r="EZ60" s="831"/>
      <c r="FA60" s="831"/>
      <c r="FB60" s="831"/>
      <c r="FC60" s="831"/>
      <c r="FD60" s="831"/>
      <c r="FE60" s="831"/>
      <c r="FF60" s="831"/>
      <c r="FG60" s="831"/>
      <c r="FH60" s="831"/>
      <c r="FI60" s="831"/>
      <c r="FJ60" s="831"/>
      <c r="FK60" s="831"/>
      <c r="FL60" s="831"/>
      <c r="FM60" s="831"/>
      <c r="FN60" s="831"/>
      <c r="FO60" s="831"/>
      <c r="FP60" s="831"/>
      <c r="FQ60" s="831"/>
      <c r="FR60" s="831"/>
      <c r="FS60" s="831"/>
      <c r="FT60" s="831"/>
      <c r="FU60" s="831"/>
      <c r="FV60" s="831"/>
      <c r="FW60" s="831"/>
      <c r="FX60" s="831"/>
      <c r="FY60" s="831"/>
      <c r="FZ60" s="831"/>
      <c r="GA60" s="831"/>
      <c r="GB60" s="831"/>
      <c r="GC60" s="831"/>
      <c r="GD60" s="831"/>
      <c r="GE60" s="831"/>
      <c r="GF60" s="831"/>
      <c r="GG60" s="831"/>
      <c r="GH60" s="831"/>
      <c r="GI60" s="831"/>
      <c r="GJ60" s="831"/>
      <c r="GK60" s="831"/>
      <c r="GL60" s="831"/>
      <c r="GM60" s="831"/>
      <c r="GN60" s="831"/>
      <c r="GO60" s="831"/>
      <c r="GP60" s="831"/>
      <c r="GQ60" s="831"/>
      <c r="GR60" s="831"/>
      <c r="GS60" s="831"/>
      <c r="GT60" s="831"/>
      <c r="GU60" s="831"/>
      <c r="GV60" s="831"/>
      <c r="GW60" s="831"/>
      <c r="GX60" s="831"/>
      <c r="GY60" s="831"/>
      <c r="GZ60" s="831"/>
      <c r="HA60" s="831"/>
      <c r="HB60" s="831"/>
      <c r="HC60" s="831"/>
      <c r="HD60" s="831"/>
      <c r="HE60" s="831"/>
      <c r="HF60" s="831"/>
      <c r="HG60" s="831"/>
      <c r="HH60" s="831"/>
      <c r="HI60" s="831"/>
      <c r="HJ60" s="831"/>
      <c r="HK60" s="831"/>
      <c r="HL60" s="831"/>
      <c r="HM60" s="831"/>
      <c r="HN60" s="831"/>
      <c r="HO60" s="831"/>
      <c r="HP60" s="831"/>
      <c r="HQ60" s="831"/>
      <c r="HR60" s="831"/>
      <c r="HS60" s="831"/>
      <c r="HT60" s="831"/>
      <c r="HU60" s="831"/>
      <c r="HV60" s="831"/>
      <c r="HW60" s="831"/>
      <c r="HX60" s="831"/>
      <c r="HY60" s="831"/>
      <c r="HZ60" s="831"/>
      <c r="IA60" s="831"/>
      <c r="IB60" s="831"/>
      <c r="IC60" s="831"/>
      <c r="ID60" s="831"/>
      <c r="IE60" s="831"/>
      <c r="IF60" s="831"/>
      <c r="IG60" s="831"/>
      <c r="IH60" s="831"/>
      <c r="II60" s="831"/>
      <c r="IJ60" s="831"/>
      <c r="IK60" s="831"/>
      <c r="IL60" s="831"/>
      <c r="IM60" s="831"/>
      <c r="IN60" s="831"/>
      <c r="IO60" s="831"/>
      <c r="IP60" s="831"/>
      <c r="IQ60" s="831"/>
    </row>
    <row r="61" spans="1:251" ht="18" customHeight="1" x14ac:dyDescent="0.35">
      <c r="A61" s="821">
        <v>53</v>
      </c>
      <c r="B61" s="827"/>
      <c r="C61" s="159"/>
      <c r="D61" s="994" t="s">
        <v>973</v>
      </c>
      <c r="E61" s="1032"/>
      <c r="F61" s="1338"/>
      <c r="G61" s="1339"/>
      <c r="H61" s="1340"/>
      <c r="I61" s="1192"/>
      <c r="J61" s="949">
        <v>0</v>
      </c>
      <c r="K61" s="949"/>
      <c r="L61" s="922">
        <f>SUM(F61:K61)</f>
        <v>0</v>
      </c>
      <c r="M61" s="1023"/>
      <c r="N61" s="831"/>
      <c r="O61" s="831"/>
      <c r="P61" s="831"/>
      <c r="Q61" s="831"/>
      <c r="R61" s="831"/>
      <c r="S61" s="831"/>
      <c r="T61" s="831"/>
      <c r="U61" s="831"/>
      <c r="V61" s="831"/>
      <c r="W61" s="831"/>
      <c r="X61" s="831"/>
      <c r="Y61" s="831"/>
      <c r="Z61" s="831"/>
      <c r="AA61" s="831"/>
      <c r="AB61" s="831"/>
      <c r="AC61" s="831"/>
      <c r="AD61" s="831"/>
      <c r="AE61" s="831"/>
      <c r="AF61" s="831"/>
      <c r="AG61" s="831"/>
      <c r="AH61" s="831"/>
      <c r="AI61" s="831"/>
      <c r="AJ61" s="831"/>
      <c r="AK61" s="831"/>
      <c r="AL61" s="831"/>
      <c r="AM61" s="831"/>
      <c r="AN61" s="831"/>
      <c r="AO61" s="831"/>
      <c r="AP61" s="831"/>
      <c r="AQ61" s="831"/>
      <c r="AR61" s="831"/>
      <c r="AS61" s="831"/>
      <c r="AT61" s="831"/>
      <c r="AU61" s="831"/>
      <c r="AV61" s="831"/>
      <c r="AW61" s="831"/>
      <c r="AX61" s="831"/>
      <c r="AY61" s="831"/>
      <c r="AZ61" s="831"/>
      <c r="BA61" s="831"/>
      <c r="BB61" s="831"/>
      <c r="BC61" s="831"/>
      <c r="BD61" s="831"/>
      <c r="BE61" s="831"/>
      <c r="BF61" s="831"/>
      <c r="BG61" s="831"/>
      <c r="BH61" s="831"/>
      <c r="BI61" s="831"/>
      <c r="BJ61" s="831"/>
      <c r="BK61" s="831"/>
      <c r="BL61" s="831"/>
      <c r="BM61" s="831"/>
      <c r="BN61" s="831"/>
      <c r="BO61" s="831"/>
      <c r="BP61" s="831"/>
      <c r="BQ61" s="831"/>
      <c r="BR61" s="831"/>
      <c r="BS61" s="831"/>
      <c r="BT61" s="831"/>
      <c r="BU61" s="831"/>
      <c r="BV61" s="831"/>
      <c r="BW61" s="831"/>
      <c r="BX61" s="831"/>
      <c r="BY61" s="831"/>
      <c r="BZ61" s="831"/>
      <c r="CA61" s="831"/>
      <c r="CB61" s="831"/>
      <c r="CC61" s="831"/>
      <c r="CD61" s="831"/>
      <c r="CE61" s="831"/>
      <c r="CF61" s="831"/>
      <c r="CG61" s="831"/>
      <c r="CH61" s="831"/>
      <c r="CI61" s="831"/>
      <c r="CJ61" s="831"/>
      <c r="CK61" s="831"/>
      <c r="CL61" s="831"/>
      <c r="CM61" s="831"/>
      <c r="CN61" s="831"/>
      <c r="CO61" s="831"/>
      <c r="CP61" s="831"/>
      <c r="CQ61" s="831"/>
      <c r="CR61" s="831"/>
      <c r="CS61" s="831"/>
      <c r="CT61" s="831"/>
      <c r="CU61" s="831"/>
      <c r="CV61" s="831"/>
      <c r="CW61" s="831"/>
      <c r="CX61" s="831"/>
      <c r="CY61" s="831"/>
      <c r="CZ61" s="831"/>
      <c r="DA61" s="831"/>
      <c r="DB61" s="831"/>
      <c r="DC61" s="831"/>
      <c r="DD61" s="831"/>
      <c r="DE61" s="831"/>
      <c r="DF61" s="831"/>
      <c r="DG61" s="831"/>
      <c r="DH61" s="831"/>
      <c r="DI61" s="831"/>
      <c r="DJ61" s="831"/>
      <c r="DK61" s="831"/>
      <c r="DL61" s="831"/>
      <c r="DM61" s="831"/>
      <c r="DN61" s="831"/>
      <c r="DO61" s="831"/>
      <c r="DP61" s="831"/>
      <c r="DQ61" s="831"/>
      <c r="DR61" s="831"/>
      <c r="DS61" s="831"/>
      <c r="DT61" s="831"/>
      <c r="DU61" s="831"/>
      <c r="DV61" s="831"/>
      <c r="DW61" s="831"/>
      <c r="DX61" s="831"/>
      <c r="DY61" s="831"/>
      <c r="DZ61" s="831"/>
      <c r="EA61" s="831"/>
      <c r="EB61" s="831"/>
      <c r="EC61" s="831"/>
      <c r="ED61" s="831"/>
      <c r="EE61" s="831"/>
      <c r="EF61" s="831"/>
      <c r="EG61" s="831"/>
      <c r="EH61" s="831"/>
      <c r="EI61" s="831"/>
      <c r="EJ61" s="831"/>
      <c r="EK61" s="831"/>
      <c r="EL61" s="831"/>
      <c r="EM61" s="831"/>
      <c r="EN61" s="831"/>
      <c r="EO61" s="831"/>
      <c r="EP61" s="831"/>
      <c r="EQ61" s="831"/>
      <c r="ER61" s="831"/>
      <c r="ES61" s="831"/>
      <c r="ET61" s="831"/>
      <c r="EU61" s="831"/>
      <c r="EV61" s="831"/>
      <c r="EW61" s="831"/>
      <c r="EX61" s="831"/>
      <c r="EY61" s="831"/>
      <c r="EZ61" s="831"/>
      <c r="FA61" s="831"/>
      <c r="FB61" s="831"/>
      <c r="FC61" s="831"/>
      <c r="FD61" s="831"/>
      <c r="FE61" s="831"/>
      <c r="FF61" s="831"/>
      <c r="FG61" s="831"/>
      <c r="FH61" s="831"/>
      <c r="FI61" s="831"/>
      <c r="FJ61" s="831"/>
      <c r="FK61" s="831"/>
      <c r="FL61" s="831"/>
      <c r="FM61" s="831"/>
      <c r="FN61" s="831"/>
      <c r="FO61" s="831"/>
      <c r="FP61" s="831"/>
      <c r="FQ61" s="831"/>
      <c r="FR61" s="831"/>
      <c r="FS61" s="831"/>
      <c r="FT61" s="831"/>
      <c r="FU61" s="831"/>
      <c r="FV61" s="831"/>
      <c r="FW61" s="831"/>
      <c r="FX61" s="831"/>
      <c r="FY61" s="831"/>
      <c r="FZ61" s="831"/>
      <c r="GA61" s="831"/>
      <c r="GB61" s="831"/>
      <c r="GC61" s="831"/>
      <c r="GD61" s="831"/>
      <c r="GE61" s="831"/>
      <c r="GF61" s="831"/>
      <c r="GG61" s="831"/>
      <c r="GH61" s="831"/>
      <c r="GI61" s="831"/>
      <c r="GJ61" s="831"/>
      <c r="GK61" s="831"/>
      <c r="GL61" s="831"/>
      <c r="GM61" s="831"/>
      <c r="GN61" s="831"/>
      <c r="GO61" s="831"/>
      <c r="GP61" s="831"/>
      <c r="GQ61" s="831"/>
      <c r="GR61" s="831"/>
      <c r="GS61" s="831"/>
      <c r="GT61" s="831"/>
      <c r="GU61" s="831"/>
      <c r="GV61" s="831"/>
      <c r="GW61" s="831"/>
      <c r="GX61" s="831"/>
      <c r="GY61" s="831"/>
      <c r="GZ61" s="831"/>
      <c r="HA61" s="831"/>
      <c r="HB61" s="831"/>
      <c r="HC61" s="831"/>
      <c r="HD61" s="831"/>
      <c r="HE61" s="831"/>
      <c r="HF61" s="831"/>
      <c r="HG61" s="831"/>
      <c r="HH61" s="831"/>
      <c r="HI61" s="831"/>
      <c r="HJ61" s="831"/>
      <c r="HK61" s="831"/>
      <c r="HL61" s="831"/>
      <c r="HM61" s="831"/>
      <c r="HN61" s="831"/>
      <c r="HO61" s="831"/>
      <c r="HP61" s="831"/>
      <c r="HQ61" s="831"/>
      <c r="HR61" s="831"/>
      <c r="HS61" s="831"/>
      <c r="HT61" s="831"/>
      <c r="HU61" s="831"/>
      <c r="HV61" s="831"/>
      <c r="HW61" s="831"/>
      <c r="HX61" s="831"/>
      <c r="HY61" s="831"/>
      <c r="HZ61" s="831"/>
      <c r="IA61" s="831"/>
      <c r="IB61" s="831"/>
      <c r="IC61" s="831"/>
      <c r="ID61" s="831"/>
      <c r="IE61" s="831"/>
      <c r="IF61" s="831"/>
      <c r="IG61" s="831"/>
      <c r="IH61" s="831"/>
      <c r="II61" s="831"/>
      <c r="IJ61" s="831"/>
      <c r="IK61" s="831"/>
      <c r="IL61" s="831"/>
      <c r="IM61" s="831"/>
      <c r="IN61" s="831"/>
      <c r="IO61" s="831"/>
      <c r="IP61" s="831"/>
      <c r="IQ61" s="831"/>
    </row>
    <row r="62" spans="1:251" ht="22.15" customHeight="1" x14ac:dyDescent="0.3">
      <c r="A62" s="821">
        <v>54</v>
      </c>
      <c r="B62" s="827"/>
      <c r="C62" s="159">
        <v>31</v>
      </c>
      <c r="D62" s="144" t="s">
        <v>791</v>
      </c>
      <c r="E62" s="1019">
        <f>F62+G62+L64+M63</f>
        <v>5000</v>
      </c>
      <c r="F62" s="1324"/>
      <c r="G62" s="1325">
        <v>3359</v>
      </c>
      <c r="H62" s="1326" t="s">
        <v>24</v>
      </c>
      <c r="I62" s="1018"/>
      <c r="J62" s="1019"/>
      <c r="K62" s="1019"/>
      <c r="L62" s="985"/>
      <c r="M62" s="1023"/>
    </row>
    <row r="63" spans="1:251" ht="18" customHeight="1" x14ac:dyDescent="0.35">
      <c r="A63" s="821">
        <v>55</v>
      </c>
      <c r="B63" s="827"/>
      <c r="C63" s="159"/>
      <c r="D63" s="997" t="s">
        <v>252</v>
      </c>
      <c r="E63" s="1331"/>
      <c r="F63" s="1332"/>
      <c r="G63" s="1333"/>
      <c r="H63" s="1334"/>
      <c r="I63" s="1335"/>
      <c r="J63" s="1336">
        <v>1641</v>
      </c>
      <c r="K63" s="1336"/>
      <c r="L63" s="1337">
        <f t="shared" ref="L63:L308" si="2">SUM(I63:K63)</f>
        <v>1641</v>
      </c>
      <c r="M63" s="1023"/>
    </row>
    <row r="64" spans="1:251" ht="18" customHeight="1" x14ac:dyDescent="0.35">
      <c r="A64" s="821">
        <v>56</v>
      </c>
      <c r="B64" s="827"/>
      <c r="C64" s="159"/>
      <c r="D64" s="996" t="s">
        <v>921</v>
      </c>
      <c r="E64" s="1331"/>
      <c r="F64" s="1332"/>
      <c r="G64" s="1333"/>
      <c r="H64" s="1334"/>
      <c r="I64" s="1009"/>
      <c r="J64" s="986">
        <v>1641</v>
      </c>
      <c r="K64" s="986"/>
      <c r="L64" s="1428">
        <f t="shared" si="2"/>
        <v>1641</v>
      </c>
      <c r="M64" s="1023"/>
    </row>
    <row r="65" spans="1:13" ht="18" customHeight="1" x14ac:dyDescent="0.35">
      <c r="A65" s="821">
        <v>57</v>
      </c>
      <c r="B65" s="827"/>
      <c r="C65" s="159"/>
      <c r="D65" s="994" t="s">
        <v>973</v>
      </c>
      <c r="E65" s="1032"/>
      <c r="F65" s="1338"/>
      <c r="G65" s="1339"/>
      <c r="H65" s="1340"/>
      <c r="I65" s="1192"/>
      <c r="J65" s="949">
        <v>0</v>
      </c>
      <c r="K65" s="949"/>
      <c r="L65" s="922">
        <f>SUM(F65:K65)</f>
        <v>0</v>
      </c>
      <c r="M65" s="1023"/>
    </row>
    <row r="66" spans="1:13" ht="22.15" customHeight="1" x14ac:dyDescent="0.35">
      <c r="A66" s="821">
        <v>58</v>
      </c>
      <c r="B66" s="827"/>
      <c r="C66" s="159">
        <v>37</v>
      </c>
      <c r="D66" s="833" t="s">
        <v>479</v>
      </c>
      <c r="E66" s="1019">
        <f>F66+G66+L68+M67</f>
        <v>13271</v>
      </c>
      <c r="F66" s="1324"/>
      <c r="G66" s="1325">
        <v>850</v>
      </c>
      <c r="H66" s="1326" t="s">
        <v>24</v>
      </c>
      <c r="I66" s="1019"/>
      <c r="J66" s="1019"/>
      <c r="K66" s="1019"/>
      <c r="L66" s="987"/>
      <c r="M66" s="1023"/>
    </row>
    <row r="67" spans="1:13" ht="18" customHeight="1" x14ac:dyDescent="0.35">
      <c r="A67" s="821">
        <v>59</v>
      </c>
      <c r="B67" s="827"/>
      <c r="C67" s="159"/>
      <c r="D67" s="1681" t="s">
        <v>252</v>
      </c>
      <c r="E67" s="1019"/>
      <c r="F67" s="1324"/>
      <c r="G67" s="1325"/>
      <c r="H67" s="1326"/>
      <c r="I67" s="1019"/>
      <c r="J67" s="1020">
        <f>J75+J79+J83+J87+J91+J95+J99+J103+J107+J71</f>
        <v>5188</v>
      </c>
      <c r="K67" s="1020">
        <f>K75+K79+K83+K87+K91+K95+K99+K103+K107+K71</f>
        <v>150</v>
      </c>
      <c r="L67" s="1021">
        <f t="shared" si="2"/>
        <v>5338</v>
      </c>
      <c r="M67" s="1023"/>
    </row>
    <row r="68" spans="1:13" ht="18" customHeight="1" x14ac:dyDescent="0.35">
      <c r="A68" s="821">
        <v>60</v>
      </c>
      <c r="B68" s="827"/>
      <c r="C68" s="159"/>
      <c r="D68" s="996" t="s">
        <v>921</v>
      </c>
      <c r="E68" s="1019"/>
      <c r="F68" s="1324"/>
      <c r="G68" s="1325"/>
      <c r="H68" s="1326"/>
      <c r="I68" s="1019"/>
      <c r="J68" s="1020">
        <f>J76+J80+J84+J88+J92+J96+J100+J104+J108+J72+J111+J114+J117+J120+J123+J126+J129+J132+J135+J138+J141+J144+J147+J150+J153+J156</f>
        <v>11621</v>
      </c>
      <c r="K68" s="1020">
        <f>K76+K80+K84+K88+K92+K96+K100+K104+K108+K72+K111+K114+K117+K120+K123+K126+K129+K132+K135+K138+K141+K144+K147+K150+K153+K156</f>
        <v>800</v>
      </c>
      <c r="L68" s="1021">
        <f t="shared" si="2"/>
        <v>12421</v>
      </c>
      <c r="M68" s="1023"/>
    </row>
    <row r="69" spans="1:13" ht="18" customHeight="1" x14ac:dyDescent="0.35">
      <c r="A69" s="821">
        <v>61</v>
      </c>
      <c r="B69" s="827"/>
      <c r="C69" s="159"/>
      <c r="D69" s="994" t="s">
        <v>973</v>
      </c>
      <c r="E69" s="1019"/>
      <c r="F69" s="1324"/>
      <c r="G69" s="1325"/>
      <c r="H69" s="1326"/>
      <c r="I69" s="1032"/>
      <c r="J69" s="1032">
        <f>J73+J77+J81+J85+J89+J93+J97+J101+J105+J109+J121+J124+J127+J154+J157+J151+J130+J133+J136+J139+J142+J145+J148+J112+J115+J118</f>
        <v>0</v>
      </c>
      <c r="K69" s="1032">
        <f>K73+K77+K81+K85+K89+K93+K97+K101+K105+K109+K121+K124+K127+K154+K157+K151+K130+K133+K136+K139+K142+K145+K148+K112+K115+K118</f>
        <v>0</v>
      </c>
      <c r="L69" s="922">
        <f>SUM(F69:K69)</f>
        <v>0</v>
      </c>
      <c r="M69" s="1023"/>
    </row>
    <row r="70" spans="1:13" ht="33.75" customHeight="1" x14ac:dyDescent="0.3">
      <c r="A70" s="821">
        <v>62</v>
      </c>
      <c r="B70" s="827"/>
      <c r="C70" s="159"/>
      <c r="D70" s="155" t="s">
        <v>724</v>
      </c>
      <c r="E70" s="837">
        <f>F70+G70+L72</f>
        <v>150</v>
      </c>
      <c r="F70" s="829"/>
      <c r="G70" s="834"/>
      <c r="H70" s="835"/>
      <c r="I70" s="828"/>
      <c r="J70" s="838"/>
      <c r="K70" s="838"/>
      <c r="L70" s="1369"/>
      <c r="M70" s="832"/>
    </row>
    <row r="71" spans="1:13" ht="18" customHeight="1" x14ac:dyDescent="0.3">
      <c r="A71" s="821">
        <v>63</v>
      </c>
      <c r="B71" s="827"/>
      <c r="C71" s="159"/>
      <c r="D71" s="327" t="s">
        <v>252</v>
      </c>
      <c r="E71" s="1370"/>
      <c r="F71" s="1371"/>
      <c r="G71" s="1372"/>
      <c r="H71" s="1373"/>
      <c r="I71" s="1370"/>
      <c r="J71" s="1370"/>
      <c r="K71" s="1374">
        <v>150</v>
      </c>
      <c r="L71" s="1375">
        <f t="shared" si="2"/>
        <v>150</v>
      </c>
      <c r="M71" s="832"/>
    </row>
    <row r="72" spans="1:13" ht="18" customHeight="1" x14ac:dyDescent="0.3">
      <c r="A72" s="821">
        <v>64</v>
      </c>
      <c r="B72" s="827"/>
      <c r="C72" s="159"/>
      <c r="D72" s="1376" t="s">
        <v>921</v>
      </c>
      <c r="E72" s="1370"/>
      <c r="F72" s="1371"/>
      <c r="G72" s="1372"/>
      <c r="H72" s="1373"/>
      <c r="I72" s="1370"/>
      <c r="J72" s="1370"/>
      <c r="K72" s="1378">
        <v>150</v>
      </c>
      <c r="L72" s="1375">
        <f t="shared" si="2"/>
        <v>150</v>
      </c>
      <c r="M72" s="832"/>
    </row>
    <row r="73" spans="1:13" ht="18" customHeight="1" x14ac:dyDescent="0.3">
      <c r="A73" s="821">
        <v>65</v>
      </c>
      <c r="B73" s="827"/>
      <c r="C73" s="159"/>
      <c r="D73" s="1022" t="s">
        <v>973</v>
      </c>
      <c r="E73" s="828"/>
      <c r="F73" s="829"/>
      <c r="G73" s="834"/>
      <c r="H73" s="835"/>
      <c r="I73" s="828"/>
      <c r="J73" s="838"/>
      <c r="K73" s="837">
        <v>0</v>
      </c>
      <c r="L73" s="1007">
        <f>SUM(F73:K73)</f>
        <v>0</v>
      </c>
      <c r="M73" s="832"/>
    </row>
    <row r="74" spans="1:13" ht="22.15" customHeight="1" x14ac:dyDescent="0.3">
      <c r="A74" s="821">
        <v>66</v>
      </c>
      <c r="B74" s="827"/>
      <c r="C74" s="159"/>
      <c r="D74" s="155" t="s">
        <v>838</v>
      </c>
      <c r="E74" s="837">
        <f>F74+G74+L76</f>
        <v>740</v>
      </c>
      <c r="F74" s="829"/>
      <c r="G74" s="834"/>
      <c r="H74" s="835"/>
      <c r="I74" s="828"/>
      <c r="J74" s="828"/>
      <c r="K74" s="828"/>
      <c r="L74" s="836"/>
      <c r="M74" s="832"/>
    </row>
    <row r="75" spans="1:13" ht="18" customHeight="1" x14ac:dyDescent="0.3">
      <c r="A75" s="821">
        <v>67</v>
      </c>
      <c r="B75" s="827"/>
      <c r="C75" s="159"/>
      <c r="D75" s="327" t="s">
        <v>252</v>
      </c>
      <c r="E75" s="1370"/>
      <c r="F75" s="1371"/>
      <c r="G75" s="1372"/>
      <c r="H75" s="1373"/>
      <c r="I75" s="1370"/>
      <c r="J75" s="1370">
        <v>740</v>
      </c>
      <c r="K75" s="1374"/>
      <c r="L75" s="1375">
        <f t="shared" si="2"/>
        <v>740</v>
      </c>
      <c r="M75" s="832"/>
    </row>
    <row r="76" spans="1:13" ht="18" customHeight="1" x14ac:dyDescent="0.3">
      <c r="A76" s="821">
        <v>68</v>
      </c>
      <c r="B76" s="827"/>
      <c r="C76" s="159"/>
      <c r="D76" s="1376" t="s">
        <v>921</v>
      </c>
      <c r="E76" s="1370"/>
      <c r="F76" s="1371"/>
      <c r="G76" s="1372"/>
      <c r="H76" s="1373"/>
      <c r="I76" s="1377"/>
      <c r="J76" s="1377">
        <v>740</v>
      </c>
      <c r="K76" s="1378"/>
      <c r="L76" s="1429">
        <f t="shared" si="2"/>
        <v>740</v>
      </c>
      <c r="M76" s="832"/>
    </row>
    <row r="77" spans="1:13" ht="18" customHeight="1" x14ac:dyDescent="0.3">
      <c r="A77" s="821">
        <v>69</v>
      </c>
      <c r="B77" s="827"/>
      <c r="C77" s="159"/>
      <c r="D77" s="1022" t="s">
        <v>973</v>
      </c>
      <c r="E77" s="828"/>
      <c r="F77" s="829"/>
      <c r="G77" s="834"/>
      <c r="H77" s="835"/>
      <c r="I77" s="828"/>
      <c r="J77" s="837">
        <v>0</v>
      </c>
      <c r="K77" s="837"/>
      <c r="L77" s="1007">
        <f>SUM(F77:K77)</f>
        <v>0</v>
      </c>
      <c r="M77" s="832"/>
    </row>
    <row r="78" spans="1:13" ht="32.25" customHeight="1" x14ac:dyDescent="0.3">
      <c r="A78" s="821">
        <v>70</v>
      </c>
      <c r="B78" s="827"/>
      <c r="C78" s="159"/>
      <c r="D78" s="155" t="s">
        <v>839</v>
      </c>
      <c r="E78" s="837">
        <f>F78+G78+L80</f>
        <v>272</v>
      </c>
      <c r="F78" s="829"/>
      <c r="G78" s="834"/>
      <c r="H78" s="835"/>
      <c r="I78" s="828"/>
      <c r="J78" s="837"/>
      <c r="K78" s="837"/>
      <c r="L78" s="839"/>
      <c r="M78" s="832"/>
    </row>
    <row r="79" spans="1:13" ht="18" customHeight="1" x14ac:dyDescent="0.3">
      <c r="A79" s="821">
        <v>71</v>
      </c>
      <c r="B79" s="827"/>
      <c r="C79" s="159"/>
      <c r="D79" s="327" t="s">
        <v>252</v>
      </c>
      <c r="E79" s="1370"/>
      <c r="F79" s="1371"/>
      <c r="G79" s="1372"/>
      <c r="H79" s="1373"/>
      <c r="I79" s="1370"/>
      <c r="J79" s="1370">
        <v>272</v>
      </c>
      <c r="K79" s="1374"/>
      <c r="L79" s="1375">
        <f t="shared" si="2"/>
        <v>272</v>
      </c>
      <c r="M79" s="832"/>
    </row>
    <row r="80" spans="1:13" ht="18" customHeight="1" x14ac:dyDescent="0.3">
      <c r="A80" s="821">
        <v>72</v>
      </c>
      <c r="B80" s="827"/>
      <c r="C80" s="159"/>
      <c r="D80" s="1376" t="s">
        <v>921</v>
      </c>
      <c r="E80" s="1370"/>
      <c r="F80" s="1371"/>
      <c r="G80" s="1372"/>
      <c r="H80" s="1373"/>
      <c r="I80" s="1377"/>
      <c r="J80" s="1377">
        <v>272</v>
      </c>
      <c r="K80" s="1378"/>
      <c r="L80" s="1429">
        <f t="shared" si="2"/>
        <v>272</v>
      </c>
      <c r="M80" s="832"/>
    </row>
    <row r="81" spans="1:13" ht="18" customHeight="1" x14ac:dyDescent="0.3">
      <c r="A81" s="821">
        <v>73</v>
      </c>
      <c r="B81" s="827"/>
      <c r="C81" s="159"/>
      <c r="D81" s="1022" t="s">
        <v>973</v>
      </c>
      <c r="E81" s="828"/>
      <c r="F81" s="829"/>
      <c r="G81" s="834"/>
      <c r="H81" s="835"/>
      <c r="I81" s="828"/>
      <c r="J81" s="837">
        <v>0</v>
      </c>
      <c r="K81" s="837"/>
      <c r="L81" s="1007">
        <f>SUM(F81:K81)</f>
        <v>0</v>
      </c>
      <c r="M81" s="832"/>
    </row>
    <row r="82" spans="1:13" ht="20.100000000000001" customHeight="1" x14ac:dyDescent="0.3">
      <c r="A82" s="821">
        <v>74</v>
      </c>
      <c r="B82" s="827"/>
      <c r="C82" s="159"/>
      <c r="D82" s="155" t="s">
        <v>840</v>
      </c>
      <c r="E82" s="837">
        <f>F82+G82+L84</f>
        <v>660</v>
      </c>
      <c r="F82" s="829"/>
      <c r="G82" s="834"/>
      <c r="H82" s="835"/>
      <c r="I82" s="828"/>
      <c r="J82" s="837"/>
      <c r="K82" s="837"/>
      <c r="L82" s="839"/>
      <c r="M82" s="832"/>
    </row>
    <row r="83" spans="1:13" ht="18" customHeight="1" x14ac:dyDescent="0.3">
      <c r="A83" s="821">
        <v>75</v>
      </c>
      <c r="B83" s="827"/>
      <c r="C83" s="159"/>
      <c r="D83" s="327" t="s">
        <v>252</v>
      </c>
      <c r="E83" s="1370"/>
      <c r="F83" s="1371"/>
      <c r="G83" s="1372"/>
      <c r="H83" s="1373"/>
      <c r="I83" s="1370"/>
      <c r="J83" s="1370">
        <v>550</v>
      </c>
      <c r="K83" s="1374"/>
      <c r="L83" s="1375">
        <f t="shared" si="2"/>
        <v>550</v>
      </c>
      <c r="M83" s="832"/>
    </row>
    <row r="84" spans="1:13" ht="18" customHeight="1" x14ac:dyDescent="0.3">
      <c r="A84" s="821">
        <v>76</v>
      </c>
      <c r="B84" s="827"/>
      <c r="C84" s="159"/>
      <c r="D84" s="1376" t="s">
        <v>921</v>
      </c>
      <c r="E84" s="1370"/>
      <c r="F84" s="1371"/>
      <c r="G84" s="1372"/>
      <c r="H84" s="1373"/>
      <c r="I84" s="1370"/>
      <c r="J84" s="1378">
        <v>660</v>
      </c>
      <c r="K84" s="1374"/>
      <c r="L84" s="1429">
        <f t="shared" si="2"/>
        <v>660</v>
      </c>
      <c r="M84" s="832"/>
    </row>
    <row r="85" spans="1:13" ht="18" customHeight="1" x14ac:dyDescent="0.3">
      <c r="A85" s="821">
        <v>77</v>
      </c>
      <c r="B85" s="827"/>
      <c r="C85" s="159"/>
      <c r="D85" s="1022" t="s">
        <v>973</v>
      </c>
      <c r="E85" s="828"/>
      <c r="F85" s="829"/>
      <c r="G85" s="834"/>
      <c r="H85" s="835"/>
      <c r="I85" s="828"/>
      <c r="J85" s="837">
        <v>0</v>
      </c>
      <c r="K85" s="837"/>
      <c r="L85" s="1007">
        <f>SUM(F85:K85)</f>
        <v>0</v>
      </c>
      <c r="M85" s="832"/>
    </row>
    <row r="86" spans="1:13" ht="20.100000000000001" customHeight="1" x14ac:dyDescent="0.3">
      <c r="A86" s="821">
        <v>78</v>
      </c>
      <c r="B86" s="827"/>
      <c r="C86" s="159"/>
      <c r="D86" s="155" t="s">
        <v>841</v>
      </c>
      <c r="E86" s="837">
        <f>F86+G86+L88</f>
        <v>0</v>
      </c>
      <c r="F86" s="829"/>
      <c r="G86" s="834"/>
      <c r="H86" s="835"/>
      <c r="I86" s="828"/>
      <c r="J86" s="837"/>
      <c r="K86" s="837"/>
      <c r="L86" s="839"/>
      <c r="M86" s="832"/>
    </row>
    <row r="87" spans="1:13" ht="18" customHeight="1" x14ac:dyDescent="0.3">
      <c r="A87" s="821">
        <v>79</v>
      </c>
      <c r="B87" s="827"/>
      <c r="C87" s="159"/>
      <c r="D87" s="327" t="s">
        <v>252</v>
      </c>
      <c r="E87" s="1370"/>
      <c r="F87" s="1371"/>
      <c r="G87" s="1372"/>
      <c r="H87" s="1373"/>
      <c r="I87" s="1370"/>
      <c r="J87" s="1374">
        <v>600</v>
      </c>
      <c r="K87" s="1374"/>
      <c r="L87" s="1375">
        <f t="shared" si="2"/>
        <v>600</v>
      </c>
      <c r="M87" s="832"/>
    </row>
    <row r="88" spans="1:13" ht="18" customHeight="1" x14ac:dyDescent="0.3">
      <c r="A88" s="821">
        <v>80</v>
      </c>
      <c r="B88" s="827"/>
      <c r="C88" s="159"/>
      <c r="D88" s="1376" t="s">
        <v>921</v>
      </c>
      <c r="E88" s="1370"/>
      <c r="F88" s="1371"/>
      <c r="G88" s="1372"/>
      <c r="H88" s="1373"/>
      <c r="I88" s="1377"/>
      <c r="J88" s="1378">
        <v>0</v>
      </c>
      <c r="K88" s="1378"/>
      <c r="L88" s="1429">
        <f t="shared" si="2"/>
        <v>0</v>
      </c>
      <c r="M88" s="832"/>
    </row>
    <row r="89" spans="1:13" ht="18" customHeight="1" x14ac:dyDescent="0.3">
      <c r="A89" s="821">
        <v>81</v>
      </c>
      <c r="B89" s="827"/>
      <c r="C89" s="159"/>
      <c r="D89" s="1022" t="s">
        <v>973</v>
      </c>
      <c r="E89" s="828"/>
      <c r="F89" s="829"/>
      <c r="G89" s="834"/>
      <c r="H89" s="835"/>
      <c r="I89" s="828"/>
      <c r="J89" s="837">
        <v>0</v>
      </c>
      <c r="K89" s="837"/>
      <c r="L89" s="1007">
        <f>SUM(F89:K89)</f>
        <v>0</v>
      </c>
      <c r="M89" s="832"/>
    </row>
    <row r="90" spans="1:13" ht="18" customHeight="1" x14ac:dyDescent="0.3">
      <c r="A90" s="821">
        <v>82</v>
      </c>
      <c r="B90" s="827"/>
      <c r="C90" s="159"/>
      <c r="D90" s="155" t="s">
        <v>842</v>
      </c>
      <c r="E90" s="837">
        <f>F90+G90+L92</f>
        <v>180</v>
      </c>
      <c r="F90" s="829"/>
      <c r="G90" s="834"/>
      <c r="H90" s="835"/>
      <c r="I90" s="828"/>
      <c r="J90" s="837"/>
      <c r="K90" s="837"/>
      <c r="L90" s="839"/>
      <c r="M90" s="832"/>
    </row>
    <row r="91" spans="1:13" ht="18" customHeight="1" x14ac:dyDescent="0.3">
      <c r="A91" s="821">
        <v>83</v>
      </c>
      <c r="B91" s="827"/>
      <c r="C91" s="159"/>
      <c r="D91" s="327" t="s">
        <v>252</v>
      </c>
      <c r="E91" s="1370"/>
      <c r="F91" s="1371"/>
      <c r="G91" s="1372"/>
      <c r="H91" s="1373"/>
      <c r="I91" s="1370"/>
      <c r="J91" s="1370">
        <v>180</v>
      </c>
      <c r="K91" s="1374"/>
      <c r="L91" s="1375">
        <f t="shared" si="2"/>
        <v>180</v>
      </c>
      <c r="M91" s="832"/>
    </row>
    <row r="92" spans="1:13" ht="18" customHeight="1" x14ac:dyDescent="0.3">
      <c r="A92" s="821">
        <v>84</v>
      </c>
      <c r="B92" s="827"/>
      <c r="C92" s="159"/>
      <c r="D92" s="1376" t="s">
        <v>921</v>
      </c>
      <c r="E92" s="1370"/>
      <c r="F92" s="1371"/>
      <c r="G92" s="1372"/>
      <c r="H92" s="1373"/>
      <c r="I92" s="1377"/>
      <c r="J92" s="1377">
        <v>180</v>
      </c>
      <c r="K92" s="1378"/>
      <c r="L92" s="1429">
        <f t="shared" si="2"/>
        <v>180</v>
      </c>
      <c r="M92" s="832"/>
    </row>
    <row r="93" spans="1:13" ht="18" customHeight="1" x14ac:dyDescent="0.3">
      <c r="A93" s="821">
        <v>85</v>
      </c>
      <c r="B93" s="827"/>
      <c r="C93" s="159"/>
      <c r="D93" s="1022" t="s">
        <v>973</v>
      </c>
      <c r="E93" s="828"/>
      <c r="F93" s="829"/>
      <c r="G93" s="834"/>
      <c r="H93" s="835"/>
      <c r="I93" s="828"/>
      <c r="J93" s="837">
        <v>0</v>
      </c>
      <c r="K93" s="837"/>
      <c r="L93" s="1007">
        <f>SUM(F93:K93)</f>
        <v>0</v>
      </c>
      <c r="M93" s="832"/>
    </row>
    <row r="94" spans="1:13" ht="18" customHeight="1" x14ac:dyDescent="0.3">
      <c r="A94" s="821">
        <v>86</v>
      </c>
      <c r="B94" s="827"/>
      <c r="C94" s="159"/>
      <c r="D94" s="155" t="s">
        <v>693</v>
      </c>
      <c r="E94" s="837">
        <f>F94+G94+L96</f>
        <v>0</v>
      </c>
      <c r="F94" s="829"/>
      <c r="G94" s="834"/>
      <c r="H94" s="835"/>
      <c r="I94" s="828"/>
      <c r="J94" s="837"/>
      <c r="K94" s="837"/>
      <c r="L94" s="839"/>
      <c r="M94" s="832"/>
    </row>
    <row r="95" spans="1:13" ht="18" customHeight="1" x14ac:dyDescent="0.3">
      <c r="A95" s="821">
        <v>87</v>
      </c>
      <c r="B95" s="827"/>
      <c r="C95" s="159"/>
      <c r="D95" s="327" t="s">
        <v>252</v>
      </c>
      <c r="E95" s="1370"/>
      <c r="F95" s="1371"/>
      <c r="G95" s="1372"/>
      <c r="H95" s="1373"/>
      <c r="I95" s="1370"/>
      <c r="J95" s="1370">
        <v>320</v>
      </c>
      <c r="K95" s="1374"/>
      <c r="L95" s="1375">
        <f t="shared" si="2"/>
        <v>320</v>
      </c>
      <c r="M95" s="832"/>
    </row>
    <row r="96" spans="1:13" ht="18" customHeight="1" x14ac:dyDescent="0.3">
      <c r="A96" s="821">
        <v>88</v>
      </c>
      <c r="B96" s="827"/>
      <c r="C96" s="159"/>
      <c r="D96" s="1376" t="s">
        <v>921</v>
      </c>
      <c r="E96" s="1370"/>
      <c r="F96" s="1371"/>
      <c r="G96" s="1372"/>
      <c r="H96" s="1373"/>
      <c r="I96" s="1378"/>
      <c r="J96" s="1378">
        <v>0</v>
      </c>
      <c r="K96" s="1378"/>
      <c r="L96" s="1429">
        <f t="shared" si="2"/>
        <v>0</v>
      </c>
      <c r="M96" s="832"/>
    </row>
    <row r="97" spans="1:13" ht="18" customHeight="1" x14ac:dyDescent="0.3">
      <c r="A97" s="821">
        <v>89</v>
      </c>
      <c r="B97" s="827"/>
      <c r="C97" s="159"/>
      <c r="D97" s="1022" t="s">
        <v>973</v>
      </c>
      <c r="E97" s="828"/>
      <c r="F97" s="829"/>
      <c r="G97" s="834"/>
      <c r="H97" s="835"/>
      <c r="I97" s="1378"/>
      <c r="J97" s="837">
        <v>0</v>
      </c>
      <c r="K97" s="1378"/>
      <c r="L97" s="1007">
        <f>SUM(F97:K97)</f>
        <v>0</v>
      </c>
      <c r="M97" s="832"/>
    </row>
    <row r="98" spans="1:13" ht="28.5" customHeight="1" x14ac:dyDescent="0.3">
      <c r="A98" s="821">
        <v>90</v>
      </c>
      <c r="B98" s="827"/>
      <c r="C98" s="159"/>
      <c r="D98" s="155" t="s">
        <v>843</v>
      </c>
      <c r="E98" s="837">
        <f>F98+G98+L100</f>
        <v>0</v>
      </c>
      <c r="F98" s="829"/>
      <c r="G98" s="834"/>
      <c r="H98" s="835"/>
      <c r="I98" s="828"/>
      <c r="J98" s="837"/>
      <c r="K98" s="837"/>
      <c r="L98" s="839"/>
      <c r="M98" s="832"/>
    </row>
    <row r="99" spans="1:13" ht="18" customHeight="1" x14ac:dyDescent="0.3">
      <c r="A99" s="821">
        <v>91</v>
      </c>
      <c r="B99" s="827"/>
      <c r="C99" s="159"/>
      <c r="D99" s="327" t="s">
        <v>252</v>
      </c>
      <c r="E99" s="1370"/>
      <c r="F99" s="1371"/>
      <c r="G99" s="1372"/>
      <c r="H99" s="1373"/>
      <c r="I99" s="1370"/>
      <c r="J99" s="1370">
        <v>1345</v>
      </c>
      <c r="K99" s="1374"/>
      <c r="L99" s="1375">
        <f t="shared" si="2"/>
        <v>1345</v>
      </c>
      <c r="M99" s="832"/>
    </row>
    <row r="100" spans="1:13" ht="18" customHeight="1" x14ac:dyDescent="0.3">
      <c r="A100" s="821">
        <v>92</v>
      </c>
      <c r="B100" s="827"/>
      <c r="C100" s="159"/>
      <c r="D100" s="1376" t="s">
        <v>921</v>
      </c>
      <c r="E100" s="1370"/>
      <c r="F100" s="1371"/>
      <c r="G100" s="1372"/>
      <c r="H100" s="1373"/>
      <c r="I100" s="1370"/>
      <c r="J100" s="1377">
        <v>0</v>
      </c>
      <c r="K100" s="1378"/>
      <c r="L100" s="1429">
        <f t="shared" si="2"/>
        <v>0</v>
      </c>
      <c r="M100" s="832"/>
    </row>
    <row r="101" spans="1:13" ht="18" customHeight="1" x14ac:dyDescent="0.3">
      <c r="A101" s="821">
        <v>93</v>
      </c>
      <c r="B101" s="827"/>
      <c r="C101" s="159"/>
      <c r="D101" s="1022" t="s">
        <v>973</v>
      </c>
      <c r="E101" s="828"/>
      <c r="F101" s="829"/>
      <c r="G101" s="834"/>
      <c r="H101" s="835"/>
      <c r="I101" s="828"/>
      <c r="J101" s="837">
        <v>0</v>
      </c>
      <c r="K101" s="837"/>
      <c r="L101" s="1007">
        <f>SUM(F101:K101)</f>
        <v>0</v>
      </c>
      <c r="M101" s="832"/>
    </row>
    <row r="102" spans="1:13" ht="31.5" customHeight="1" x14ac:dyDescent="0.3">
      <c r="A102" s="821">
        <v>94</v>
      </c>
      <c r="B102" s="827"/>
      <c r="C102" s="159"/>
      <c r="D102" s="155" t="s">
        <v>694</v>
      </c>
      <c r="E102" s="837">
        <f>F102+G102+L104</f>
        <v>300</v>
      </c>
      <c r="F102" s="829"/>
      <c r="G102" s="834"/>
      <c r="H102" s="835"/>
      <c r="I102" s="828"/>
      <c r="J102" s="837"/>
      <c r="K102" s="837"/>
      <c r="L102" s="839"/>
      <c r="M102" s="832"/>
    </row>
    <row r="103" spans="1:13" ht="18" customHeight="1" x14ac:dyDescent="0.3">
      <c r="A103" s="821">
        <v>95</v>
      </c>
      <c r="B103" s="827"/>
      <c r="C103" s="159"/>
      <c r="D103" s="327" t="s">
        <v>252</v>
      </c>
      <c r="E103" s="1370"/>
      <c r="F103" s="1371"/>
      <c r="G103" s="1372"/>
      <c r="H103" s="1373"/>
      <c r="I103" s="1370"/>
      <c r="J103" s="1370">
        <v>300</v>
      </c>
      <c r="K103" s="1374"/>
      <c r="L103" s="1375">
        <f t="shared" si="2"/>
        <v>300</v>
      </c>
      <c r="M103" s="832"/>
    </row>
    <row r="104" spans="1:13" ht="18" customHeight="1" x14ac:dyDescent="0.3">
      <c r="A104" s="821">
        <v>96</v>
      </c>
      <c r="B104" s="827"/>
      <c r="C104" s="159"/>
      <c r="D104" s="1376" t="s">
        <v>921</v>
      </c>
      <c r="E104" s="1370"/>
      <c r="F104" s="1371"/>
      <c r="G104" s="1372"/>
      <c r="H104" s="1373"/>
      <c r="I104" s="1377"/>
      <c r="J104" s="1377">
        <v>300</v>
      </c>
      <c r="K104" s="1378"/>
      <c r="L104" s="1429">
        <f t="shared" si="2"/>
        <v>300</v>
      </c>
      <c r="M104" s="832"/>
    </row>
    <row r="105" spans="1:13" ht="18" customHeight="1" x14ac:dyDescent="0.3">
      <c r="A105" s="821">
        <v>97</v>
      </c>
      <c r="B105" s="827"/>
      <c r="C105" s="159"/>
      <c r="D105" s="1022" t="s">
        <v>973</v>
      </c>
      <c r="E105" s="828"/>
      <c r="F105" s="829"/>
      <c r="G105" s="834"/>
      <c r="H105" s="835"/>
      <c r="I105" s="828"/>
      <c r="J105" s="837">
        <v>0</v>
      </c>
      <c r="K105" s="837"/>
      <c r="L105" s="1007">
        <f>SUM(F105:K105)</f>
        <v>0</v>
      </c>
      <c r="M105" s="832"/>
    </row>
    <row r="106" spans="1:13" ht="30.75" customHeight="1" x14ac:dyDescent="0.3">
      <c r="A106" s="821">
        <v>98</v>
      </c>
      <c r="B106" s="827"/>
      <c r="C106" s="159"/>
      <c r="D106" s="155" t="s">
        <v>844</v>
      </c>
      <c r="E106" s="837">
        <f>F106+G106+L108</f>
        <v>881</v>
      </c>
      <c r="F106" s="829"/>
      <c r="G106" s="834"/>
      <c r="H106" s="835"/>
      <c r="I106" s="828"/>
      <c r="J106" s="837"/>
      <c r="K106" s="837"/>
      <c r="L106" s="839"/>
      <c r="M106" s="832"/>
    </row>
    <row r="107" spans="1:13" ht="18" customHeight="1" x14ac:dyDescent="0.3">
      <c r="A107" s="821">
        <v>99</v>
      </c>
      <c r="B107" s="827"/>
      <c r="C107" s="159"/>
      <c r="D107" s="327" t="s">
        <v>252</v>
      </c>
      <c r="E107" s="1370"/>
      <c r="F107" s="1371"/>
      <c r="G107" s="1372"/>
      <c r="H107" s="1373"/>
      <c r="I107" s="1370"/>
      <c r="J107" s="1370">
        <v>881</v>
      </c>
      <c r="K107" s="1374"/>
      <c r="L107" s="1375">
        <f t="shared" si="2"/>
        <v>881</v>
      </c>
      <c r="M107" s="832"/>
    </row>
    <row r="108" spans="1:13" ht="18" customHeight="1" x14ac:dyDescent="0.3">
      <c r="A108" s="821">
        <v>100</v>
      </c>
      <c r="B108" s="827"/>
      <c r="C108" s="159"/>
      <c r="D108" s="1376" t="s">
        <v>921</v>
      </c>
      <c r="E108" s="1370"/>
      <c r="F108" s="1371"/>
      <c r="G108" s="1372"/>
      <c r="H108" s="1373"/>
      <c r="I108" s="1377"/>
      <c r="J108" s="1377">
        <v>881</v>
      </c>
      <c r="K108" s="1378"/>
      <c r="L108" s="1429">
        <f t="shared" si="2"/>
        <v>881</v>
      </c>
      <c r="M108" s="832"/>
    </row>
    <row r="109" spans="1:13" ht="18" customHeight="1" x14ac:dyDescent="0.3">
      <c r="A109" s="821">
        <v>101</v>
      </c>
      <c r="B109" s="827"/>
      <c r="C109" s="159"/>
      <c r="D109" s="1022" t="s">
        <v>973</v>
      </c>
      <c r="E109" s="828"/>
      <c r="F109" s="829"/>
      <c r="G109" s="834"/>
      <c r="H109" s="835"/>
      <c r="I109" s="828"/>
      <c r="J109" s="837">
        <v>0</v>
      </c>
      <c r="K109" s="837"/>
      <c r="L109" s="1007">
        <f>SUM(F109:K109)</f>
        <v>0</v>
      </c>
      <c r="M109" s="832"/>
    </row>
    <row r="110" spans="1:13" ht="18" customHeight="1" x14ac:dyDescent="0.3">
      <c r="A110" s="821">
        <v>102</v>
      </c>
      <c r="B110" s="827"/>
      <c r="C110" s="159"/>
      <c r="D110" s="155" t="s">
        <v>908</v>
      </c>
      <c r="E110" s="837">
        <f>F110+G110+L111</f>
        <v>150</v>
      </c>
      <c r="F110" s="829"/>
      <c r="G110" s="834"/>
      <c r="H110" s="835"/>
      <c r="I110" s="828"/>
      <c r="J110" s="837"/>
      <c r="K110" s="837"/>
      <c r="L110" s="1198"/>
      <c r="M110" s="832"/>
    </row>
    <row r="111" spans="1:13" ht="18" customHeight="1" x14ac:dyDescent="0.3">
      <c r="A111" s="821">
        <v>103</v>
      </c>
      <c r="B111" s="827"/>
      <c r="C111" s="159"/>
      <c r="D111" s="1376" t="s">
        <v>921</v>
      </c>
      <c r="E111" s="837"/>
      <c r="F111" s="829"/>
      <c r="G111" s="834"/>
      <c r="H111" s="835"/>
      <c r="I111" s="828"/>
      <c r="J111" s="1430">
        <v>150</v>
      </c>
      <c r="K111" s="1430"/>
      <c r="L111" s="1008">
        <f>SUM(F111:K111)</f>
        <v>150</v>
      </c>
      <c r="M111" s="832"/>
    </row>
    <row r="112" spans="1:13" ht="18" customHeight="1" x14ac:dyDescent="0.3">
      <c r="A112" s="821">
        <v>104</v>
      </c>
      <c r="B112" s="827"/>
      <c r="C112" s="159"/>
      <c r="D112" s="1022" t="s">
        <v>973</v>
      </c>
      <c r="E112" s="828"/>
      <c r="F112" s="829"/>
      <c r="G112" s="834"/>
      <c r="H112" s="835"/>
      <c r="I112" s="828"/>
      <c r="J112" s="837">
        <v>0</v>
      </c>
      <c r="K112" s="837"/>
      <c r="L112" s="1007">
        <f>SUM(F112:K112)</f>
        <v>0</v>
      </c>
      <c r="M112" s="832"/>
    </row>
    <row r="113" spans="1:13" ht="18" customHeight="1" x14ac:dyDescent="0.3">
      <c r="A113" s="821">
        <v>105</v>
      </c>
      <c r="B113" s="827"/>
      <c r="C113" s="159"/>
      <c r="D113" s="155" t="s">
        <v>909</v>
      </c>
      <c r="E113" s="837">
        <f>F113+G113+L114</f>
        <v>300</v>
      </c>
      <c r="F113" s="829"/>
      <c r="G113" s="834"/>
      <c r="H113" s="835"/>
      <c r="I113" s="828"/>
      <c r="J113" s="837"/>
      <c r="K113" s="837"/>
      <c r="L113" s="1198"/>
      <c r="M113" s="832"/>
    </row>
    <row r="114" spans="1:13" ht="18" customHeight="1" x14ac:dyDescent="0.3">
      <c r="A114" s="821">
        <v>106</v>
      </c>
      <c r="B114" s="827"/>
      <c r="C114" s="159"/>
      <c r="D114" s="1376" t="s">
        <v>921</v>
      </c>
      <c r="E114" s="837"/>
      <c r="F114" s="829"/>
      <c r="G114" s="834"/>
      <c r="H114" s="835"/>
      <c r="I114" s="828"/>
      <c r="J114" s="1430">
        <v>300</v>
      </c>
      <c r="K114" s="1430"/>
      <c r="L114" s="1008">
        <f>SUM(F114:K114)</f>
        <v>300</v>
      </c>
      <c r="M114" s="832"/>
    </row>
    <row r="115" spans="1:13" ht="18" customHeight="1" x14ac:dyDescent="0.3">
      <c r="A115" s="821">
        <v>107</v>
      </c>
      <c r="B115" s="827"/>
      <c r="C115" s="159"/>
      <c r="D115" s="1022" t="s">
        <v>973</v>
      </c>
      <c r="E115" s="828"/>
      <c r="F115" s="829"/>
      <c r="G115" s="834"/>
      <c r="H115" s="835"/>
      <c r="I115" s="828"/>
      <c r="J115" s="837">
        <v>0</v>
      </c>
      <c r="K115" s="837"/>
      <c r="L115" s="1007">
        <f>SUM(F115:K115)</f>
        <v>0</v>
      </c>
      <c r="M115" s="832"/>
    </row>
    <row r="116" spans="1:13" ht="18" customHeight="1" x14ac:dyDescent="0.3">
      <c r="A116" s="821">
        <v>108</v>
      </c>
      <c r="B116" s="827"/>
      <c r="C116" s="159"/>
      <c r="D116" s="155" t="s">
        <v>910</v>
      </c>
      <c r="E116" s="837">
        <f>F116+G116+L117</f>
        <v>1200</v>
      </c>
      <c r="F116" s="829"/>
      <c r="G116" s="834"/>
      <c r="H116" s="835"/>
      <c r="I116" s="828"/>
      <c r="J116" s="837"/>
      <c r="K116" s="837"/>
      <c r="L116" s="1198"/>
      <c r="M116" s="832"/>
    </row>
    <row r="117" spans="1:13" ht="18" customHeight="1" x14ac:dyDescent="0.3">
      <c r="A117" s="821">
        <v>109</v>
      </c>
      <c r="B117" s="827"/>
      <c r="C117" s="159"/>
      <c r="D117" s="1376" t="s">
        <v>921</v>
      </c>
      <c r="E117" s="837"/>
      <c r="F117" s="829"/>
      <c r="G117" s="834"/>
      <c r="H117" s="835"/>
      <c r="I117" s="828"/>
      <c r="J117" s="1378">
        <v>1200</v>
      </c>
      <c r="K117" s="837"/>
      <c r="L117" s="1008">
        <f>SUM(F117:K117)</f>
        <v>1200</v>
      </c>
      <c r="M117" s="832"/>
    </row>
    <row r="118" spans="1:13" ht="18" customHeight="1" x14ac:dyDescent="0.3">
      <c r="A118" s="821">
        <v>110</v>
      </c>
      <c r="B118" s="827"/>
      <c r="C118" s="159"/>
      <c r="D118" s="1022" t="s">
        <v>973</v>
      </c>
      <c r="E118" s="828"/>
      <c r="F118" s="829"/>
      <c r="G118" s="834"/>
      <c r="H118" s="835"/>
      <c r="I118" s="828"/>
      <c r="J118" s="837">
        <v>0</v>
      </c>
      <c r="K118" s="837"/>
      <c r="L118" s="1007">
        <f>SUM(F118:K118)</f>
        <v>0</v>
      </c>
      <c r="M118" s="832"/>
    </row>
    <row r="119" spans="1:13" ht="18" customHeight="1" x14ac:dyDescent="0.3">
      <c r="A119" s="821">
        <v>111</v>
      </c>
      <c r="B119" s="827"/>
      <c r="C119" s="159"/>
      <c r="D119" s="155" t="s">
        <v>894</v>
      </c>
      <c r="E119" s="828">
        <f>F119+G119+L120</f>
        <v>618</v>
      </c>
      <c r="F119" s="829"/>
      <c r="G119" s="834"/>
      <c r="H119" s="835"/>
      <c r="I119" s="828"/>
      <c r="J119" s="837"/>
      <c r="K119" s="837"/>
      <c r="L119" s="1198"/>
      <c r="M119" s="832"/>
    </row>
    <row r="120" spans="1:13" ht="18" customHeight="1" x14ac:dyDescent="0.3">
      <c r="A120" s="821">
        <v>112</v>
      </c>
      <c r="B120" s="827"/>
      <c r="C120" s="159"/>
      <c r="D120" s="1376" t="s">
        <v>921</v>
      </c>
      <c r="E120" s="828"/>
      <c r="F120" s="829"/>
      <c r="G120" s="834"/>
      <c r="H120" s="835"/>
      <c r="I120" s="828"/>
      <c r="J120" s="1378">
        <v>618</v>
      </c>
      <c r="K120" s="837"/>
      <c r="L120" s="1008">
        <f>SUM(F120:K120)</f>
        <v>618</v>
      </c>
      <c r="M120" s="832"/>
    </row>
    <row r="121" spans="1:13" ht="18" customHeight="1" x14ac:dyDescent="0.3">
      <c r="A121" s="821">
        <v>113</v>
      </c>
      <c r="B121" s="827"/>
      <c r="C121" s="159"/>
      <c r="D121" s="1022" t="s">
        <v>973</v>
      </c>
      <c r="E121" s="828"/>
      <c r="F121" s="829"/>
      <c r="G121" s="834"/>
      <c r="H121" s="835"/>
      <c r="I121" s="828"/>
      <c r="J121" s="837">
        <v>0</v>
      </c>
      <c r="K121" s="837"/>
      <c r="L121" s="1007">
        <f>SUM(F121:K121)</f>
        <v>0</v>
      </c>
      <c r="M121" s="832"/>
    </row>
    <row r="122" spans="1:13" ht="48" customHeight="1" x14ac:dyDescent="0.3">
      <c r="A122" s="821">
        <v>114</v>
      </c>
      <c r="B122" s="827"/>
      <c r="C122" s="159"/>
      <c r="D122" s="155" t="s">
        <v>895</v>
      </c>
      <c r="E122" s="828">
        <f>F122+G122+L123</f>
        <v>450</v>
      </c>
      <c r="F122" s="829"/>
      <c r="G122" s="834"/>
      <c r="H122" s="835"/>
      <c r="I122" s="828"/>
      <c r="J122" s="837"/>
      <c r="K122" s="837"/>
      <c r="L122" s="1198"/>
      <c r="M122" s="832"/>
    </row>
    <row r="123" spans="1:13" ht="18" customHeight="1" x14ac:dyDescent="0.3">
      <c r="A123" s="821">
        <v>115</v>
      </c>
      <c r="B123" s="827"/>
      <c r="C123" s="159"/>
      <c r="D123" s="1376" t="s">
        <v>921</v>
      </c>
      <c r="E123" s="828"/>
      <c r="F123" s="829"/>
      <c r="G123" s="834"/>
      <c r="H123" s="835"/>
      <c r="I123" s="828"/>
      <c r="J123" s="837"/>
      <c r="K123" s="1378">
        <v>450</v>
      </c>
      <c r="L123" s="1431">
        <f>SUM(F123:K123)</f>
        <v>450</v>
      </c>
      <c r="M123" s="832"/>
    </row>
    <row r="124" spans="1:13" ht="18" customHeight="1" x14ac:dyDescent="0.3">
      <c r="A124" s="821">
        <v>116</v>
      </c>
      <c r="B124" s="827"/>
      <c r="C124" s="159"/>
      <c r="D124" s="1022" t="s">
        <v>973</v>
      </c>
      <c r="E124" s="828"/>
      <c r="F124" s="829"/>
      <c r="G124" s="834"/>
      <c r="H124" s="835"/>
      <c r="I124" s="828"/>
      <c r="J124" s="837"/>
      <c r="K124" s="837">
        <v>0</v>
      </c>
      <c r="L124" s="1007">
        <f>SUM(F124:K124)</f>
        <v>0</v>
      </c>
      <c r="M124" s="832"/>
    </row>
    <row r="125" spans="1:13" ht="30.75" customHeight="1" x14ac:dyDescent="0.3">
      <c r="A125" s="821">
        <v>117</v>
      </c>
      <c r="B125" s="827"/>
      <c r="C125" s="159"/>
      <c r="D125" s="155" t="s">
        <v>896</v>
      </c>
      <c r="E125" s="828">
        <f>F125+G125+L126</f>
        <v>200</v>
      </c>
      <c r="F125" s="829"/>
      <c r="G125" s="834"/>
      <c r="H125" s="835"/>
      <c r="I125" s="828"/>
      <c r="J125" s="837"/>
      <c r="K125" s="837"/>
      <c r="L125" s="1198"/>
      <c r="M125" s="832"/>
    </row>
    <row r="126" spans="1:13" ht="18" customHeight="1" x14ac:dyDescent="0.3">
      <c r="A126" s="821">
        <v>118</v>
      </c>
      <c r="B126" s="827"/>
      <c r="C126" s="159"/>
      <c r="D126" s="1376" t="s">
        <v>921</v>
      </c>
      <c r="E126" s="828"/>
      <c r="F126" s="829"/>
      <c r="G126" s="834"/>
      <c r="H126" s="835"/>
      <c r="I126" s="828"/>
      <c r="J126" s="837"/>
      <c r="K126" s="1378">
        <v>200</v>
      </c>
      <c r="L126" s="1431">
        <f>SUM(F126:K126)</f>
        <v>200</v>
      </c>
      <c r="M126" s="832"/>
    </row>
    <row r="127" spans="1:13" ht="18" customHeight="1" x14ac:dyDescent="0.3">
      <c r="A127" s="821">
        <v>119</v>
      </c>
      <c r="B127" s="827"/>
      <c r="C127" s="159"/>
      <c r="D127" s="1022" t="s">
        <v>973</v>
      </c>
      <c r="E127" s="828"/>
      <c r="F127" s="829"/>
      <c r="G127" s="834"/>
      <c r="H127" s="835"/>
      <c r="I127" s="828"/>
      <c r="J127" s="837"/>
      <c r="K127" s="837">
        <v>0</v>
      </c>
      <c r="L127" s="1007">
        <f>SUM(F127:K127)</f>
        <v>0</v>
      </c>
      <c r="M127" s="832"/>
    </row>
    <row r="128" spans="1:13" ht="18" customHeight="1" x14ac:dyDescent="0.3">
      <c r="A128" s="821">
        <v>120</v>
      </c>
      <c r="B128" s="827"/>
      <c r="C128" s="159"/>
      <c r="D128" s="155" t="s">
        <v>898</v>
      </c>
      <c r="E128" s="828">
        <f>F128+G128+L129</f>
        <v>180</v>
      </c>
      <c r="F128" s="829"/>
      <c r="G128" s="834"/>
      <c r="H128" s="835"/>
      <c r="I128" s="828"/>
      <c r="J128" s="837"/>
      <c r="K128" s="837"/>
      <c r="L128" s="1198"/>
      <c r="M128" s="832"/>
    </row>
    <row r="129" spans="1:13" ht="18" customHeight="1" x14ac:dyDescent="0.3">
      <c r="A129" s="821">
        <v>121</v>
      </c>
      <c r="B129" s="827"/>
      <c r="C129" s="159"/>
      <c r="D129" s="1376" t="s">
        <v>921</v>
      </c>
      <c r="E129" s="828"/>
      <c r="F129" s="829"/>
      <c r="G129" s="834"/>
      <c r="H129" s="835"/>
      <c r="I129" s="828"/>
      <c r="J129" s="1430">
        <v>180</v>
      </c>
      <c r="K129" s="1430"/>
      <c r="L129" s="1008">
        <f>SUM(F129:K129)</f>
        <v>180</v>
      </c>
      <c r="M129" s="832"/>
    </row>
    <row r="130" spans="1:13" ht="18" customHeight="1" x14ac:dyDescent="0.3">
      <c r="A130" s="821">
        <v>122</v>
      </c>
      <c r="B130" s="827"/>
      <c r="C130" s="159"/>
      <c r="D130" s="1022" t="s">
        <v>973</v>
      </c>
      <c r="E130" s="828"/>
      <c r="F130" s="829"/>
      <c r="G130" s="834"/>
      <c r="H130" s="835"/>
      <c r="I130" s="828"/>
      <c r="J130" s="837">
        <v>0</v>
      </c>
      <c r="K130" s="837"/>
      <c r="L130" s="1007">
        <f>SUM(F130:K130)</f>
        <v>0</v>
      </c>
      <c r="M130" s="832"/>
    </row>
    <row r="131" spans="1:13" ht="31.5" customHeight="1" x14ac:dyDescent="0.3">
      <c r="A131" s="821">
        <v>123</v>
      </c>
      <c r="B131" s="827"/>
      <c r="C131" s="159"/>
      <c r="D131" s="155" t="s">
        <v>899</v>
      </c>
      <c r="E131" s="828">
        <f>F131+G131+L132</f>
        <v>300</v>
      </c>
      <c r="F131" s="829"/>
      <c r="G131" s="834"/>
      <c r="H131" s="835"/>
      <c r="I131" s="828"/>
      <c r="J131" s="837"/>
      <c r="K131" s="837"/>
      <c r="L131" s="1198"/>
      <c r="M131" s="832"/>
    </row>
    <row r="132" spans="1:13" ht="18" customHeight="1" x14ac:dyDescent="0.3">
      <c r="A132" s="821">
        <v>124</v>
      </c>
      <c r="B132" s="827"/>
      <c r="C132" s="159"/>
      <c r="D132" s="1376" t="s">
        <v>921</v>
      </c>
      <c r="E132" s="828"/>
      <c r="F132" s="829"/>
      <c r="G132" s="834"/>
      <c r="H132" s="835"/>
      <c r="I132" s="828"/>
      <c r="J132" s="1378">
        <v>300</v>
      </c>
      <c r="K132" s="837"/>
      <c r="L132" s="1431">
        <f>SUM(F132:K132)</f>
        <v>300</v>
      </c>
      <c r="M132" s="832"/>
    </row>
    <row r="133" spans="1:13" ht="18" customHeight="1" x14ac:dyDescent="0.3">
      <c r="A133" s="821">
        <v>125</v>
      </c>
      <c r="B133" s="827"/>
      <c r="C133" s="159"/>
      <c r="D133" s="1022" t="s">
        <v>973</v>
      </c>
      <c r="E133" s="828"/>
      <c r="F133" s="829"/>
      <c r="G133" s="834"/>
      <c r="H133" s="835"/>
      <c r="I133" s="828"/>
      <c r="J133" s="837">
        <v>0</v>
      </c>
      <c r="K133" s="837"/>
      <c r="L133" s="1007">
        <f>SUM(F133:K133)</f>
        <v>0</v>
      </c>
      <c r="M133" s="832"/>
    </row>
    <row r="134" spans="1:13" ht="18" customHeight="1" x14ac:dyDescent="0.3">
      <c r="A134" s="821">
        <v>126</v>
      </c>
      <c r="B134" s="827"/>
      <c r="C134" s="159"/>
      <c r="D134" s="155" t="s">
        <v>900</v>
      </c>
      <c r="E134" s="828">
        <f>F134+G134+L135</f>
        <v>800</v>
      </c>
      <c r="F134" s="829"/>
      <c r="G134" s="834"/>
      <c r="H134" s="835"/>
      <c r="I134" s="828"/>
      <c r="J134" s="837"/>
      <c r="K134" s="837"/>
      <c r="L134" s="1198"/>
      <c r="M134" s="832"/>
    </row>
    <row r="135" spans="1:13" ht="18" customHeight="1" x14ac:dyDescent="0.3">
      <c r="A135" s="821">
        <v>127</v>
      </c>
      <c r="B135" s="827"/>
      <c r="C135" s="159"/>
      <c r="D135" s="1376" t="s">
        <v>921</v>
      </c>
      <c r="E135" s="828"/>
      <c r="F135" s="829"/>
      <c r="G135" s="834"/>
      <c r="H135" s="835"/>
      <c r="I135" s="828"/>
      <c r="J135" s="1378">
        <v>800</v>
      </c>
      <c r="K135" s="837"/>
      <c r="L135" s="1006">
        <f>SUM(F135:K135)</f>
        <v>800</v>
      </c>
      <c r="M135" s="832"/>
    </row>
    <row r="136" spans="1:13" ht="18" customHeight="1" x14ac:dyDescent="0.3">
      <c r="A136" s="821">
        <v>128</v>
      </c>
      <c r="B136" s="827"/>
      <c r="C136" s="159"/>
      <c r="D136" s="1022" t="s">
        <v>973</v>
      </c>
      <c r="E136" s="828"/>
      <c r="F136" s="829"/>
      <c r="G136" s="834"/>
      <c r="H136" s="835"/>
      <c r="I136" s="828"/>
      <c r="J136" s="837">
        <v>0</v>
      </c>
      <c r="K136" s="837"/>
      <c r="L136" s="1007">
        <f>SUM(F136:K136)</f>
        <v>0</v>
      </c>
      <c r="M136" s="832"/>
    </row>
    <row r="137" spans="1:13" ht="18" customHeight="1" x14ac:dyDescent="0.3">
      <c r="A137" s="821">
        <v>129</v>
      </c>
      <c r="B137" s="827"/>
      <c r="C137" s="159"/>
      <c r="D137" s="155" t="s">
        <v>901</v>
      </c>
      <c r="E137" s="828">
        <f>F137+G137+L138</f>
        <v>300</v>
      </c>
      <c r="F137" s="829"/>
      <c r="G137" s="834"/>
      <c r="H137" s="835"/>
      <c r="I137" s="828"/>
      <c r="J137" s="837"/>
      <c r="K137" s="837"/>
      <c r="L137" s="1198"/>
      <c r="M137" s="832"/>
    </row>
    <row r="138" spans="1:13" ht="18" customHeight="1" x14ac:dyDescent="0.3">
      <c r="A138" s="821">
        <v>130</v>
      </c>
      <c r="B138" s="827"/>
      <c r="C138" s="159"/>
      <c r="D138" s="1376" t="s">
        <v>921</v>
      </c>
      <c r="E138" s="828"/>
      <c r="F138" s="829"/>
      <c r="G138" s="834"/>
      <c r="H138" s="835"/>
      <c r="I138" s="828"/>
      <c r="J138" s="1378">
        <v>300</v>
      </c>
      <c r="K138" s="1378"/>
      <c r="L138" s="1006">
        <f>SUM(F138:K138)</f>
        <v>300</v>
      </c>
      <c r="M138" s="832"/>
    </row>
    <row r="139" spans="1:13" ht="18" customHeight="1" x14ac:dyDescent="0.3">
      <c r="A139" s="821">
        <v>131</v>
      </c>
      <c r="B139" s="827"/>
      <c r="C139" s="159"/>
      <c r="D139" s="1022" t="s">
        <v>973</v>
      </c>
      <c r="E139" s="828"/>
      <c r="F139" s="829"/>
      <c r="G139" s="834"/>
      <c r="H139" s="835"/>
      <c r="I139" s="828"/>
      <c r="J139" s="837">
        <v>0</v>
      </c>
      <c r="K139" s="837"/>
      <c r="L139" s="1007">
        <f>SUM(F139:K139)</f>
        <v>0</v>
      </c>
      <c r="M139" s="832"/>
    </row>
    <row r="140" spans="1:13" ht="18" customHeight="1" x14ac:dyDescent="0.3">
      <c r="A140" s="821">
        <v>132</v>
      </c>
      <c r="B140" s="827"/>
      <c r="C140" s="159"/>
      <c r="D140" s="155" t="s">
        <v>902</v>
      </c>
      <c r="E140" s="828">
        <f>F140+G140+L141</f>
        <v>1000</v>
      </c>
      <c r="F140" s="829"/>
      <c r="G140" s="834"/>
      <c r="H140" s="835"/>
      <c r="I140" s="828"/>
      <c r="J140" s="837"/>
      <c r="K140" s="837"/>
      <c r="L140" s="1198"/>
      <c r="M140" s="832"/>
    </row>
    <row r="141" spans="1:13" ht="18" customHeight="1" x14ac:dyDescent="0.3">
      <c r="A141" s="821">
        <v>133</v>
      </c>
      <c r="B141" s="827"/>
      <c r="C141" s="159"/>
      <c r="D141" s="1376" t="s">
        <v>921</v>
      </c>
      <c r="E141" s="828"/>
      <c r="F141" s="829"/>
      <c r="G141" s="834"/>
      <c r="H141" s="835"/>
      <c r="I141" s="828"/>
      <c r="J141" s="1378">
        <v>1000</v>
      </c>
      <c r="K141" s="837"/>
      <c r="L141" s="1006">
        <f>SUM(F141:K141)</f>
        <v>1000</v>
      </c>
      <c r="M141" s="832"/>
    </row>
    <row r="142" spans="1:13" ht="18" customHeight="1" x14ac:dyDescent="0.3">
      <c r="A142" s="821">
        <v>134</v>
      </c>
      <c r="B142" s="827"/>
      <c r="C142" s="159"/>
      <c r="D142" s="1022" t="s">
        <v>973</v>
      </c>
      <c r="E142" s="828"/>
      <c r="F142" s="829"/>
      <c r="G142" s="834"/>
      <c r="H142" s="835"/>
      <c r="I142" s="828"/>
      <c r="J142" s="837">
        <v>0</v>
      </c>
      <c r="K142" s="837"/>
      <c r="L142" s="1007">
        <f>SUM(F142:K142)</f>
        <v>0</v>
      </c>
      <c r="M142" s="832"/>
    </row>
    <row r="143" spans="1:13" ht="18" customHeight="1" x14ac:dyDescent="0.3">
      <c r="A143" s="821">
        <v>135</v>
      </c>
      <c r="B143" s="827"/>
      <c r="C143" s="159"/>
      <c r="D143" s="155" t="s">
        <v>903</v>
      </c>
      <c r="E143" s="828">
        <f>F143+G143+L144</f>
        <v>300</v>
      </c>
      <c r="F143" s="829"/>
      <c r="G143" s="834"/>
      <c r="H143" s="835"/>
      <c r="I143" s="828"/>
      <c r="J143" s="837"/>
      <c r="K143" s="837"/>
      <c r="L143" s="1198"/>
      <c r="M143" s="832"/>
    </row>
    <row r="144" spans="1:13" ht="18" customHeight="1" x14ac:dyDescent="0.3">
      <c r="A144" s="821">
        <v>136</v>
      </c>
      <c r="B144" s="827"/>
      <c r="C144" s="159"/>
      <c r="D144" s="1376" t="s">
        <v>921</v>
      </c>
      <c r="E144" s="828"/>
      <c r="F144" s="829"/>
      <c r="G144" s="834"/>
      <c r="H144" s="835"/>
      <c r="I144" s="828"/>
      <c r="J144" s="1378">
        <v>300</v>
      </c>
      <c r="K144" s="837"/>
      <c r="L144" s="1006">
        <f>SUM(F144:K144)</f>
        <v>300</v>
      </c>
      <c r="M144" s="832"/>
    </row>
    <row r="145" spans="1:13" ht="18" customHeight="1" x14ac:dyDescent="0.3">
      <c r="A145" s="821">
        <v>137</v>
      </c>
      <c r="B145" s="827"/>
      <c r="C145" s="159"/>
      <c r="D145" s="1022" t="s">
        <v>973</v>
      </c>
      <c r="E145" s="828"/>
      <c r="F145" s="829"/>
      <c r="G145" s="834"/>
      <c r="H145" s="835"/>
      <c r="I145" s="828"/>
      <c r="J145" s="837">
        <v>0</v>
      </c>
      <c r="K145" s="837"/>
      <c r="L145" s="1007">
        <f>SUM(F145:K145)</f>
        <v>0</v>
      </c>
      <c r="M145" s="832"/>
    </row>
    <row r="146" spans="1:13" ht="18" customHeight="1" x14ac:dyDescent="0.3">
      <c r="A146" s="821">
        <v>138</v>
      </c>
      <c r="B146" s="827"/>
      <c r="C146" s="159"/>
      <c r="D146" s="155" t="s">
        <v>904</v>
      </c>
      <c r="E146" s="828">
        <f>F146+G146+L147</f>
        <v>280</v>
      </c>
      <c r="F146" s="829"/>
      <c r="G146" s="834"/>
      <c r="H146" s="835"/>
      <c r="I146" s="828"/>
      <c r="J146" s="837"/>
      <c r="K146" s="837"/>
      <c r="L146" s="1198"/>
      <c r="M146" s="832"/>
    </row>
    <row r="147" spans="1:13" ht="18" customHeight="1" x14ac:dyDescent="0.3">
      <c r="A147" s="821">
        <v>139</v>
      </c>
      <c r="B147" s="827"/>
      <c r="C147" s="159"/>
      <c r="D147" s="1376" t="s">
        <v>921</v>
      </c>
      <c r="E147" s="828"/>
      <c r="F147" s="829"/>
      <c r="G147" s="834"/>
      <c r="H147" s="835"/>
      <c r="I147" s="828"/>
      <c r="J147" s="1378">
        <v>280</v>
      </c>
      <c r="K147" s="837"/>
      <c r="L147" s="1006">
        <f>SUM(F147:K147)</f>
        <v>280</v>
      </c>
      <c r="M147" s="832"/>
    </row>
    <row r="148" spans="1:13" ht="18" customHeight="1" x14ac:dyDescent="0.3">
      <c r="A148" s="821">
        <v>140</v>
      </c>
      <c r="B148" s="827"/>
      <c r="C148" s="159"/>
      <c r="D148" s="1022" t="s">
        <v>973</v>
      </c>
      <c r="E148" s="828"/>
      <c r="F148" s="829"/>
      <c r="G148" s="834"/>
      <c r="H148" s="835"/>
      <c r="I148" s="828"/>
      <c r="J148" s="837">
        <v>0</v>
      </c>
      <c r="K148" s="837"/>
      <c r="L148" s="1007">
        <f>SUM(F148:K148)</f>
        <v>0</v>
      </c>
      <c r="M148" s="832"/>
    </row>
    <row r="149" spans="1:13" ht="18" customHeight="1" x14ac:dyDescent="0.3">
      <c r="A149" s="821">
        <v>141</v>
      </c>
      <c r="B149" s="827"/>
      <c r="C149" s="159"/>
      <c r="D149" s="155" t="s">
        <v>917</v>
      </c>
      <c r="E149" s="828">
        <f>F149+G149+L150</f>
        <v>1500</v>
      </c>
      <c r="F149" s="829"/>
      <c r="G149" s="834"/>
      <c r="H149" s="835"/>
      <c r="I149" s="828"/>
      <c r="J149" s="837"/>
      <c r="K149" s="837"/>
      <c r="L149" s="1198"/>
      <c r="M149" s="832"/>
    </row>
    <row r="150" spans="1:13" ht="18" customHeight="1" x14ac:dyDescent="0.3">
      <c r="A150" s="821">
        <v>142</v>
      </c>
      <c r="B150" s="827"/>
      <c r="C150" s="159"/>
      <c r="D150" s="1376" t="s">
        <v>921</v>
      </c>
      <c r="E150" s="828"/>
      <c r="F150" s="829"/>
      <c r="G150" s="834"/>
      <c r="H150" s="835"/>
      <c r="I150" s="828"/>
      <c r="J150" s="1378">
        <v>1500</v>
      </c>
      <c r="K150" s="837"/>
      <c r="L150" s="1006">
        <f>SUM(F150:K150)</f>
        <v>1500</v>
      </c>
      <c r="M150" s="832"/>
    </row>
    <row r="151" spans="1:13" ht="18" customHeight="1" x14ac:dyDescent="0.3">
      <c r="A151" s="821">
        <v>143</v>
      </c>
      <c r="B151" s="827"/>
      <c r="C151" s="159"/>
      <c r="D151" s="1022" t="s">
        <v>973</v>
      </c>
      <c r="E151" s="828"/>
      <c r="F151" s="829"/>
      <c r="G151" s="834"/>
      <c r="H151" s="835"/>
      <c r="I151" s="828"/>
      <c r="J151" s="837">
        <v>0</v>
      </c>
      <c r="K151" s="837"/>
      <c r="L151" s="1007">
        <f>SUM(F151:K151)</f>
        <v>0</v>
      </c>
      <c r="M151" s="832"/>
    </row>
    <row r="152" spans="1:13" ht="18" customHeight="1" x14ac:dyDescent="0.3">
      <c r="A152" s="821">
        <v>144</v>
      </c>
      <c r="B152" s="827"/>
      <c r="C152" s="159"/>
      <c r="D152" s="155" t="s">
        <v>918</v>
      </c>
      <c r="E152" s="828">
        <f>F152+G152+L153</f>
        <v>1500</v>
      </c>
      <c r="F152" s="829"/>
      <c r="G152" s="834"/>
      <c r="H152" s="835"/>
      <c r="I152" s="828"/>
      <c r="J152" s="837"/>
      <c r="K152" s="837"/>
      <c r="L152" s="1198"/>
      <c r="M152" s="832"/>
    </row>
    <row r="153" spans="1:13" ht="18" customHeight="1" x14ac:dyDescent="0.3">
      <c r="A153" s="821">
        <v>145</v>
      </c>
      <c r="B153" s="827"/>
      <c r="C153" s="159"/>
      <c r="D153" s="1376" t="s">
        <v>921</v>
      </c>
      <c r="E153" s="828"/>
      <c r="F153" s="829"/>
      <c r="G153" s="834"/>
      <c r="H153" s="835"/>
      <c r="I153" s="828"/>
      <c r="J153" s="1378">
        <v>1500</v>
      </c>
      <c r="K153" s="837"/>
      <c r="L153" s="1006">
        <f>SUM(F153:K153)</f>
        <v>1500</v>
      </c>
      <c r="M153" s="832"/>
    </row>
    <row r="154" spans="1:13" ht="18" customHeight="1" x14ac:dyDescent="0.3">
      <c r="A154" s="821">
        <v>146</v>
      </c>
      <c r="B154" s="827"/>
      <c r="C154" s="159"/>
      <c r="D154" s="1022" t="s">
        <v>973</v>
      </c>
      <c r="E154" s="828"/>
      <c r="F154" s="829"/>
      <c r="G154" s="834"/>
      <c r="H154" s="835"/>
      <c r="I154" s="828"/>
      <c r="J154" s="837">
        <v>0</v>
      </c>
      <c r="K154" s="837"/>
      <c r="L154" s="1007">
        <f>SUM(F154:K154)</f>
        <v>0</v>
      </c>
      <c r="M154" s="832"/>
    </row>
    <row r="155" spans="1:13" ht="18" customHeight="1" x14ac:dyDescent="0.3">
      <c r="A155" s="821">
        <v>147</v>
      </c>
      <c r="B155" s="827"/>
      <c r="C155" s="159"/>
      <c r="D155" s="155" t="s">
        <v>919</v>
      </c>
      <c r="E155" s="828">
        <f>F155+G155+L156</f>
        <v>160</v>
      </c>
      <c r="F155" s="829"/>
      <c r="G155" s="834"/>
      <c r="H155" s="835"/>
      <c r="I155" s="828"/>
      <c r="J155" s="837"/>
      <c r="K155" s="837"/>
      <c r="L155" s="1198"/>
      <c r="M155" s="832"/>
    </row>
    <row r="156" spans="1:13" ht="18" customHeight="1" x14ac:dyDescent="0.3">
      <c r="A156" s="821">
        <v>148</v>
      </c>
      <c r="B156" s="827"/>
      <c r="C156" s="159"/>
      <c r="D156" s="1376" t="s">
        <v>921</v>
      </c>
      <c r="E156" s="828"/>
      <c r="F156" s="829"/>
      <c r="G156" s="834"/>
      <c r="H156" s="835"/>
      <c r="I156" s="828"/>
      <c r="J156" s="1378">
        <v>160</v>
      </c>
      <c r="K156" s="837"/>
      <c r="L156" s="1006">
        <f>SUM(F156:K156)</f>
        <v>160</v>
      </c>
      <c r="M156" s="832"/>
    </row>
    <row r="157" spans="1:13" ht="18" customHeight="1" x14ac:dyDescent="0.3">
      <c r="A157" s="821">
        <v>149</v>
      </c>
      <c r="B157" s="827"/>
      <c r="C157" s="159"/>
      <c r="D157" s="1022" t="s">
        <v>973</v>
      </c>
      <c r="E157" s="828"/>
      <c r="F157" s="829"/>
      <c r="G157" s="834"/>
      <c r="H157" s="835"/>
      <c r="I157" s="828"/>
      <c r="J157" s="837">
        <v>0</v>
      </c>
      <c r="K157" s="837"/>
      <c r="L157" s="1007">
        <f>SUM(F157:K157)</f>
        <v>0</v>
      </c>
      <c r="M157" s="832"/>
    </row>
    <row r="158" spans="1:13" ht="22.15" customHeight="1" x14ac:dyDescent="0.3">
      <c r="A158" s="821">
        <v>150</v>
      </c>
      <c r="B158" s="827"/>
      <c r="C158" s="159">
        <v>41</v>
      </c>
      <c r="D158" s="343" t="s">
        <v>495</v>
      </c>
      <c r="E158" s="1019">
        <f>F158+G158+L160+M159</f>
        <v>46390</v>
      </c>
      <c r="F158" s="1324"/>
      <c r="G158" s="1325">
        <v>459</v>
      </c>
      <c r="H158" s="1326" t="s">
        <v>24</v>
      </c>
      <c r="I158" s="1019"/>
      <c r="J158" s="1019"/>
      <c r="K158" s="1019"/>
      <c r="L158" s="987"/>
      <c r="M158" s="1023"/>
    </row>
    <row r="159" spans="1:13" ht="18" customHeight="1" x14ac:dyDescent="0.35">
      <c r="A159" s="821">
        <v>151</v>
      </c>
      <c r="B159" s="827"/>
      <c r="C159" s="159"/>
      <c r="D159" s="997" t="s">
        <v>252</v>
      </c>
      <c r="E159" s="1331"/>
      <c r="F159" s="1332"/>
      <c r="G159" s="1333"/>
      <c r="H159" s="1334"/>
      <c r="I159" s="1335">
        <v>641</v>
      </c>
      <c r="J159" s="1336">
        <v>22290</v>
      </c>
      <c r="K159" s="1336"/>
      <c r="L159" s="1337">
        <f t="shared" si="2"/>
        <v>22931</v>
      </c>
      <c r="M159" s="1023"/>
    </row>
    <row r="160" spans="1:13" ht="18" customHeight="1" x14ac:dyDescent="0.35">
      <c r="A160" s="821">
        <v>152</v>
      </c>
      <c r="B160" s="827"/>
      <c r="C160" s="159"/>
      <c r="D160" s="996" t="s">
        <v>921</v>
      </c>
      <c r="E160" s="1331"/>
      <c r="F160" s="1332"/>
      <c r="G160" s="1333"/>
      <c r="H160" s="1334"/>
      <c r="I160" s="1009">
        <v>2641</v>
      </c>
      <c r="J160" s="986">
        <v>43290</v>
      </c>
      <c r="K160" s="986"/>
      <c r="L160" s="1428">
        <f t="shared" si="2"/>
        <v>45931</v>
      </c>
      <c r="M160" s="1023"/>
    </row>
    <row r="161" spans="1:13" ht="18" customHeight="1" x14ac:dyDescent="0.35">
      <c r="A161" s="821">
        <v>153</v>
      </c>
      <c r="B161" s="827"/>
      <c r="C161" s="159"/>
      <c r="D161" s="994" t="s">
        <v>972</v>
      </c>
      <c r="E161" s="1032"/>
      <c r="F161" s="1338"/>
      <c r="G161" s="1339"/>
      <c r="H161" s="1340"/>
      <c r="I161" s="1192">
        <v>0</v>
      </c>
      <c r="J161" s="949">
        <v>5501</v>
      </c>
      <c r="K161" s="949"/>
      <c r="L161" s="922">
        <f>SUM(F161:K161)</f>
        <v>5501</v>
      </c>
      <c r="M161" s="1023"/>
    </row>
    <row r="162" spans="1:13" ht="22.15" customHeight="1" x14ac:dyDescent="0.3">
      <c r="A162" s="821">
        <v>154</v>
      </c>
      <c r="B162" s="827"/>
      <c r="C162" s="159">
        <v>42</v>
      </c>
      <c r="D162" s="343" t="s">
        <v>496</v>
      </c>
      <c r="E162" s="1019">
        <f>F162+G162+L164+M163</f>
        <v>10540</v>
      </c>
      <c r="F162" s="1324"/>
      <c r="G162" s="1325"/>
      <c r="H162" s="1326" t="s">
        <v>23</v>
      </c>
      <c r="I162" s="1019"/>
      <c r="J162" s="1019"/>
      <c r="K162" s="1019"/>
      <c r="L162" s="987"/>
      <c r="M162" s="1023"/>
    </row>
    <row r="163" spans="1:13" ht="18" customHeight="1" x14ac:dyDescent="0.35">
      <c r="A163" s="821">
        <v>155</v>
      </c>
      <c r="B163" s="827"/>
      <c r="C163" s="159"/>
      <c r="D163" s="997" t="s">
        <v>252</v>
      </c>
      <c r="E163" s="1331"/>
      <c r="F163" s="1332"/>
      <c r="G163" s="1333"/>
      <c r="H163" s="1334"/>
      <c r="I163" s="1335"/>
      <c r="J163" s="1336">
        <v>10540</v>
      </c>
      <c r="K163" s="1336"/>
      <c r="L163" s="1337">
        <f t="shared" si="2"/>
        <v>10540</v>
      </c>
      <c r="M163" s="1023"/>
    </row>
    <row r="164" spans="1:13" ht="18" customHeight="1" x14ac:dyDescent="0.35">
      <c r="A164" s="821">
        <v>156</v>
      </c>
      <c r="B164" s="827"/>
      <c r="C164" s="159"/>
      <c r="D164" s="996" t="s">
        <v>921</v>
      </c>
      <c r="E164" s="1331"/>
      <c r="F164" s="1332"/>
      <c r="G164" s="1333"/>
      <c r="H164" s="1334"/>
      <c r="I164" s="1009"/>
      <c r="J164" s="986">
        <v>10540</v>
      </c>
      <c r="K164" s="986"/>
      <c r="L164" s="1428">
        <f t="shared" si="2"/>
        <v>10540</v>
      </c>
      <c r="M164" s="1023"/>
    </row>
    <row r="165" spans="1:13" ht="18" customHeight="1" x14ac:dyDescent="0.35">
      <c r="A165" s="821">
        <v>157</v>
      </c>
      <c r="B165" s="827"/>
      <c r="C165" s="159"/>
      <c r="D165" s="994" t="s">
        <v>973</v>
      </c>
      <c r="E165" s="1032"/>
      <c r="F165" s="1338"/>
      <c r="G165" s="1339"/>
      <c r="H165" s="1340"/>
      <c r="I165" s="1192"/>
      <c r="J165" s="949">
        <v>10540</v>
      </c>
      <c r="K165" s="949"/>
      <c r="L165" s="922">
        <f>SUM(F165:K165)</f>
        <v>10540</v>
      </c>
      <c r="M165" s="1023"/>
    </row>
    <row r="166" spans="1:13" ht="22.15" customHeight="1" x14ac:dyDescent="0.3">
      <c r="A166" s="821">
        <v>158</v>
      </c>
      <c r="B166" s="827"/>
      <c r="C166" s="159">
        <v>43</v>
      </c>
      <c r="D166" s="144" t="s">
        <v>516</v>
      </c>
      <c r="E166" s="1019">
        <f>F166+G166+L168+M167</f>
        <v>709088</v>
      </c>
      <c r="F166" s="1324"/>
      <c r="G166" s="1325">
        <v>354544</v>
      </c>
      <c r="H166" s="1326" t="s">
        <v>23</v>
      </c>
      <c r="I166" s="1019"/>
      <c r="J166" s="1019"/>
      <c r="K166" s="1019"/>
      <c r="L166" s="987"/>
      <c r="M166" s="1023"/>
    </row>
    <row r="167" spans="1:13" ht="18" customHeight="1" x14ac:dyDescent="0.35">
      <c r="A167" s="821">
        <v>159</v>
      </c>
      <c r="B167" s="827"/>
      <c r="C167" s="159"/>
      <c r="D167" s="997" t="s">
        <v>252</v>
      </c>
      <c r="E167" s="1331"/>
      <c r="F167" s="1332"/>
      <c r="G167" s="1333"/>
      <c r="H167" s="1334"/>
      <c r="I167" s="1335"/>
      <c r="J167" s="1336"/>
      <c r="K167" s="1336">
        <v>354544</v>
      </c>
      <c r="L167" s="1337">
        <f t="shared" si="2"/>
        <v>354544</v>
      </c>
      <c r="M167" s="1023"/>
    </row>
    <row r="168" spans="1:13" ht="18" customHeight="1" x14ac:dyDescent="0.35">
      <c r="A168" s="821">
        <v>160</v>
      </c>
      <c r="B168" s="827"/>
      <c r="C168" s="159"/>
      <c r="D168" s="996" t="s">
        <v>921</v>
      </c>
      <c r="E168" s="1331"/>
      <c r="F168" s="1332"/>
      <c r="G168" s="1333"/>
      <c r="H168" s="1334"/>
      <c r="I168" s="1335"/>
      <c r="J168" s="1336"/>
      <c r="K168" s="986">
        <v>354544</v>
      </c>
      <c r="L168" s="1428">
        <f t="shared" si="2"/>
        <v>354544</v>
      </c>
      <c r="M168" s="1023"/>
    </row>
    <row r="169" spans="1:13" ht="18" customHeight="1" x14ac:dyDescent="0.35">
      <c r="A169" s="821">
        <v>161</v>
      </c>
      <c r="B169" s="827"/>
      <c r="C169" s="159"/>
      <c r="D169" s="994" t="s">
        <v>973</v>
      </c>
      <c r="E169" s="1032"/>
      <c r="F169" s="1338"/>
      <c r="G169" s="1339"/>
      <c r="H169" s="1340"/>
      <c r="I169" s="1192"/>
      <c r="J169" s="949"/>
      <c r="K169" s="949">
        <v>177272</v>
      </c>
      <c r="L169" s="922">
        <f>SUM(F169:K169)</f>
        <v>177272</v>
      </c>
      <c r="M169" s="1023"/>
    </row>
    <row r="170" spans="1:13" ht="22.15" customHeight="1" x14ac:dyDescent="0.3">
      <c r="A170" s="821">
        <v>162</v>
      </c>
      <c r="B170" s="827"/>
      <c r="C170" s="159">
        <v>44</v>
      </c>
      <c r="D170" s="144" t="s">
        <v>513</v>
      </c>
      <c r="E170" s="1019">
        <f>F170+G170</f>
        <v>1507</v>
      </c>
      <c r="F170" s="1324">
        <f>899+383</f>
        <v>1282</v>
      </c>
      <c r="G170" s="1325">
        <v>225</v>
      </c>
      <c r="H170" s="1326" t="s">
        <v>23</v>
      </c>
      <c r="I170" s="1019"/>
      <c r="J170" s="1019"/>
      <c r="K170" s="1019"/>
      <c r="L170" s="987"/>
      <c r="M170" s="1023"/>
    </row>
    <row r="171" spans="1:13" ht="22.15" customHeight="1" x14ac:dyDescent="0.3">
      <c r="A171" s="821">
        <v>163</v>
      </c>
      <c r="B171" s="827"/>
      <c r="C171" s="159">
        <v>45</v>
      </c>
      <c r="D171" s="144" t="s">
        <v>497</v>
      </c>
      <c r="E171" s="1019">
        <f>F171+G171+L173+M172</f>
        <v>12000</v>
      </c>
      <c r="F171" s="1324"/>
      <c r="G171" s="1325"/>
      <c r="H171" s="1326" t="s">
        <v>24</v>
      </c>
      <c r="I171" s="1019"/>
      <c r="J171" s="1019"/>
      <c r="K171" s="1019"/>
      <c r="L171" s="985"/>
      <c r="M171" s="1023"/>
    </row>
    <row r="172" spans="1:13" ht="18" customHeight="1" x14ac:dyDescent="0.35">
      <c r="A172" s="821">
        <v>164</v>
      </c>
      <c r="B172" s="827"/>
      <c r="C172" s="285"/>
      <c r="D172" s="997" t="s">
        <v>252</v>
      </c>
      <c r="E172" s="1331"/>
      <c r="F172" s="1332"/>
      <c r="G172" s="1333"/>
      <c r="H172" s="1334"/>
      <c r="I172" s="1335"/>
      <c r="J172" s="1336">
        <v>12000</v>
      </c>
      <c r="K172" s="1336"/>
      <c r="L172" s="1337">
        <f t="shared" si="2"/>
        <v>12000</v>
      </c>
      <c r="M172" s="1024"/>
    </row>
    <row r="173" spans="1:13" ht="18" customHeight="1" x14ac:dyDescent="0.35">
      <c r="A173" s="821">
        <v>165</v>
      </c>
      <c r="B173" s="827"/>
      <c r="C173" s="285"/>
      <c r="D173" s="996" t="s">
        <v>921</v>
      </c>
      <c r="E173" s="1331"/>
      <c r="F173" s="1332"/>
      <c r="G173" s="1333"/>
      <c r="H173" s="1334"/>
      <c r="I173" s="1009"/>
      <c r="J173" s="986">
        <v>12000</v>
      </c>
      <c r="K173" s="986"/>
      <c r="L173" s="1428">
        <f t="shared" si="2"/>
        <v>12000</v>
      </c>
      <c r="M173" s="1024"/>
    </row>
    <row r="174" spans="1:13" ht="18" customHeight="1" x14ac:dyDescent="0.35">
      <c r="A174" s="821">
        <v>166</v>
      </c>
      <c r="B174" s="827"/>
      <c r="C174" s="285"/>
      <c r="D174" s="994" t="s">
        <v>973</v>
      </c>
      <c r="E174" s="1032"/>
      <c r="F174" s="1338"/>
      <c r="G174" s="1339"/>
      <c r="H174" s="1340"/>
      <c r="I174" s="1192"/>
      <c r="J174" s="949">
        <v>0</v>
      </c>
      <c r="K174" s="949"/>
      <c r="L174" s="922">
        <f>SUM(F174:K174)</f>
        <v>0</v>
      </c>
      <c r="M174" s="1024"/>
    </row>
    <row r="175" spans="1:13" ht="36" customHeight="1" x14ac:dyDescent="0.3">
      <c r="A175" s="821">
        <v>167</v>
      </c>
      <c r="B175" s="842"/>
      <c r="C175" s="143">
        <v>47</v>
      </c>
      <c r="D175" s="343" t="s">
        <v>695</v>
      </c>
      <c r="E175" s="1019">
        <f>F175+G175+L177+M176</f>
        <v>783</v>
      </c>
      <c r="F175" s="1324"/>
      <c r="G175" s="1328">
        <v>527</v>
      </c>
      <c r="H175" s="1326" t="s">
        <v>24</v>
      </c>
      <c r="I175" s="1019"/>
      <c r="J175" s="1019"/>
      <c r="K175" s="1019"/>
      <c r="L175" s="985"/>
      <c r="M175" s="1023"/>
    </row>
    <row r="176" spans="1:13" ht="18" customHeight="1" x14ac:dyDescent="0.35">
      <c r="A176" s="821">
        <v>168</v>
      </c>
      <c r="B176" s="842"/>
      <c r="C176" s="159"/>
      <c r="D176" s="997" t="s">
        <v>252</v>
      </c>
      <c r="E176" s="1331"/>
      <c r="F176" s="1332"/>
      <c r="G176" s="1333"/>
      <c r="H176" s="1334"/>
      <c r="I176" s="1335"/>
      <c r="J176" s="1336">
        <v>256</v>
      </c>
      <c r="K176" s="1336"/>
      <c r="L176" s="1337">
        <f t="shared" si="2"/>
        <v>256</v>
      </c>
      <c r="M176" s="1023"/>
    </row>
    <row r="177" spans="1:13" ht="18" customHeight="1" x14ac:dyDescent="0.35">
      <c r="A177" s="821">
        <v>169</v>
      </c>
      <c r="B177" s="842"/>
      <c r="C177" s="159"/>
      <c r="D177" s="996" t="s">
        <v>921</v>
      </c>
      <c r="E177" s="1331"/>
      <c r="F177" s="1332"/>
      <c r="G177" s="1333"/>
      <c r="H177" s="1334"/>
      <c r="I177" s="1009"/>
      <c r="J177" s="986">
        <v>256</v>
      </c>
      <c r="K177" s="986"/>
      <c r="L177" s="1428">
        <f t="shared" si="2"/>
        <v>256</v>
      </c>
      <c r="M177" s="1023"/>
    </row>
    <row r="178" spans="1:13" ht="18" customHeight="1" x14ac:dyDescent="0.35">
      <c r="A178" s="821">
        <v>170</v>
      </c>
      <c r="B178" s="842"/>
      <c r="C178" s="159"/>
      <c r="D178" s="994" t="s">
        <v>973</v>
      </c>
      <c r="E178" s="1032"/>
      <c r="F178" s="1338"/>
      <c r="G178" s="1339"/>
      <c r="H178" s="1340"/>
      <c r="I178" s="1192"/>
      <c r="J178" s="949">
        <v>0</v>
      </c>
      <c r="K178" s="949"/>
      <c r="L178" s="922">
        <f>SUM(F178:K178)</f>
        <v>0</v>
      </c>
      <c r="M178" s="1023"/>
    </row>
    <row r="179" spans="1:13" ht="33" customHeight="1" x14ac:dyDescent="0.3">
      <c r="A179" s="821">
        <v>171</v>
      </c>
      <c r="B179" s="842"/>
      <c r="C179" s="143">
        <v>48</v>
      </c>
      <c r="D179" s="844" t="s">
        <v>792</v>
      </c>
      <c r="E179" s="1019">
        <f>F179+G179+L181+M180</f>
        <v>30000</v>
      </c>
      <c r="F179" s="1324"/>
      <c r="G179" s="1328"/>
      <c r="H179" s="1326" t="s">
        <v>23</v>
      </c>
      <c r="I179" s="1019"/>
      <c r="J179" s="1019"/>
      <c r="K179" s="1019"/>
      <c r="L179" s="985"/>
      <c r="M179" s="1023"/>
    </row>
    <row r="180" spans="1:13" ht="18" customHeight="1" x14ac:dyDescent="0.35">
      <c r="A180" s="821">
        <v>172</v>
      </c>
      <c r="B180" s="842"/>
      <c r="C180" s="159"/>
      <c r="D180" s="997" t="s">
        <v>252</v>
      </c>
      <c r="E180" s="1331"/>
      <c r="F180" s="1332"/>
      <c r="G180" s="1333"/>
      <c r="H180" s="1334"/>
      <c r="I180" s="1335"/>
      <c r="J180" s="1336">
        <f>15000+15000</f>
        <v>30000</v>
      </c>
      <c r="K180" s="1336"/>
      <c r="L180" s="1337">
        <f>SUM(I180:K180)</f>
        <v>30000</v>
      </c>
      <c r="M180" s="1023"/>
    </row>
    <row r="181" spans="1:13" ht="18" customHeight="1" x14ac:dyDescent="0.35">
      <c r="A181" s="821">
        <v>173</v>
      </c>
      <c r="B181" s="842"/>
      <c r="C181" s="159"/>
      <c r="D181" s="996" t="s">
        <v>921</v>
      </c>
      <c r="E181" s="1020"/>
      <c r="F181" s="1341"/>
      <c r="G181" s="1342"/>
      <c r="H181" s="1343"/>
      <c r="I181" s="1009"/>
      <c r="J181" s="986">
        <v>30000</v>
      </c>
      <c r="K181" s="986"/>
      <c r="L181" s="1428">
        <f>SUM(I181:K181)</f>
        <v>30000</v>
      </c>
      <c r="M181" s="1023"/>
    </row>
    <row r="182" spans="1:13" ht="18" customHeight="1" x14ac:dyDescent="0.35">
      <c r="A182" s="821">
        <v>174</v>
      </c>
      <c r="B182" s="842"/>
      <c r="C182" s="159"/>
      <c r="D182" s="994" t="s">
        <v>973</v>
      </c>
      <c r="E182" s="1032"/>
      <c r="F182" s="1338"/>
      <c r="G182" s="1339"/>
      <c r="H182" s="1340"/>
      <c r="I182" s="1192"/>
      <c r="J182" s="949">
        <v>0</v>
      </c>
      <c r="K182" s="949"/>
      <c r="L182" s="922">
        <f>SUM(F182:K182)</f>
        <v>0</v>
      </c>
      <c r="M182" s="1023"/>
    </row>
    <row r="183" spans="1:13" ht="22.15" customHeight="1" x14ac:dyDescent="0.3">
      <c r="A183" s="821">
        <v>175</v>
      </c>
      <c r="B183" s="842"/>
      <c r="C183" s="159">
        <v>49</v>
      </c>
      <c r="D183" s="844" t="s">
        <v>696</v>
      </c>
      <c r="E183" s="1019">
        <f>F183+G183+L185+M184</f>
        <v>2600</v>
      </c>
      <c r="F183" s="1324"/>
      <c r="G183" s="1328"/>
      <c r="H183" s="1326" t="s">
        <v>24</v>
      </c>
      <c r="I183" s="1019"/>
      <c r="J183" s="1019"/>
      <c r="K183" s="1019"/>
      <c r="L183" s="985"/>
      <c r="M183" s="1023"/>
    </row>
    <row r="184" spans="1:13" ht="18" customHeight="1" x14ac:dyDescent="0.35">
      <c r="A184" s="821">
        <v>176</v>
      </c>
      <c r="B184" s="842"/>
      <c r="C184" s="159"/>
      <c r="D184" s="983" t="s">
        <v>252</v>
      </c>
      <c r="E184" s="1019"/>
      <c r="F184" s="1324"/>
      <c r="G184" s="1328"/>
      <c r="H184" s="1326"/>
      <c r="I184" s="1019"/>
      <c r="J184" s="1336">
        <v>2600</v>
      </c>
      <c r="K184" s="1019"/>
      <c r="L184" s="1337">
        <f t="shared" si="2"/>
        <v>2600</v>
      </c>
      <c r="M184" s="1023"/>
    </row>
    <row r="185" spans="1:13" ht="18" customHeight="1" x14ac:dyDescent="0.35">
      <c r="A185" s="821">
        <v>177</v>
      </c>
      <c r="B185" s="842"/>
      <c r="C185" s="159"/>
      <c r="D185" s="996" t="s">
        <v>921</v>
      </c>
      <c r="E185" s="1019"/>
      <c r="F185" s="1324"/>
      <c r="G185" s="1328"/>
      <c r="H185" s="1326"/>
      <c r="I185" s="1019"/>
      <c r="J185" s="986">
        <v>2600</v>
      </c>
      <c r="K185" s="1019"/>
      <c r="L185" s="1428">
        <f t="shared" si="2"/>
        <v>2600</v>
      </c>
      <c r="M185" s="1023"/>
    </row>
    <row r="186" spans="1:13" ht="18" customHeight="1" x14ac:dyDescent="0.35">
      <c r="A186" s="821">
        <v>178</v>
      </c>
      <c r="B186" s="842"/>
      <c r="C186" s="159"/>
      <c r="D186" s="994" t="s">
        <v>973</v>
      </c>
      <c r="E186" s="1019"/>
      <c r="F186" s="1324"/>
      <c r="G186" s="1328"/>
      <c r="H186" s="1326"/>
      <c r="I186" s="1019"/>
      <c r="J186" s="1019">
        <v>0</v>
      </c>
      <c r="K186" s="1019"/>
      <c r="L186" s="922">
        <f>SUM(F186:K186)</f>
        <v>0</v>
      </c>
      <c r="M186" s="1023"/>
    </row>
    <row r="187" spans="1:13" ht="22.15" customHeight="1" x14ac:dyDescent="0.3">
      <c r="A187" s="821">
        <v>179</v>
      </c>
      <c r="B187" s="842"/>
      <c r="C187" s="159">
        <v>50</v>
      </c>
      <c r="D187" s="844" t="s">
        <v>803</v>
      </c>
      <c r="E187" s="1019">
        <f>F187+G187+L189+M188</f>
        <v>5500</v>
      </c>
      <c r="F187" s="1324"/>
      <c r="G187" s="1328">
        <v>980</v>
      </c>
      <c r="H187" s="1326" t="s">
        <v>23</v>
      </c>
      <c r="I187" s="1019"/>
      <c r="J187" s="1019"/>
      <c r="K187" s="1019"/>
      <c r="L187" s="985"/>
      <c r="M187" s="1023"/>
    </row>
    <row r="188" spans="1:13" ht="18" customHeight="1" x14ac:dyDescent="0.35">
      <c r="A188" s="821">
        <v>180</v>
      </c>
      <c r="B188" s="842"/>
      <c r="C188" s="159"/>
      <c r="D188" s="997" t="s">
        <v>252</v>
      </c>
      <c r="E188" s="1331"/>
      <c r="F188" s="1332"/>
      <c r="G188" s="1333"/>
      <c r="H188" s="1334"/>
      <c r="I188" s="1335"/>
      <c r="J188" s="1336">
        <f>2500+2020</f>
        <v>4520</v>
      </c>
      <c r="K188" s="1336"/>
      <c r="L188" s="1337">
        <f>SUM(I188:K188)</f>
        <v>4520</v>
      </c>
      <c r="M188" s="1023"/>
    </row>
    <row r="189" spans="1:13" ht="18" customHeight="1" x14ac:dyDescent="0.35">
      <c r="A189" s="821">
        <v>181</v>
      </c>
      <c r="B189" s="842"/>
      <c r="C189" s="159"/>
      <c r="D189" s="996" t="s">
        <v>921</v>
      </c>
      <c r="E189" s="1331"/>
      <c r="F189" s="1332"/>
      <c r="G189" s="1333"/>
      <c r="H189" s="1334"/>
      <c r="I189" s="1009"/>
      <c r="J189" s="986">
        <v>4520</v>
      </c>
      <c r="K189" s="986"/>
      <c r="L189" s="1428">
        <f>SUM(I189:K189)</f>
        <v>4520</v>
      </c>
      <c r="M189" s="1023"/>
    </row>
    <row r="190" spans="1:13" ht="18" customHeight="1" x14ac:dyDescent="0.35">
      <c r="A190" s="821">
        <v>182</v>
      </c>
      <c r="B190" s="842"/>
      <c r="C190" s="159"/>
      <c r="D190" s="994" t="s">
        <v>973</v>
      </c>
      <c r="E190" s="1032"/>
      <c r="F190" s="1338"/>
      <c r="G190" s="1339"/>
      <c r="H190" s="1340"/>
      <c r="I190" s="1192"/>
      <c r="J190" s="949">
        <v>1090</v>
      </c>
      <c r="K190" s="949"/>
      <c r="L190" s="922">
        <f>SUM(F190:K190)</f>
        <v>1090</v>
      </c>
      <c r="M190" s="1023"/>
    </row>
    <row r="191" spans="1:13" ht="37.5" customHeight="1" x14ac:dyDescent="0.3">
      <c r="A191" s="821">
        <v>183</v>
      </c>
      <c r="B191" s="842"/>
      <c r="C191" s="143">
        <v>51</v>
      </c>
      <c r="D191" s="845" t="s">
        <v>697</v>
      </c>
      <c r="E191" s="1019">
        <f>F191+G191+L193+M192</f>
        <v>72561</v>
      </c>
      <c r="F191" s="1324"/>
      <c r="G191" s="1328"/>
      <c r="H191" s="1326" t="s">
        <v>24</v>
      </c>
      <c r="I191" s="1019"/>
      <c r="J191" s="1019"/>
      <c r="K191" s="1019"/>
      <c r="L191" s="985"/>
      <c r="M191" s="1023"/>
    </row>
    <row r="192" spans="1:13" ht="18" customHeight="1" x14ac:dyDescent="0.35">
      <c r="A192" s="821">
        <v>184</v>
      </c>
      <c r="B192" s="842"/>
      <c r="C192" s="159"/>
      <c r="D192" s="997" t="s">
        <v>252</v>
      </c>
      <c r="E192" s="1331"/>
      <c r="F192" s="1332"/>
      <c r="G192" s="1333"/>
      <c r="H192" s="1334"/>
      <c r="I192" s="1335"/>
      <c r="J192" s="1336">
        <v>72561</v>
      </c>
      <c r="K192" s="1336"/>
      <c r="L192" s="1337">
        <f t="shared" si="2"/>
        <v>72561</v>
      </c>
      <c r="M192" s="1023"/>
    </row>
    <row r="193" spans="1:13" ht="18" customHeight="1" x14ac:dyDescent="0.35">
      <c r="A193" s="821">
        <v>185</v>
      </c>
      <c r="B193" s="842"/>
      <c r="C193" s="159"/>
      <c r="D193" s="996" t="s">
        <v>921</v>
      </c>
      <c r="E193" s="1331"/>
      <c r="F193" s="1332"/>
      <c r="G193" s="1333"/>
      <c r="H193" s="1334"/>
      <c r="I193" s="1009"/>
      <c r="J193" s="986">
        <v>72561</v>
      </c>
      <c r="K193" s="986"/>
      <c r="L193" s="1428">
        <f t="shared" si="2"/>
        <v>72561</v>
      </c>
      <c r="M193" s="1023"/>
    </row>
    <row r="194" spans="1:13" ht="18" customHeight="1" x14ac:dyDescent="0.35">
      <c r="A194" s="821">
        <v>186</v>
      </c>
      <c r="B194" s="842"/>
      <c r="C194" s="159"/>
      <c r="D194" s="994" t="s">
        <v>973</v>
      </c>
      <c r="E194" s="1032"/>
      <c r="F194" s="1338"/>
      <c r="G194" s="1339"/>
      <c r="H194" s="1340"/>
      <c r="I194" s="1192"/>
      <c r="J194" s="949">
        <v>0</v>
      </c>
      <c r="K194" s="949"/>
      <c r="L194" s="922">
        <f>SUM(F194:K194)</f>
        <v>0</v>
      </c>
      <c r="M194" s="1023"/>
    </row>
    <row r="195" spans="1:13" ht="34.5" customHeight="1" x14ac:dyDescent="0.3">
      <c r="A195" s="821">
        <v>187</v>
      </c>
      <c r="B195" s="842"/>
      <c r="C195" s="143">
        <v>52</v>
      </c>
      <c r="D195" s="845" t="s">
        <v>698</v>
      </c>
      <c r="E195" s="1019">
        <f>F195+G195+L197+M196</f>
        <v>20000</v>
      </c>
      <c r="F195" s="1324"/>
      <c r="G195" s="1328"/>
      <c r="H195" s="1326" t="s">
        <v>24</v>
      </c>
      <c r="I195" s="1019"/>
      <c r="J195" s="1019"/>
      <c r="K195" s="1019"/>
      <c r="L195" s="985"/>
      <c r="M195" s="1023"/>
    </row>
    <row r="196" spans="1:13" ht="18" customHeight="1" x14ac:dyDescent="0.35">
      <c r="A196" s="821">
        <v>188</v>
      </c>
      <c r="B196" s="842"/>
      <c r="C196" s="159"/>
      <c r="D196" s="997" t="s">
        <v>252</v>
      </c>
      <c r="E196" s="1331"/>
      <c r="F196" s="1332"/>
      <c r="G196" s="1333"/>
      <c r="H196" s="1334"/>
      <c r="I196" s="1335"/>
      <c r="J196" s="1336">
        <v>20000</v>
      </c>
      <c r="K196" s="1336"/>
      <c r="L196" s="1337">
        <f t="shared" si="2"/>
        <v>20000</v>
      </c>
      <c r="M196" s="1023"/>
    </row>
    <row r="197" spans="1:13" ht="18" customHeight="1" x14ac:dyDescent="0.35">
      <c r="A197" s="821">
        <v>189</v>
      </c>
      <c r="B197" s="842"/>
      <c r="C197" s="159"/>
      <c r="D197" s="996" t="s">
        <v>921</v>
      </c>
      <c r="E197" s="1331"/>
      <c r="F197" s="1332"/>
      <c r="G197" s="1333"/>
      <c r="H197" s="1334"/>
      <c r="I197" s="1009"/>
      <c r="J197" s="986">
        <v>20000</v>
      </c>
      <c r="K197" s="986"/>
      <c r="L197" s="1428">
        <f t="shared" si="2"/>
        <v>20000</v>
      </c>
      <c r="M197" s="1023"/>
    </row>
    <row r="198" spans="1:13" ht="18" customHeight="1" x14ac:dyDescent="0.35">
      <c r="A198" s="821">
        <v>190</v>
      </c>
      <c r="B198" s="842"/>
      <c r="C198" s="159"/>
      <c r="D198" s="994" t="s">
        <v>973</v>
      </c>
      <c r="E198" s="1032"/>
      <c r="F198" s="1338"/>
      <c r="G198" s="1339"/>
      <c r="H198" s="1340"/>
      <c r="I198" s="1192"/>
      <c r="J198" s="949">
        <v>0</v>
      </c>
      <c r="K198" s="949"/>
      <c r="L198" s="922">
        <f>SUM(F198:K198)</f>
        <v>0</v>
      </c>
      <c r="M198" s="1023"/>
    </row>
    <row r="199" spans="1:13" ht="22.15" customHeight="1" x14ac:dyDescent="0.3">
      <c r="A199" s="821">
        <v>191</v>
      </c>
      <c r="B199" s="842"/>
      <c r="C199" s="159">
        <v>54</v>
      </c>
      <c r="D199" s="845" t="s">
        <v>699</v>
      </c>
      <c r="E199" s="1019">
        <f>F199+G199+L201+M200</f>
        <v>28000</v>
      </c>
      <c r="F199" s="1324"/>
      <c r="G199" s="1328"/>
      <c r="H199" s="1326" t="s">
        <v>24</v>
      </c>
      <c r="I199" s="1019"/>
      <c r="J199" s="1019"/>
      <c r="K199" s="1019"/>
      <c r="L199" s="985"/>
      <c r="M199" s="1023"/>
    </row>
    <row r="200" spans="1:13" ht="18" customHeight="1" x14ac:dyDescent="0.35">
      <c r="A200" s="821">
        <v>192</v>
      </c>
      <c r="B200" s="842"/>
      <c r="C200" s="159"/>
      <c r="D200" s="997" t="s">
        <v>252</v>
      </c>
      <c r="E200" s="1331"/>
      <c r="F200" s="1332"/>
      <c r="G200" s="1333"/>
      <c r="H200" s="1334"/>
      <c r="I200" s="1335"/>
      <c r="J200" s="1336">
        <v>28000</v>
      </c>
      <c r="K200" s="1336"/>
      <c r="L200" s="1337">
        <f t="shared" si="2"/>
        <v>28000</v>
      </c>
      <c r="M200" s="1023"/>
    </row>
    <row r="201" spans="1:13" ht="18" customHeight="1" x14ac:dyDescent="0.35">
      <c r="A201" s="821">
        <v>193</v>
      </c>
      <c r="B201" s="842"/>
      <c r="C201" s="159"/>
      <c r="D201" s="996" t="s">
        <v>921</v>
      </c>
      <c r="E201" s="1331"/>
      <c r="F201" s="1332"/>
      <c r="G201" s="1333"/>
      <c r="H201" s="1334"/>
      <c r="I201" s="1009"/>
      <c r="J201" s="986">
        <v>28000</v>
      </c>
      <c r="K201" s="986"/>
      <c r="L201" s="1428">
        <f t="shared" si="2"/>
        <v>28000</v>
      </c>
      <c r="M201" s="1023"/>
    </row>
    <row r="202" spans="1:13" ht="18" customHeight="1" x14ac:dyDescent="0.35">
      <c r="A202" s="821">
        <v>194</v>
      </c>
      <c r="B202" s="842"/>
      <c r="C202" s="159"/>
      <c r="D202" s="994" t="s">
        <v>973</v>
      </c>
      <c r="E202" s="1032"/>
      <c r="F202" s="1338"/>
      <c r="G202" s="1339"/>
      <c r="H202" s="1340"/>
      <c r="I202" s="1192"/>
      <c r="J202" s="949">
        <v>0</v>
      </c>
      <c r="K202" s="949"/>
      <c r="L202" s="922">
        <f>SUM(F202:K202)</f>
        <v>0</v>
      </c>
      <c r="M202" s="1023"/>
    </row>
    <row r="203" spans="1:13" ht="22.15" customHeight="1" x14ac:dyDescent="0.3">
      <c r="A203" s="821">
        <v>195</v>
      </c>
      <c r="B203" s="842"/>
      <c r="C203" s="159">
        <v>57</v>
      </c>
      <c r="D203" s="845" t="s">
        <v>700</v>
      </c>
      <c r="E203" s="1019">
        <f>F203+G203+L205+M204</f>
        <v>10000</v>
      </c>
      <c r="F203" s="1324"/>
      <c r="G203" s="1328"/>
      <c r="H203" s="1326" t="s">
        <v>24</v>
      </c>
      <c r="I203" s="1019"/>
      <c r="J203" s="1019"/>
      <c r="K203" s="1019"/>
      <c r="L203" s="985"/>
      <c r="M203" s="1023"/>
    </row>
    <row r="204" spans="1:13" ht="18" customHeight="1" x14ac:dyDescent="0.35">
      <c r="A204" s="821">
        <v>196</v>
      </c>
      <c r="B204" s="842"/>
      <c r="C204" s="159"/>
      <c r="D204" s="997" t="s">
        <v>252</v>
      </c>
      <c r="E204" s="1331"/>
      <c r="F204" s="1332"/>
      <c r="G204" s="1333"/>
      <c r="H204" s="1334"/>
      <c r="I204" s="1335">
        <v>10000</v>
      </c>
      <c r="J204" s="1336"/>
      <c r="K204" s="1336"/>
      <c r="L204" s="1337">
        <f t="shared" si="2"/>
        <v>10000</v>
      </c>
      <c r="M204" s="1023"/>
    </row>
    <row r="205" spans="1:13" ht="18" customHeight="1" x14ac:dyDescent="0.35">
      <c r="A205" s="821">
        <v>197</v>
      </c>
      <c r="B205" s="842"/>
      <c r="C205" s="159"/>
      <c r="D205" s="996" t="s">
        <v>921</v>
      </c>
      <c r="E205" s="1331"/>
      <c r="F205" s="1332"/>
      <c r="G205" s="1333"/>
      <c r="H205" s="1334"/>
      <c r="I205" s="1009">
        <v>10000</v>
      </c>
      <c r="J205" s="986"/>
      <c r="K205" s="986"/>
      <c r="L205" s="1428">
        <f t="shared" si="2"/>
        <v>10000</v>
      </c>
      <c r="M205" s="1023"/>
    </row>
    <row r="206" spans="1:13" ht="18" customHeight="1" x14ac:dyDescent="0.35">
      <c r="A206" s="821">
        <v>198</v>
      </c>
      <c r="B206" s="842"/>
      <c r="C206" s="159"/>
      <c r="D206" s="994" t="s">
        <v>973</v>
      </c>
      <c r="E206" s="1032"/>
      <c r="F206" s="1338"/>
      <c r="G206" s="1339"/>
      <c r="H206" s="1340"/>
      <c r="I206" s="1192">
        <v>0</v>
      </c>
      <c r="J206" s="949"/>
      <c r="K206" s="949"/>
      <c r="L206" s="922">
        <f>SUM(F206:K206)</f>
        <v>0</v>
      </c>
      <c r="M206" s="1023"/>
    </row>
    <row r="207" spans="1:13" ht="22.15" customHeight="1" x14ac:dyDescent="0.3">
      <c r="A207" s="821">
        <v>199</v>
      </c>
      <c r="B207" s="842"/>
      <c r="C207" s="159">
        <v>58</v>
      </c>
      <c r="D207" s="846" t="s">
        <v>701</v>
      </c>
      <c r="E207" s="1019">
        <f>F207+G207+L209+M208</f>
        <v>10000</v>
      </c>
      <c r="F207" s="1324"/>
      <c r="G207" s="1328"/>
      <c r="H207" s="1326" t="s">
        <v>24</v>
      </c>
      <c r="I207" s="1019"/>
      <c r="J207" s="1019"/>
      <c r="K207" s="1019"/>
      <c r="L207" s="985"/>
      <c r="M207" s="1023"/>
    </row>
    <row r="208" spans="1:13" ht="18" customHeight="1" x14ac:dyDescent="0.35">
      <c r="A208" s="821">
        <v>200</v>
      </c>
      <c r="B208" s="842"/>
      <c r="C208" s="159"/>
      <c r="D208" s="997" t="s">
        <v>252</v>
      </c>
      <c r="E208" s="1331"/>
      <c r="F208" s="1332"/>
      <c r="G208" s="1333"/>
      <c r="H208" s="1334"/>
      <c r="I208" s="1335"/>
      <c r="J208" s="1336">
        <v>10000</v>
      </c>
      <c r="K208" s="1336"/>
      <c r="L208" s="1337">
        <f t="shared" si="2"/>
        <v>10000</v>
      </c>
      <c r="M208" s="1023"/>
    </row>
    <row r="209" spans="1:13" ht="18" customHeight="1" x14ac:dyDescent="0.35">
      <c r="A209" s="821">
        <v>201</v>
      </c>
      <c r="B209" s="842"/>
      <c r="C209" s="159"/>
      <c r="D209" s="996" t="s">
        <v>921</v>
      </c>
      <c r="E209" s="1331"/>
      <c r="F209" s="1332"/>
      <c r="G209" s="1333"/>
      <c r="H209" s="1334"/>
      <c r="I209" s="1009"/>
      <c r="J209" s="986">
        <v>10000</v>
      </c>
      <c r="K209" s="986"/>
      <c r="L209" s="1428">
        <f t="shared" si="2"/>
        <v>10000</v>
      </c>
      <c r="M209" s="1023"/>
    </row>
    <row r="210" spans="1:13" ht="18" customHeight="1" x14ac:dyDescent="0.35">
      <c r="A210" s="821">
        <v>202</v>
      </c>
      <c r="B210" s="842"/>
      <c r="C210" s="159"/>
      <c r="D210" s="994" t="s">
        <v>973</v>
      </c>
      <c r="E210" s="1032"/>
      <c r="F210" s="1338"/>
      <c r="G210" s="1339"/>
      <c r="H210" s="1340"/>
      <c r="I210" s="1192"/>
      <c r="J210" s="949">
        <v>0</v>
      </c>
      <c r="K210" s="949"/>
      <c r="L210" s="922">
        <f>SUM(F210:K210)</f>
        <v>0</v>
      </c>
      <c r="M210" s="1023"/>
    </row>
    <row r="211" spans="1:13" ht="36" customHeight="1" x14ac:dyDescent="0.3">
      <c r="A211" s="821">
        <v>203</v>
      </c>
      <c r="B211" s="842"/>
      <c r="C211" s="143">
        <v>59</v>
      </c>
      <c r="D211" s="845" t="s">
        <v>702</v>
      </c>
      <c r="E211" s="1019">
        <f>F211+G211+L213+M212</f>
        <v>54000</v>
      </c>
      <c r="F211" s="1324"/>
      <c r="G211" s="1328"/>
      <c r="H211" s="1326" t="s">
        <v>24</v>
      </c>
      <c r="I211" s="1019"/>
      <c r="J211" s="1019"/>
      <c r="K211" s="1019"/>
      <c r="L211" s="985"/>
      <c r="M211" s="1023"/>
    </row>
    <row r="212" spans="1:13" ht="18" customHeight="1" x14ac:dyDescent="0.35">
      <c r="A212" s="821">
        <v>204</v>
      </c>
      <c r="B212" s="842"/>
      <c r="C212" s="159"/>
      <c r="D212" s="997" t="s">
        <v>252</v>
      </c>
      <c r="E212" s="1331"/>
      <c r="F212" s="1332"/>
      <c r="G212" s="1333"/>
      <c r="H212" s="1334"/>
      <c r="I212" s="1335"/>
      <c r="J212" s="1336">
        <v>54000</v>
      </c>
      <c r="K212" s="1336"/>
      <c r="L212" s="1337">
        <f t="shared" si="2"/>
        <v>54000</v>
      </c>
      <c r="M212" s="1023"/>
    </row>
    <row r="213" spans="1:13" ht="18" customHeight="1" x14ac:dyDescent="0.35">
      <c r="A213" s="821">
        <v>205</v>
      </c>
      <c r="B213" s="842"/>
      <c r="C213" s="159"/>
      <c r="D213" s="996" t="s">
        <v>921</v>
      </c>
      <c r="E213" s="1331"/>
      <c r="F213" s="1332"/>
      <c r="G213" s="1333"/>
      <c r="H213" s="1334"/>
      <c r="I213" s="1009"/>
      <c r="J213" s="986">
        <v>54000</v>
      </c>
      <c r="K213" s="986"/>
      <c r="L213" s="1428">
        <f t="shared" si="2"/>
        <v>54000</v>
      </c>
      <c r="M213" s="1023"/>
    </row>
    <row r="214" spans="1:13" ht="18" customHeight="1" x14ac:dyDescent="0.35">
      <c r="A214" s="821">
        <v>206</v>
      </c>
      <c r="B214" s="842"/>
      <c r="C214" s="159"/>
      <c r="D214" s="994" t="s">
        <v>973</v>
      </c>
      <c r="E214" s="1032"/>
      <c r="F214" s="1338"/>
      <c r="G214" s="1339"/>
      <c r="H214" s="1340"/>
      <c r="I214" s="1192"/>
      <c r="J214" s="949">
        <v>3239</v>
      </c>
      <c r="K214" s="949"/>
      <c r="L214" s="922">
        <f>SUM(F214:K214)</f>
        <v>3239</v>
      </c>
      <c r="M214" s="1023"/>
    </row>
    <row r="215" spans="1:13" ht="51.75" customHeight="1" x14ac:dyDescent="0.3">
      <c r="A215" s="821">
        <v>207</v>
      </c>
      <c r="B215" s="842"/>
      <c r="C215" s="143">
        <v>60</v>
      </c>
      <c r="D215" s="845" t="s">
        <v>703</v>
      </c>
      <c r="E215" s="1019">
        <f>F215+G215+L217+M216</f>
        <v>4255</v>
      </c>
      <c r="F215" s="1324"/>
      <c r="G215" s="1328"/>
      <c r="H215" s="1326" t="s">
        <v>24</v>
      </c>
      <c r="I215" s="1019"/>
      <c r="J215" s="1019"/>
      <c r="K215" s="1019"/>
      <c r="L215" s="985"/>
      <c r="M215" s="1023"/>
    </row>
    <row r="216" spans="1:13" ht="18" customHeight="1" x14ac:dyDescent="0.35">
      <c r="A216" s="821">
        <v>208</v>
      </c>
      <c r="B216" s="842"/>
      <c r="C216" s="159"/>
      <c r="D216" s="997" t="s">
        <v>252</v>
      </c>
      <c r="E216" s="1331"/>
      <c r="F216" s="1332"/>
      <c r="G216" s="1333"/>
      <c r="H216" s="1334"/>
      <c r="I216" s="1335"/>
      <c r="J216" s="1336">
        <v>4000</v>
      </c>
      <c r="K216" s="1336"/>
      <c r="L216" s="1337">
        <f t="shared" si="2"/>
        <v>4000</v>
      </c>
      <c r="M216" s="1023"/>
    </row>
    <row r="217" spans="1:13" ht="18" customHeight="1" x14ac:dyDescent="0.35">
      <c r="A217" s="821">
        <v>209</v>
      </c>
      <c r="B217" s="842"/>
      <c r="C217" s="159"/>
      <c r="D217" s="996" t="s">
        <v>921</v>
      </c>
      <c r="E217" s="1331"/>
      <c r="F217" s="1332"/>
      <c r="G217" s="1333"/>
      <c r="H217" s="1334"/>
      <c r="I217" s="1009"/>
      <c r="J217" s="986">
        <v>4255</v>
      </c>
      <c r="K217" s="986"/>
      <c r="L217" s="1428">
        <f t="shared" si="2"/>
        <v>4255</v>
      </c>
      <c r="M217" s="1023"/>
    </row>
    <row r="218" spans="1:13" ht="18" customHeight="1" x14ac:dyDescent="0.35">
      <c r="A218" s="821">
        <v>210</v>
      </c>
      <c r="B218" s="842"/>
      <c r="C218" s="159"/>
      <c r="D218" s="994" t="s">
        <v>973</v>
      </c>
      <c r="E218" s="1032"/>
      <c r="F218" s="1338"/>
      <c r="G218" s="1339"/>
      <c r="H218" s="1340"/>
      <c r="I218" s="1192"/>
      <c r="J218" s="949">
        <v>0</v>
      </c>
      <c r="K218" s="949"/>
      <c r="L218" s="922">
        <f>SUM(F218:K218)</f>
        <v>0</v>
      </c>
      <c r="M218" s="1023"/>
    </row>
    <row r="219" spans="1:13" ht="35.25" customHeight="1" x14ac:dyDescent="0.3">
      <c r="A219" s="821">
        <v>211</v>
      </c>
      <c r="B219" s="842"/>
      <c r="C219" s="143">
        <v>61</v>
      </c>
      <c r="D219" s="845" t="s">
        <v>704</v>
      </c>
      <c r="E219" s="1019">
        <f>F219+G219+L221+M220</f>
        <v>47000</v>
      </c>
      <c r="F219" s="1324"/>
      <c r="G219" s="1328"/>
      <c r="H219" s="1326" t="s">
        <v>24</v>
      </c>
      <c r="I219" s="1019"/>
      <c r="J219" s="1019"/>
      <c r="K219" s="1019"/>
      <c r="L219" s="985"/>
      <c r="M219" s="1023"/>
    </row>
    <row r="220" spans="1:13" ht="18" customHeight="1" x14ac:dyDescent="0.35">
      <c r="A220" s="821">
        <v>212</v>
      </c>
      <c r="B220" s="842"/>
      <c r="C220" s="159"/>
      <c r="D220" s="997" t="s">
        <v>252</v>
      </c>
      <c r="E220" s="1331"/>
      <c r="F220" s="1332"/>
      <c r="G220" s="1333"/>
      <c r="H220" s="1334"/>
      <c r="I220" s="1335"/>
      <c r="J220" s="1336">
        <v>47000</v>
      </c>
      <c r="K220" s="1336"/>
      <c r="L220" s="1337">
        <f t="shared" si="2"/>
        <v>47000</v>
      </c>
      <c r="M220" s="1023"/>
    </row>
    <row r="221" spans="1:13" ht="18" customHeight="1" x14ac:dyDescent="0.35">
      <c r="A221" s="821">
        <v>213</v>
      </c>
      <c r="B221" s="842"/>
      <c r="C221" s="159"/>
      <c r="D221" s="996" t="s">
        <v>921</v>
      </c>
      <c r="E221" s="1331"/>
      <c r="F221" s="1332"/>
      <c r="G221" s="1333"/>
      <c r="H221" s="1334"/>
      <c r="I221" s="1009"/>
      <c r="J221" s="986">
        <v>47000</v>
      </c>
      <c r="K221" s="986"/>
      <c r="L221" s="1428">
        <f t="shared" si="2"/>
        <v>47000</v>
      </c>
      <c r="M221" s="1023"/>
    </row>
    <row r="222" spans="1:13" ht="18" customHeight="1" x14ac:dyDescent="0.35">
      <c r="A222" s="821">
        <v>214</v>
      </c>
      <c r="B222" s="842"/>
      <c r="C222" s="159"/>
      <c r="D222" s="994" t="s">
        <v>973</v>
      </c>
      <c r="E222" s="1032"/>
      <c r="F222" s="1338"/>
      <c r="G222" s="1339"/>
      <c r="H222" s="1340"/>
      <c r="I222" s="1192"/>
      <c r="J222" s="949">
        <v>2705</v>
      </c>
      <c r="K222" s="949"/>
      <c r="L222" s="922">
        <f>SUM(F222:K222)</f>
        <v>2705</v>
      </c>
      <c r="M222" s="1023"/>
    </row>
    <row r="223" spans="1:13" ht="22.15" customHeight="1" x14ac:dyDescent="0.3">
      <c r="A223" s="821">
        <v>215</v>
      </c>
      <c r="B223" s="842"/>
      <c r="C223" s="159">
        <v>65</v>
      </c>
      <c r="D223" s="845" t="s">
        <v>705</v>
      </c>
      <c r="E223" s="1019">
        <f>F223+G223+L225+M224</f>
        <v>6600</v>
      </c>
      <c r="F223" s="1324"/>
      <c r="G223" s="1328"/>
      <c r="H223" s="1326" t="s">
        <v>24</v>
      </c>
      <c r="I223" s="1019"/>
      <c r="J223" s="1019"/>
      <c r="K223" s="1019"/>
      <c r="L223" s="985"/>
      <c r="M223" s="1023"/>
    </row>
    <row r="224" spans="1:13" ht="18" customHeight="1" x14ac:dyDescent="0.35">
      <c r="A224" s="821">
        <v>216</v>
      </c>
      <c r="B224" s="842"/>
      <c r="C224" s="159"/>
      <c r="D224" s="997" t="s">
        <v>252</v>
      </c>
      <c r="E224" s="1331"/>
      <c r="F224" s="1332"/>
      <c r="G224" s="1333"/>
      <c r="H224" s="1334"/>
      <c r="I224" s="1335"/>
      <c r="J224" s="1336">
        <v>6600</v>
      </c>
      <c r="K224" s="1336"/>
      <c r="L224" s="1337">
        <f t="shared" si="2"/>
        <v>6600</v>
      </c>
      <c r="M224" s="1023"/>
    </row>
    <row r="225" spans="1:13" ht="18" customHeight="1" x14ac:dyDescent="0.35">
      <c r="A225" s="821">
        <v>217</v>
      </c>
      <c r="B225" s="842"/>
      <c r="C225" s="159"/>
      <c r="D225" s="996" t="s">
        <v>921</v>
      </c>
      <c r="E225" s="1331"/>
      <c r="F225" s="1332"/>
      <c r="G225" s="1333"/>
      <c r="H225" s="1334"/>
      <c r="I225" s="1009"/>
      <c r="J225" s="986">
        <v>6600</v>
      </c>
      <c r="K225" s="986"/>
      <c r="L225" s="1428">
        <f t="shared" si="2"/>
        <v>6600</v>
      </c>
      <c r="M225" s="1023"/>
    </row>
    <row r="226" spans="1:13" ht="18" customHeight="1" x14ac:dyDescent="0.35">
      <c r="A226" s="821">
        <v>218</v>
      </c>
      <c r="B226" s="842"/>
      <c r="C226" s="159"/>
      <c r="D226" s="994" t="s">
        <v>973</v>
      </c>
      <c r="E226" s="1032"/>
      <c r="F226" s="1338"/>
      <c r="G226" s="1339"/>
      <c r="H226" s="1340"/>
      <c r="I226" s="1192"/>
      <c r="J226" s="949">
        <v>826</v>
      </c>
      <c r="K226" s="949"/>
      <c r="L226" s="922">
        <f>SUM(F226:K226)</f>
        <v>826</v>
      </c>
      <c r="M226" s="1023"/>
    </row>
    <row r="227" spans="1:13" ht="55.5" customHeight="1" x14ac:dyDescent="0.3">
      <c r="A227" s="821">
        <v>219</v>
      </c>
      <c r="B227" s="842"/>
      <c r="C227" s="143">
        <v>66</v>
      </c>
      <c r="D227" s="845" t="s">
        <v>706</v>
      </c>
      <c r="E227" s="1019">
        <f>F227+G227+L229+M228</f>
        <v>30000</v>
      </c>
      <c r="F227" s="1324"/>
      <c r="G227" s="1328"/>
      <c r="H227" s="1326" t="s">
        <v>23</v>
      </c>
      <c r="I227" s="1019"/>
      <c r="J227" s="1019"/>
      <c r="K227" s="1019"/>
      <c r="L227" s="985"/>
      <c r="M227" s="1023"/>
    </row>
    <row r="228" spans="1:13" ht="18" customHeight="1" x14ac:dyDescent="0.35">
      <c r="A228" s="821">
        <v>220</v>
      </c>
      <c r="B228" s="842"/>
      <c r="C228" s="159"/>
      <c r="D228" s="997" t="s">
        <v>252</v>
      </c>
      <c r="E228" s="1331"/>
      <c r="F228" s="1332"/>
      <c r="G228" s="1333"/>
      <c r="H228" s="1334"/>
      <c r="I228" s="1335"/>
      <c r="J228" s="1336">
        <v>30000</v>
      </c>
      <c r="K228" s="1336"/>
      <c r="L228" s="1337">
        <f t="shared" si="2"/>
        <v>30000</v>
      </c>
      <c r="M228" s="1023"/>
    </row>
    <row r="229" spans="1:13" ht="18" customHeight="1" x14ac:dyDescent="0.35">
      <c r="A229" s="821">
        <v>221</v>
      </c>
      <c r="B229" s="842"/>
      <c r="C229" s="159"/>
      <c r="D229" s="996" t="s">
        <v>921</v>
      </c>
      <c r="E229" s="1331"/>
      <c r="F229" s="1332"/>
      <c r="G229" s="1333"/>
      <c r="H229" s="1334"/>
      <c r="I229" s="1009"/>
      <c r="J229" s="986">
        <v>30000</v>
      </c>
      <c r="K229" s="986"/>
      <c r="L229" s="1428">
        <f t="shared" si="2"/>
        <v>30000</v>
      </c>
      <c r="M229" s="1023"/>
    </row>
    <row r="230" spans="1:13" ht="18" customHeight="1" x14ac:dyDescent="0.35">
      <c r="A230" s="821">
        <v>222</v>
      </c>
      <c r="B230" s="842"/>
      <c r="C230" s="159"/>
      <c r="D230" s="994" t="s">
        <v>973</v>
      </c>
      <c r="E230" s="1032"/>
      <c r="F230" s="1338"/>
      <c r="G230" s="1339"/>
      <c r="H230" s="1340"/>
      <c r="I230" s="1192"/>
      <c r="J230" s="949">
        <v>29972</v>
      </c>
      <c r="K230" s="949"/>
      <c r="L230" s="922">
        <f>SUM(F230:K230)</f>
        <v>29972</v>
      </c>
      <c r="M230" s="1023"/>
    </row>
    <row r="231" spans="1:13" ht="22.15" customHeight="1" x14ac:dyDescent="0.3">
      <c r="A231" s="821">
        <v>223</v>
      </c>
      <c r="B231" s="842"/>
      <c r="C231" s="159">
        <v>67</v>
      </c>
      <c r="D231" s="845" t="s">
        <v>707</v>
      </c>
      <c r="E231" s="1019">
        <f>F231+G231+L233+M232</f>
        <v>7500</v>
      </c>
      <c r="F231" s="1324"/>
      <c r="G231" s="1328"/>
      <c r="H231" s="1326" t="s">
        <v>24</v>
      </c>
      <c r="I231" s="1019"/>
      <c r="J231" s="1019"/>
      <c r="K231" s="1019"/>
      <c r="L231" s="985"/>
      <c r="M231" s="1023"/>
    </row>
    <row r="232" spans="1:13" ht="18" customHeight="1" x14ac:dyDescent="0.35">
      <c r="A232" s="821">
        <v>224</v>
      </c>
      <c r="B232" s="842"/>
      <c r="C232" s="159"/>
      <c r="D232" s="997" t="s">
        <v>252</v>
      </c>
      <c r="E232" s="1331"/>
      <c r="F232" s="1332"/>
      <c r="G232" s="1333"/>
      <c r="H232" s="1334"/>
      <c r="I232" s="1335"/>
      <c r="J232" s="1336">
        <v>7500</v>
      </c>
      <c r="K232" s="1336"/>
      <c r="L232" s="1337">
        <f t="shared" si="2"/>
        <v>7500</v>
      </c>
      <c r="M232" s="1023"/>
    </row>
    <row r="233" spans="1:13" ht="18" customHeight="1" x14ac:dyDescent="0.35">
      <c r="A233" s="821">
        <v>225</v>
      </c>
      <c r="B233" s="842"/>
      <c r="C233" s="159"/>
      <c r="D233" s="996" t="s">
        <v>921</v>
      </c>
      <c r="E233" s="1331"/>
      <c r="F233" s="1332"/>
      <c r="G233" s="1333"/>
      <c r="H233" s="1334"/>
      <c r="I233" s="1009"/>
      <c r="J233" s="986">
        <v>7500</v>
      </c>
      <c r="K233" s="986"/>
      <c r="L233" s="1428">
        <f t="shared" si="2"/>
        <v>7500</v>
      </c>
      <c r="M233" s="1023"/>
    </row>
    <row r="234" spans="1:13" ht="18" customHeight="1" x14ac:dyDescent="0.35">
      <c r="A234" s="821">
        <v>226</v>
      </c>
      <c r="B234" s="842"/>
      <c r="C234" s="159"/>
      <c r="D234" s="994" t="s">
        <v>973</v>
      </c>
      <c r="E234" s="1032"/>
      <c r="F234" s="1338"/>
      <c r="G234" s="1339"/>
      <c r="H234" s="1340"/>
      <c r="I234" s="1192"/>
      <c r="J234" s="949">
        <v>0</v>
      </c>
      <c r="K234" s="949"/>
      <c r="L234" s="922">
        <f>SUM(F234:K234)</f>
        <v>0</v>
      </c>
      <c r="M234" s="1023"/>
    </row>
    <row r="235" spans="1:13" ht="22.15" customHeight="1" x14ac:dyDescent="0.3">
      <c r="A235" s="821">
        <v>227</v>
      </c>
      <c r="B235" s="842"/>
      <c r="C235" s="159">
        <v>68</v>
      </c>
      <c r="D235" s="845" t="s">
        <v>708</v>
      </c>
      <c r="E235" s="1019">
        <f>F235+G235+L237+M236</f>
        <v>13075</v>
      </c>
      <c r="F235" s="1324"/>
      <c r="G235" s="1328"/>
      <c r="H235" s="1326" t="s">
        <v>24</v>
      </c>
      <c r="I235" s="1019"/>
      <c r="J235" s="1019"/>
      <c r="K235" s="1019"/>
      <c r="L235" s="985"/>
      <c r="M235" s="1023"/>
    </row>
    <row r="236" spans="1:13" ht="18" customHeight="1" x14ac:dyDescent="0.35">
      <c r="A236" s="821">
        <v>228</v>
      </c>
      <c r="B236" s="842"/>
      <c r="C236" s="159"/>
      <c r="D236" s="997" t="s">
        <v>252</v>
      </c>
      <c r="E236" s="1331"/>
      <c r="F236" s="1332"/>
      <c r="G236" s="1333"/>
      <c r="H236" s="1334"/>
      <c r="I236" s="1335">
        <v>1525</v>
      </c>
      <c r="J236" s="1336">
        <v>11550</v>
      </c>
      <c r="K236" s="1336"/>
      <c r="L236" s="1337">
        <f t="shared" si="2"/>
        <v>13075</v>
      </c>
      <c r="M236" s="1023"/>
    </row>
    <row r="237" spans="1:13" ht="18" customHeight="1" x14ac:dyDescent="0.35">
      <c r="A237" s="821">
        <v>229</v>
      </c>
      <c r="B237" s="842"/>
      <c r="C237" s="159"/>
      <c r="D237" s="996" t="s">
        <v>921</v>
      </c>
      <c r="E237" s="1331"/>
      <c r="F237" s="1332"/>
      <c r="G237" s="1333"/>
      <c r="H237" s="1334"/>
      <c r="I237" s="1009">
        <v>1525</v>
      </c>
      <c r="J237" s="986">
        <v>11550</v>
      </c>
      <c r="K237" s="986"/>
      <c r="L237" s="1428">
        <f t="shared" si="2"/>
        <v>13075</v>
      </c>
      <c r="M237" s="1023"/>
    </row>
    <row r="238" spans="1:13" ht="18" customHeight="1" x14ac:dyDescent="0.35">
      <c r="A238" s="821">
        <v>230</v>
      </c>
      <c r="B238" s="842"/>
      <c r="C238" s="159"/>
      <c r="D238" s="994" t="s">
        <v>973</v>
      </c>
      <c r="E238" s="1032"/>
      <c r="F238" s="1338"/>
      <c r="G238" s="1339"/>
      <c r="H238" s="1340"/>
      <c r="I238" s="1192">
        <v>0</v>
      </c>
      <c r="J238" s="949">
        <v>0</v>
      </c>
      <c r="K238" s="949"/>
      <c r="L238" s="922">
        <f>SUM(F238:K238)</f>
        <v>0</v>
      </c>
      <c r="M238" s="1023"/>
    </row>
    <row r="239" spans="1:13" ht="22.15" customHeight="1" x14ac:dyDescent="0.3">
      <c r="A239" s="821">
        <v>231</v>
      </c>
      <c r="B239" s="842"/>
      <c r="C239" s="159">
        <v>72</v>
      </c>
      <c r="D239" s="144" t="s">
        <v>709</v>
      </c>
      <c r="E239" s="1019">
        <f>F239+G239+L241+M240</f>
        <v>11503</v>
      </c>
      <c r="F239" s="1324"/>
      <c r="G239" s="1328">
        <v>8033</v>
      </c>
      <c r="H239" s="1326" t="s">
        <v>24</v>
      </c>
      <c r="I239" s="1019"/>
      <c r="J239" s="1019"/>
      <c r="K239" s="1019"/>
      <c r="L239" s="985"/>
      <c r="M239" s="1023"/>
    </row>
    <row r="240" spans="1:13" ht="18" customHeight="1" x14ac:dyDescent="0.35">
      <c r="A240" s="821">
        <v>232</v>
      </c>
      <c r="B240" s="842"/>
      <c r="C240" s="159"/>
      <c r="D240" s="997" t="s">
        <v>252</v>
      </c>
      <c r="E240" s="1331"/>
      <c r="F240" s="1332"/>
      <c r="G240" s="1333"/>
      <c r="H240" s="1334"/>
      <c r="I240" s="1335"/>
      <c r="J240" s="1336">
        <v>3771</v>
      </c>
      <c r="K240" s="1336"/>
      <c r="L240" s="1337">
        <f t="shared" si="2"/>
        <v>3771</v>
      </c>
      <c r="M240" s="1023"/>
    </row>
    <row r="241" spans="1:13" ht="18" customHeight="1" x14ac:dyDescent="0.35">
      <c r="A241" s="821">
        <v>233</v>
      </c>
      <c r="B241" s="842"/>
      <c r="C241" s="159"/>
      <c r="D241" s="996" t="s">
        <v>921</v>
      </c>
      <c r="E241" s="1331"/>
      <c r="F241" s="1332"/>
      <c r="G241" s="1333"/>
      <c r="H241" s="1334"/>
      <c r="I241" s="1009"/>
      <c r="J241" s="986">
        <v>3470</v>
      </c>
      <c r="K241" s="986"/>
      <c r="L241" s="1428">
        <f t="shared" si="2"/>
        <v>3470</v>
      </c>
      <c r="M241" s="1023"/>
    </row>
    <row r="242" spans="1:13" ht="18" customHeight="1" x14ac:dyDescent="0.35">
      <c r="A242" s="821">
        <v>234</v>
      </c>
      <c r="B242" s="842"/>
      <c r="C242" s="159"/>
      <c r="D242" s="994" t="s">
        <v>972</v>
      </c>
      <c r="E242" s="1032"/>
      <c r="F242" s="1338"/>
      <c r="G242" s="1339"/>
      <c r="H242" s="1340"/>
      <c r="I242" s="1192"/>
      <c r="J242" s="949">
        <v>3470</v>
      </c>
      <c r="K242" s="949"/>
      <c r="L242" s="922">
        <f>SUM(F242:K242)</f>
        <v>3470</v>
      </c>
      <c r="M242" s="1023"/>
    </row>
    <row r="243" spans="1:13" ht="35.25" customHeight="1" x14ac:dyDescent="0.3">
      <c r="A243" s="821">
        <v>235</v>
      </c>
      <c r="B243" s="842"/>
      <c r="C243" s="143">
        <v>73</v>
      </c>
      <c r="D243" s="144" t="s">
        <v>722</v>
      </c>
      <c r="E243" s="1019">
        <f>F243+G243+L245+M244</f>
        <v>60000</v>
      </c>
      <c r="F243" s="1324"/>
      <c r="G243" s="1328">
        <v>50000</v>
      </c>
      <c r="H243" s="1326" t="s">
        <v>24</v>
      </c>
      <c r="I243" s="1019"/>
      <c r="J243" s="1019"/>
      <c r="K243" s="1019"/>
      <c r="L243" s="985"/>
      <c r="M243" s="1023"/>
    </row>
    <row r="244" spans="1:13" ht="18" customHeight="1" x14ac:dyDescent="0.35">
      <c r="A244" s="821">
        <v>236</v>
      </c>
      <c r="B244" s="842"/>
      <c r="C244" s="159"/>
      <c r="D244" s="997" t="s">
        <v>252</v>
      </c>
      <c r="E244" s="1331"/>
      <c r="F244" s="1332"/>
      <c r="G244" s="1333"/>
      <c r="H244" s="1334"/>
      <c r="I244" s="1335"/>
      <c r="J244" s="1336"/>
      <c r="K244" s="1336">
        <v>10000</v>
      </c>
      <c r="L244" s="1337">
        <f>SUM(I244:K244)</f>
        <v>10000</v>
      </c>
      <c r="M244" s="1023"/>
    </row>
    <row r="245" spans="1:13" ht="18" customHeight="1" x14ac:dyDescent="0.35">
      <c r="A245" s="821">
        <v>237</v>
      </c>
      <c r="B245" s="842"/>
      <c r="C245" s="159"/>
      <c r="D245" s="996" t="s">
        <v>921</v>
      </c>
      <c r="E245" s="1331"/>
      <c r="F245" s="1332"/>
      <c r="G245" s="1333"/>
      <c r="H245" s="1334"/>
      <c r="I245" s="1009"/>
      <c r="J245" s="986"/>
      <c r="K245" s="986">
        <v>10000</v>
      </c>
      <c r="L245" s="1428">
        <f>SUM(I245:K245)</f>
        <v>10000</v>
      </c>
      <c r="M245" s="1023"/>
    </row>
    <row r="246" spans="1:13" ht="18" customHeight="1" x14ac:dyDescent="0.35">
      <c r="A246" s="821">
        <v>238</v>
      </c>
      <c r="B246" s="842"/>
      <c r="C246" s="159"/>
      <c r="D246" s="994" t="s">
        <v>973</v>
      </c>
      <c r="E246" s="1032"/>
      <c r="F246" s="1338"/>
      <c r="G246" s="1339"/>
      <c r="H246" s="1340"/>
      <c r="I246" s="1192"/>
      <c r="J246" s="949"/>
      <c r="K246" s="949">
        <v>9988</v>
      </c>
      <c r="L246" s="922">
        <f>SUM(F246:K246)</f>
        <v>9988</v>
      </c>
      <c r="M246" s="1023"/>
    </row>
    <row r="247" spans="1:13" ht="34.5" customHeight="1" x14ac:dyDescent="0.3">
      <c r="A247" s="821">
        <v>239</v>
      </c>
      <c r="B247" s="842"/>
      <c r="C247" s="143">
        <v>74</v>
      </c>
      <c r="D247" s="1793" t="s">
        <v>710</v>
      </c>
      <c r="E247" s="1019">
        <f>F247+G247+L249+M248</f>
        <v>8000</v>
      </c>
      <c r="F247" s="1324"/>
      <c r="G247" s="1328"/>
      <c r="H247" s="1326" t="s">
        <v>24</v>
      </c>
      <c r="I247" s="1019"/>
      <c r="J247" s="1019"/>
      <c r="K247" s="1019"/>
      <c r="L247" s="985"/>
      <c r="M247" s="1023"/>
    </row>
    <row r="248" spans="1:13" ht="18" customHeight="1" x14ac:dyDescent="0.35">
      <c r="A248" s="821">
        <v>240</v>
      </c>
      <c r="B248" s="842"/>
      <c r="C248" s="159"/>
      <c r="D248" s="997" t="s">
        <v>252</v>
      </c>
      <c r="E248" s="1331"/>
      <c r="F248" s="1332"/>
      <c r="G248" s="1333"/>
      <c r="H248" s="1334"/>
      <c r="I248" s="1335"/>
      <c r="J248" s="1336">
        <v>8000</v>
      </c>
      <c r="K248" s="1336"/>
      <c r="L248" s="1337">
        <f t="shared" si="2"/>
        <v>8000</v>
      </c>
      <c r="M248" s="1023"/>
    </row>
    <row r="249" spans="1:13" ht="18" customHeight="1" x14ac:dyDescent="0.35">
      <c r="A249" s="821">
        <v>241</v>
      </c>
      <c r="B249" s="842"/>
      <c r="C249" s="159"/>
      <c r="D249" s="996" t="s">
        <v>921</v>
      </c>
      <c r="E249" s="1331"/>
      <c r="F249" s="1332"/>
      <c r="G249" s="1333"/>
      <c r="H249" s="1334"/>
      <c r="I249" s="1009"/>
      <c r="J249" s="986">
        <v>8000</v>
      </c>
      <c r="K249" s="986"/>
      <c r="L249" s="1428">
        <f t="shared" si="2"/>
        <v>8000</v>
      </c>
      <c r="M249" s="1023"/>
    </row>
    <row r="250" spans="1:13" ht="18" customHeight="1" x14ac:dyDescent="0.35">
      <c r="A250" s="821">
        <v>242</v>
      </c>
      <c r="B250" s="842"/>
      <c r="C250" s="159"/>
      <c r="D250" s="994" t="s">
        <v>973</v>
      </c>
      <c r="E250" s="1032"/>
      <c r="F250" s="1338"/>
      <c r="G250" s="1339"/>
      <c r="H250" s="1340"/>
      <c r="I250" s="1192"/>
      <c r="J250" s="949">
        <v>0</v>
      </c>
      <c r="K250" s="949"/>
      <c r="L250" s="922">
        <f>SUM(F250:K250)</f>
        <v>0</v>
      </c>
      <c r="M250" s="1023"/>
    </row>
    <row r="251" spans="1:13" ht="36" customHeight="1" x14ac:dyDescent="0.3">
      <c r="A251" s="821">
        <v>243</v>
      </c>
      <c r="B251" s="842"/>
      <c r="C251" s="143">
        <v>75</v>
      </c>
      <c r="D251" s="845" t="s">
        <v>711</v>
      </c>
      <c r="E251" s="1019">
        <f>F251+G251+L253+M252</f>
        <v>12700</v>
      </c>
      <c r="F251" s="1324"/>
      <c r="G251" s="1328"/>
      <c r="H251" s="1326" t="s">
        <v>23</v>
      </c>
      <c r="I251" s="1019"/>
      <c r="J251" s="1019"/>
      <c r="K251" s="1019"/>
      <c r="L251" s="985"/>
      <c r="M251" s="1023"/>
    </row>
    <row r="252" spans="1:13" ht="18" customHeight="1" x14ac:dyDescent="0.35">
      <c r="A252" s="821">
        <v>244</v>
      </c>
      <c r="B252" s="842"/>
      <c r="C252" s="159"/>
      <c r="D252" s="997" t="s">
        <v>252</v>
      </c>
      <c r="E252" s="1331"/>
      <c r="F252" s="1332"/>
      <c r="G252" s="1333"/>
      <c r="H252" s="1334"/>
      <c r="I252" s="1335"/>
      <c r="J252" s="1336">
        <v>12700</v>
      </c>
      <c r="K252" s="1336"/>
      <c r="L252" s="1337">
        <f t="shared" si="2"/>
        <v>12700</v>
      </c>
      <c r="M252" s="1023"/>
    </row>
    <row r="253" spans="1:13" ht="18" customHeight="1" x14ac:dyDescent="0.35">
      <c r="A253" s="821">
        <v>245</v>
      </c>
      <c r="B253" s="842"/>
      <c r="C253" s="159"/>
      <c r="D253" s="996" t="s">
        <v>921</v>
      </c>
      <c r="E253" s="1331"/>
      <c r="F253" s="1332"/>
      <c r="G253" s="1333"/>
      <c r="H253" s="1334"/>
      <c r="I253" s="1009"/>
      <c r="J253" s="986">
        <v>12700</v>
      </c>
      <c r="K253" s="986"/>
      <c r="L253" s="1428">
        <f t="shared" si="2"/>
        <v>12700</v>
      </c>
      <c r="M253" s="1023"/>
    </row>
    <row r="254" spans="1:13" ht="18" customHeight="1" x14ac:dyDescent="0.35">
      <c r="A254" s="821">
        <v>246</v>
      </c>
      <c r="B254" s="842"/>
      <c r="C254" s="159"/>
      <c r="D254" s="994" t="s">
        <v>973</v>
      </c>
      <c r="E254" s="1032"/>
      <c r="F254" s="1338"/>
      <c r="G254" s="1339"/>
      <c r="H254" s="1340"/>
      <c r="I254" s="1192"/>
      <c r="J254" s="949">
        <v>12700</v>
      </c>
      <c r="K254" s="949"/>
      <c r="L254" s="922">
        <f>SUM(F254:K254)</f>
        <v>12700</v>
      </c>
      <c r="M254" s="1023"/>
    </row>
    <row r="255" spans="1:13" ht="22.15" customHeight="1" x14ac:dyDescent="0.3">
      <c r="A255" s="821">
        <v>247</v>
      </c>
      <c r="B255" s="842"/>
      <c r="C255" s="159">
        <v>78</v>
      </c>
      <c r="D255" s="845" t="s">
        <v>712</v>
      </c>
      <c r="E255" s="1019">
        <f>F255+G255+L257+M256</f>
        <v>2812</v>
      </c>
      <c r="F255" s="1324"/>
      <c r="G255" s="1328"/>
      <c r="H255" s="1326" t="s">
        <v>24</v>
      </c>
      <c r="I255" s="1019"/>
      <c r="J255" s="1019"/>
      <c r="K255" s="1019"/>
      <c r="L255" s="985"/>
      <c r="M255" s="1023"/>
    </row>
    <row r="256" spans="1:13" ht="18" customHeight="1" x14ac:dyDescent="0.35">
      <c r="A256" s="821">
        <v>248</v>
      </c>
      <c r="B256" s="842"/>
      <c r="C256" s="159"/>
      <c r="D256" s="997" t="s">
        <v>252</v>
      </c>
      <c r="E256" s="1331"/>
      <c r="F256" s="1332"/>
      <c r="G256" s="1333"/>
      <c r="H256" s="1334"/>
      <c r="I256" s="1335">
        <v>2500</v>
      </c>
      <c r="J256" s="1336"/>
      <c r="K256" s="1336"/>
      <c r="L256" s="1337">
        <f t="shared" si="2"/>
        <v>2500</v>
      </c>
      <c r="M256" s="1023"/>
    </row>
    <row r="257" spans="1:13" ht="18" customHeight="1" x14ac:dyDescent="0.35">
      <c r="A257" s="821">
        <v>249</v>
      </c>
      <c r="B257" s="842"/>
      <c r="C257" s="159"/>
      <c r="D257" s="996" t="s">
        <v>921</v>
      </c>
      <c r="E257" s="1331"/>
      <c r="F257" s="1332"/>
      <c r="G257" s="1333"/>
      <c r="H257" s="1334"/>
      <c r="I257" s="1009">
        <v>2812</v>
      </c>
      <c r="J257" s="986"/>
      <c r="K257" s="986"/>
      <c r="L257" s="1428">
        <f t="shared" si="2"/>
        <v>2812</v>
      </c>
      <c r="M257" s="1023"/>
    </row>
    <row r="258" spans="1:13" ht="18" customHeight="1" x14ac:dyDescent="0.35">
      <c r="A258" s="821">
        <v>250</v>
      </c>
      <c r="B258" s="842"/>
      <c r="C258" s="159"/>
      <c r="D258" s="994" t="s">
        <v>972</v>
      </c>
      <c r="E258" s="1032"/>
      <c r="F258" s="1338"/>
      <c r="G258" s="1339"/>
      <c r="H258" s="1340"/>
      <c r="I258" s="1192">
        <v>2062</v>
      </c>
      <c r="J258" s="949"/>
      <c r="K258" s="949"/>
      <c r="L258" s="922">
        <f>SUM(F258:K258)</f>
        <v>2062</v>
      </c>
      <c r="M258" s="1023"/>
    </row>
    <row r="259" spans="1:13" ht="22.15" customHeight="1" x14ac:dyDescent="0.3">
      <c r="A259" s="821">
        <v>251</v>
      </c>
      <c r="B259" s="842"/>
      <c r="C259" s="159">
        <v>82</v>
      </c>
      <c r="D259" s="845" t="s">
        <v>713</v>
      </c>
      <c r="E259" s="1019">
        <f>F259+G259+L261+M260</f>
        <v>6000</v>
      </c>
      <c r="F259" s="1324"/>
      <c r="G259" s="1328"/>
      <c r="H259" s="1326" t="s">
        <v>24</v>
      </c>
      <c r="I259" s="1019"/>
      <c r="J259" s="1019"/>
      <c r="K259" s="1019"/>
      <c r="L259" s="985"/>
      <c r="M259" s="1023"/>
    </row>
    <row r="260" spans="1:13" ht="18" customHeight="1" x14ac:dyDescent="0.35">
      <c r="A260" s="821">
        <v>252</v>
      </c>
      <c r="B260" s="842"/>
      <c r="C260" s="159"/>
      <c r="D260" s="997" t="s">
        <v>252</v>
      </c>
      <c r="E260" s="1331"/>
      <c r="F260" s="1332"/>
      <c r="G260" s="1333"/>
      <c r="H260" s="1334"/>
      <c r="I260" s="1335"/>
      <c r="J260" s="1336">
        <v>6000</v>
      </c>
      <c r="K260" s="1336"/>
      <c r="L260" s="1337">
        <f t="shared" si="2"/>
        <v>6000</v>
      </c>
      <c r="M260" s="1023"/>
    </row>
    <row r="261" spans="1:13" ht="18" customHeight="1" x14ac:dyDescent="0.35">
      <c r="A261" s="821">
        <v>253</v>
      </c>
      <c r="B261" s="842"/>
      <c r="C261" s="159"/>
      <c r="D261" s="996" t="s">
        <v>921</v>
      </c>
      <c r="E261" s="1331"/>
      <c r="F261" s="1332"/>
      <c r="G261" s="1333"/>
      <c r="H261" s="1334"/>
      <c r="I261" s="1009"/>
      <c r="J261" s="986">
        <v>6000</v>
      </c>
      <c r="K261" s="986"/>
      <c r="L261" s="1428">
        <f t="shared" si="2"/>
        <v>6000</v>
      </c>
      <c r="M261" s="1023"/>
    </row>
    <row r="262" spans="1:13" ht="18" customHeight="1" x14ac:dyDescent="0.35">
      <c r="A262" s="821">
        <v>254</v>
      </c>
      <c r="B262" s="842"/>
      <c r="C262" s="159"/>
      <c r="D262" s="994" t="s">
        <v>973</v>
      </c>
      <c r="E262" s="1032"/>
      <c r="F262" s="1338"/>
      <c r="G262" s="1339"/>
      <c r="H262" s="1340"/>
      <c r="I262" s="1192"/>
      <c r="J262" s="949">
        <v>0</v>
      </c>
      <c r="K262" s="949"/>
      <c r="L262" s="922">
        <f>SUM(F262:K262)</f>
        <v>0</v>
      </c>
      <c r="M262" s="1023"/>
    </row>
    <row r="263" spans="1:13" ht="34.5" customHeight="1" x14ac:dyDescent="0.3">
      <c r="A263" s="821">
        <v>255</v>
      </c>
      <c r="B263" s="842"/>
      <c r="C263" s="143">
        <v>83</v>
      </c>
      <c r="D263" s="845" t="s">
        <v>714</v>
      </c>
      <c r="E263" s="1019">
        <f>F263+G263+L265+M264</f>
        <v>2000</v>
      </c>
      <c r="F263" s="1324"/>
      <c r="G263" s="1328"/>
      <c r="H263" s="1326" t="s">
        <v>24</v>
      </c>
      <c r="I263" s="1019"/>
      <c r="J263" s="1019"/>
      <c r="K263" s="1019"/>
      <c r="L263" s="985"/>
      <c r="M263" s="1023"/>
    </row>
    <row r="264" spans="1:13" ht="18" customHeight="1" x14ac:dyDescent="0.35">
      <c r="A264" s="821">
        <v>256</v>
      </c>
      <c r="B264" s="842"/>
      <c r="C264" s="159"/>
      <c r="D264" s="997" t="s">
        <v>252</v>
      </c>
      <c r="E264" s="1331"/>
      <c r="F264" s="1332"/>
      <c r="G264" s="1333"/>
      <c r="H264" s="1334"/>
      <c r="I264" s="1335"/>
      <c r="J264" s="1336">
        <v>2000</v>
      </c>
      <c r="K264" s="1336"/>
      <c r="L264" s="1337">
        <f t="shared" si="2"/>
        <v>2000</v>
      </c>
      <c r="M264" s="1023"/>
    </row>
    <row r="265" spans="1:13" ht="18" customHeight="1" x14ac:dyDescent="0.35">
      <c r="A265" s="821">
        <v>257</v>
      </c>
      <c r="B265" s="842"/>
      <c r="C265" s="159"/>
      <c r="D265" s="996" t="s">
        <v>921</v>
      </c>
      <c r="E265" s="1331"/>
      <c r="F265" s="1332"/>
      <c r="G265" s="1333"/>
      <c r="H265" s="1334"/>
      <c r="I265" s="1009"/>
      <c r="J265" s="986">
        <v>2000</v>
      </c>
      <c r="K265" s="986"/>
      <c r="L265" s="1428">
        <f t="shared" si="2"/>
        <v>2000</v>
      </c>
      <c r="M265" s="1023"/>
    </row>
    <row r="266" spans="1:13" ht="18" customHeight="1" x14ac:dyDescent="0.35">
      <c r="A266" s="821">
        <v>258</v>
      </c>
      <c r="B266" s="842"/>
      <c r="C266" s="159"/>
      <c r="D266" s="994" t="s">
        <v>973</v>
      </c>
      <c r="E266" s="1032"/>
      <c r="F266" s="1338"/>
      <c r="G266" s="1339"/>
      <c r="H266" s="1340"/>
      <c r="I266" s="1192"/>
      <c r="J266" s="949">
        <v>0</v>
      </c>
      <c r="K266" s="949"/>
      <c r="L266" s="922">
        <f>SUM(F266:K266)</f>
        <v>0</v>
      </c>
      <c r="M266" s="1023"/>
    </row>
    <row r="267" spans="1:13" ht="22.15" customHeight="1" x14ac:dyDescent="0.3">
      <c r="A267" s="821">
        <v>259</v>
      </c>
      <c r="B267" s="842"/>
      <c r="C267" s="159">
        <v>84</v>
      </c>
      <c r="D267" s="845" t="s">
        <v>715</v>
      </c>
      <c r="E267" s="1019">
        <f>F267+G267+L269+M268</f>
        <v>3000</v>
      </c>
      <c r="F267" s="1324"/>
      <c r="G267" s="1328"/>
      <c r="H267" s="1326" t="s">
        <v>24</v>
      </c>
      <c r="I267" s="1019"/>
      <c r="J267" s="1019"/>
      <c r="K267" s="1019"/>
      <c r="L267" s="985"/>
      <c r="M267" s="1023"/>
    </row>
    <row r="268" spans="1:13" ht="18" customHeight="1" x14ac:dyDescent="0.35">
      <c r="A268" s="821">
        <v>260</v>
      </c>
      <c r="B268" s="842"/>
      <c r="C268" s="159"/>
      <c r="D268" s="997" t="s">
        <v>252</v>
      </c>
      <c r="E268" s="1331"/>
      <c r="F268" s="1332"/>
      <c r="G268" s="1333"/>
      <c r="H268" s="1334"/>
      <c r="I268" s="1335"/>
      <c r="J268" s="1336">
        <v>3000</v>
      </c>
      <c r="K268" s="1336"/>
      <c r="L268" s="1337">
        <f t="shared" si="2"/>
        <v>3000</v>
      </c>
      <c r="M268" s="1023"/>
    </row>
    <row r="269" spans="1:13" ht="18" customHeight="1" x14ac:dyDescent="0.35">
      <c r="A269" s="821">
        <v>261</v>
      </c>
      <c r="B269" s="842"/>
      <c r="C269" s="159"/>
      <c r="D269" s="996" t="s">
        <v>921</v>
      </c>
      <c r="E269" s="1331"/>
      <c r="F269" s="1332"/>
      <c r="G269" s="1333"/>
      <c r="H269" s="1334"/>
      <c r="I269" s="1009"/>
      <c r="J269" s="986">
        <v>3000</v>
      </c>
      <c r="K269" s="986"/>
      <c r="L269" s="1428">
        <f t="shared" si="2"/>
        <v>3000</v>
      </c>
      <c r="M269" s="1023"/>
    </row>
    <row r="270" spans="1:13" ht="18" customHeight="1" x14ac:dyDescent="0.35">
      <c r="A270" s="821">
        <v>262</v>
      </c>
      <c r="B270" s="842"/>
      <c r="C270" s="159"/>
      <c r="D270" s="994" t="s">
        <v>973</v>
      </c>
      <c r="E270" s="1032"/>
      <c r="F270" s="1338"/>
      <c r="G270" s="1339"/>
      <c r="H270" s="1340"/>
      <c r="I270" s="1192"/>
      <c r="J270" s="949">
        <v>2784</v>
      </c>
      <c r="K270" s="949"/>
      <c r="L270" s="922">
        <f>SUM(F270:K270)</f>
        <v>2784</v>
      </c>
      <c r="M270" s="1023"/>
    </row>
    <row r="271" spans="1:13" ht="22.15" customHeight="1" x14ac:dyDescent="0.3">
      <c r="A271" s="821">
        <v>263</v>
      </c>
      <c r="B271" s="842"/>
      <c r="C271" s="159">
        <v>88</v>
      </c>
      <c r="D271" s="845" t="s">
        <v>716</v>
      </c>
      <c r="E271" s="1019">
        <f>F271+G271+L273+M272</f>
        <v>4700</v>
      </c>
      <c r="F271" s="1324"/>
      <c r="G271" s="1328"/>
      <c r="H271" s="1326" t="s">
        <v>24</v>
      </c>
      <c r="I271" s="1019"/>
      <c r="J271" s="1019"/>
      <c r="K271" s="1019"/>
      <c r="L271" s="985"/>
      <c r="M271" s="1023"/>
    </row>
    <row r="272" spans="1:13" ht="18" customHeight="1" x14ac:dyDescent="0.35">
      <c r="A272" s="821">
        <v>264</v>
      </c>
      <c r="B272" s="842"/>
      <c r="C272" s="159"/>
      <c r="D272" s="997" t="s">
        <v>252</v>
      </c>
      <c r="E272" s="1331"/>
      <c r="F272" s="1332"/>
      <c r="G272" s="1333"/>
      <c r="H272" s="1334"/>
      <c r="I272" s="1335">
        <v>700</v>
      </c>
      <c r="J272" s="1336">
        <v>4000</v>
      </c>
      <c r="K272" s="1336"/>
      <c r="L272" s="1337">
        <f t="shared" si="2"/>
        <v>4700</v>
      </c>
      <c r="M272" s="1023"/>
    </row>
    <row r="273" spans="1:13" ht="18" customHeight="1" x14ac:dyDescent="0.35">
      <c r="A273" s="821">
        <v>265</v>
      </c>
      <c r="B273" s="842"/>
      <c r="C273" s="159"/>
      <c r="D273" s="996" t="s">
        <v>921</v>
      </c>
      <c r="E273" s="1331"/>
      <c r="F273" s="1332"/>
      <c r="G273" s="1333"/>
      <c r="H273" s="1334"/>
      <c r="I273" s="1009">
        <v>700</v>
      </c>
      <c r="J273" s="986">
        <v>4000</v>
      </c>
      <c r="K273" s="986"/>
      <c r="L273" s="1428">
        <f t="shared" si="2"/>
        <v>4700</v>
      </c>
      <c r="M273" s="1023"/>
    </row>
    <row r="274" spans="1:13" ht="18" customHeight="1" x14ac:dyDescent="0.35">
      <c r="A274" s="821">
        <v>266</v>
      </c>
      <c r="B274" s="842"/>
      <c r="C274" s="159"/>
      <c r="D274" s="994" t="s">
        <v>973</v>
      </c>
      <c r="E274" s="1032"/>
      <c r="F274" s="1338"/>
      <c r="G274" s="1339"/>
      <c r="H274" s="1340"/>
      <c r="I274" s="1192">
        <v>0</v>
      </c>
      <c r="J274" s="949">
        <v>0</v>
      </c>
      <c r="K274" s="949"/>
      <c r="L274" s="922">
        <f>SUM(F274:K274)</f>
        <v>0</v>
      </c>
      <c r="M274" s="1023"/>
    </row>
    <row r="275" spans="1:13" ht="22.15" customHeight="1" x14ac:dyDescent="0.3">
      <c r="A275" s="821">
        <v>267</v>
      </c>
      <c r="B275" s="842"/>
      <c r="C275" s="159">
        <v>89</v>
      </c>
      <c r="D275" s="845" t="s">
        <v>717</v>
      </c>
      <c r="E275" s="1019">
        <f>F275+G275+L277+M276</f>
        <v>10500</v>
      </c>
      <c r="F275" s="1324"/>
      <c r="G275" s="1328"/>
      <c r="H275" s="1326" t="s">
        <v>24</v>
      </c>
      <c r="I275" s="1019"/>
      <c r="J275" s="1019"/>
      <c r="K275" s="1019"/>
      <c r="L275" s="985"/>
      <c r="M275" s="1023"/>
    </row>
    <row r="276" spans="1:13" ht="18" customHeight="1" x14ac:dyDescent="0.35">
      <c r="A276" s="821">
        <v>268</v>
      </c>
      <c r="B276" s="842"/>
      <c r="C276" s="159"/>
      <c r="D276" s="997" t="s">
        <v>252</v>
      </c>
      <c r="E276" s="1331"/>
      <c r="F276" s="1332"/>
      <c r="G276" s="1333"/>
      <c r="H276" s="1334"/>
      <c r="I276" s="1335">
        <v>5341</v>
      </c>
      <c r="J276" s="1336">
        <v>5159</v>
      </c>
      <c r="K276" s="1336"/>
      <c r="L276" s="1337">
        <f t="shared" si="2"/>
        <v>10500</v>
      </c>
      <c r="M276" s="1023"/>
    </row>
    <row r="277" spans="1:13" ht="18" customHeight="1" x14ac:dyDescent="0.35">
      <c r="A277" s="821">
        <v>269</v>
      </c>
      <c r="B277" s="842"/>
      <c r="C277" s="159"/>
      <c r="D277" s="996" t="s">
        <v>921</v>
      </c>
      <c r="E277" s="1331"/>
      <c r="F277" s="1332"/>
      <c r="G277" s="1333"/>
      <c r="H277" s="1334"/>
      <c r="I277" s="1009">
        <v>5341</v>
      </c>
      <c r="J277" s="986">
        <v>5159</v>
      </c>
      <c r="K277" s="986"/>
      <c r="L277" s="1428">
        <f t="shared" si="2"/>
        <v>10500</v>
      </c>
      <c r="M277" s="1023"/>
    </row>
    <row r="278" spans="1:13" ht="18" customHeight="1" x14ac:dyDescent="0.35">
      <c r="A278" s="821">
        <v>270</v>
      </c>
      <c r="B278" s="842"/>
      <c r="C278" s="159"/>
      <c r="D278" s="994" t="s">
        <v>973</v>
      </c>
      <c r="E278" s="1032"/>
      <c r="F278" s="1338"/>
      <c r="G278" s="1339"/>
      <c r="H278" s="1340"/>
      <c r="I278" s="1192">
        <v>0</v>
      </c>
      <c r="J278" s="949">
        <v>0</v>
      </c>
      <c r="K278" s="949"/>
      <c r="L278" s="922">
        <f>SUM(F278:K278)</f>
        <v>0</v>
      </c>
      <c r="M278" s="1023"/>
    </row>
    <row r="279" spans="1:13" ht="22.5" customHeight="1" x14ac:dyDescent="0.35">
      <c r="A279" s="821">
        <v>271</v>
      </c>
      <c r="B279" s="842"/>
      <c r="C279" s="159">
        <v>90</v>
      </c>
      <c r="D279" s="845" t="s">
        <v>617</v>
      </c>
      <c r="E279" s="1019">
        <f>F279+G279+L281+M280</f>
        <v>4000</v>
      </c>
      <c r="F279" s="1324"/>
      <c r="G279" s="1328">
        <v>4000</v>
      </c>
      <c r="H279" s="1343"/>
      <c r="I279" s="1009"/>
      <c r="J279" s="1009"/>
      <c r="K279" s="986"/>
      <c r="L279" s="224"/>
      <c r="M279" s="1023"/>
    </row>
    <row r="280" spans="1:13" ht="18" customHeight="1" x14ac:dyDescent="0.35">
      <c r="A280" s="821">
        <v>272</v>
      </c>
      <c r="B280" s="842"/>
      <c r="C280" s="159"/>
      <c r="D280" s="996" t="s">
        <v>921</v>
      </c>
      <c r="E280" s="1019"/>
      <c r="F280" s="1324"/>
      <c r="G280" s="1328"/>
      <c r="H280" s="1343"/>
      <c r="I280" s="1009"/>
      <c r="J280" s="1009"/>
      <c r="K280" s="986">
        <v>3600</v>
      </c>
      <c r="L280" s="1428">
        <f t="shared" si="2"/>
        <v>3600</v>
      </c>
      <c r="M280" s="1023"/>
    </row>
    <row r="281" spans="1:13" ht="18" customHeight="1" x14ac:dyDescent="0.35">
      <c r="A281" s="821">
        <v>273</v>
      </c>
      <c r="B281" s="842"/>
      <c r="C281" s="159"/>
      <c r="D281" s="994" t="s">
        <v>973</v>
      </c>
      <c r="E281" s="1020"/>
      <c r="F281" s="1341"/>
      <c r="G281" s="1502"/>
      <c r="H281" s="1343"/>
      <c r="I281" s="1009"/>
      <c r="J281" s="1009"/>
      <c r="K281" s="949">
        <v>0</v>
      </c>
      <c r="L281" s="922">
        <f>SUM(F281:K281)</f>
        <v>0</v>
      </c>
      <c r="M281" s="1023"/>
    </row>
    <row r="282" spans="1:13" ht="22.35" customHeight="1" x14ac:dyDescent="0.3">
      <c r="A282" s="821">
        <v>274</v>
      </c>
      <c r="B282" s="842"/>
      <c r="C282" s="159">
        <v>91</v>
      </c>
      <c r="D282" s="845" t="s">
        <v>772</v>
      </c>
      <c r="E282" s="1019">
        <f>F282+G282+L284+M283</f>
        <v>11000</v>
      </c>
      <c r="F282" s="1324"/>
      <c r="G282" s="1328"/>
      <c r="H282" s="1326" t="s">
        <v>24</v>
      </c>
      <c r="I282" s="1019"/>
      <c r="J282" s="1019"/>
      <c r="K282" s="1019"/>
      <c r="L282" s="985"/>
      <c r="M282" s="1023"/>
    </row>
    <row r="283" spans="1:13" ht="18" customHeight="1" x14ac:dyDescent="0.35">
      <c r="A283" s="821">
        <v>275</v>
      </c>
      <c r="B283" s="842"/>
      <c r="C283" s="159"/>
      <c r="D283" s="997" t="s">
        <v>252</v>
      </c>
      <c r="E283" s="1331"/>
      <c r="F283" s="1332"/>
      <c r="G283" s="1333"/>
      <c r="H283" s="1334"/>
      <c r="I283" s="1335"/>
      <c r="J283" s="1336">
        <f>5000+6000</f>
        <v>11000</v>
      </c>
      <c r="K283" s="1336"/>
      <c r="L283" s="1337">
        <f t="shared" si="2"/>
        <v>11000</v>
      </c>
      <c r="M283" s="1023"/>
    </row>
    <row r="284" spans="1:13" ht="18" customHeight="1" x14ac:dyDescent="0.35">
      <c r="A284" s="821">
        <v>276</v>
      </c>
      <c r="B284" s="842"/>
      <c r="C284" s="159"/>
      <c r="D284" s="996" t="s">
        <v>921</v>
      </c>
      <c r="E284" s="1331"/>
      <c r="F284" s="1332"/>
      <c r="G284" s="1333"/>
      <c r="H284" s="1334"/>
      <c r="I284" s="1009"/>
      <c r="J284" s="986">
        <v>11000</v>
      </c>
      <c r="K284" s="986"/>
      <c r="L284" s="1428">
        <f t="shared" si="2"/>
        <v>11000</v>
      </c>
      <c r="M284" s="1023"/>
    </row>
    <row r="285" spans="1:13" ht="18" customHeight="1" x14ac:dyDescent="0.35">
      <c r="A285" s="821">
        <v>277</v>
      </c>
      <c r="B285" s="842"/>
      <c r="C285" s="159"/>
      <c r="D285" s="994" t="s">
        <v>973</v>
      </c>
      <c r="E285" s="1032"/>
      <c r="F285" s="1338"/>
      <c r="G285" s="1339"/>
      <c r="H285" s="1340"/>
      <c r="I285" s="1192"/>
      <c r="J285" s="949">
        <v>0</v>
      </c>
      <c r="K285" s="949"/>
      <c r="L285" s="922">
        <f>SUM(F285:K285)</f>
        <v>0</v>
      </c>
      <c r="M285" s="1023"/>
    </row>
    <row r="286" spans="1:13" ht="33.75" customHeight="1" x14ac:dyDescent="0.3">
      <c r="A286" s="821">
        <v>278</v>
      </c>
      <c r="B286" s="842"/>
      <c r="C286" s="143">
        <v>92</v>
      </c>
      <c r="D286" s="845" t="s">
        <v>718</v>
      </c>
      <c r="E286" s="1019">
        <f>F286+G286+L288+M287</f>
        <v>3345</v>
      </c>
      <c r="F286" s="1324"/>
      <c r="G286" s="1328"/>
      <c r="H286" s="1326" t="s">
        <v>24</v>
      </c>
      <c r="I286" s="1019"/>
      <c r="J286" s="1019"/>
      <c r="K286" s="1019"/>
      <c r="L286" s="985"/>
      <c r="M286" s="1023"/>
    </row>
    <row r="287" spans="1:13" ht="18" customHeight="1" x14ac:dyDescent="0.35">
      <c r="A287" s="821">
        <v>279</v>
      </c>
      <c r="B287" s="842"/>
      <c r="C287" s="159"/>
      <c r="D287" s="997" t="s">
        <v>252</v>
      </c>
      <c r="E287" s="1331"/>
      <c r="F287" s="1332"/>
      <c r="G287" s="1333"/>
      <c r="H287" s="1334"/>
      <c r="I287" s="1335"/>
      <c r="J287" s="1336">
        <v>3600</v>
      </c>
      <c r="K287" s="1336"/>
      <c r="L287" s="1337">
        <f t="shared" si="2"/>
        <v>3600</v>
      </c>
      <c r="M287" s="1023"/>
    </row>
    <row r="288" spans="1:13" ht="18" customHeight="1" x14ac:dyDescent="0.35">
      <c r="A288" s="821">
        <v>280</v>
      </c>
      <c r="B288" s="842"/>
      <c r="C288" s="159"/>
      <c r="D288" s="996" t="s">
        <v>921</v>
      </c>
      <c r="E288" s="1331"/>
      <c r="F288" s="1332"/>
      <c r="G288" s="1333"/>
      <c r="H288" s="1334"/>
      <c r="I288" s="1009"/>
      <c r="J288" s="986">
        <v>3345</v>
      </c>
      <c r="K288" s="986"/>
      <c r="L288" s="1428">
        <f t="shared" si="2"/>
        <v>3345</v>
      </c>
      <c r="M288" s="1023"/>
    </row>
    <row r="289" spans="1:13" ht="18" customHeight="1" x14ac:dyDescent="0.35">
      <c r="A289" s="821">
        <v>281</v>
      </c>
      <c r="B289" s="842"/>
      <c r="C289" s="159"/>
      <c r="D289" s="994" t="s">
        <v>972</v>
      </c>
      <c r="E289" s="1032"/>
      <c r="F289" s="1338"/>
      <c r="G289" s="1339"/>
      <c r="H289" s="1340"/>
      <c r="I289" s="1192"/>
      <c r="J289" s="949">
        <v>0</v>
      </c>
      <c r="K289" s="949"/>
      <c r="L289" s="922">
        <f>SUM(F289:K289)</f>
        <v>0</v>
      </c>
      <c r="M289" s="1023"/>
    </row>
    <row r="290" spans="1:13" ht="33.75" customHeight="1" x14ac:dyDescent="0.3">
      <c r="A290" s="821">
        <v>282</v>
      </c>
      <c r="B290" s="842"/>
      <c r="C290" s="143">
        <v>93</v>
      </c>
      <c r="D290" s="845" t="s">
        <v>719</v>
      </c>
      <c r="E290" s="1019">
        <f>F290+G290+L292+M291</f>
        <v>2800</v>
      </c>
      <c r="F290" s="1324"/>
      <c r="G290" s="1328"/>
      <c r="H290" s="1326" t="s">
        <v>24</v>
      </c>
      <c r="I290" s="1019"/>
      <c r="J290" s="1019"/>
      <c r="K290" s="1019"/>
      <c r="L290" s="985"/>
      <c r="M290" s="1023"/>
    </row>
    <row r="291" spans="1:13" ht="18.75" customHeight="1" x14ac:dyDescent="0.35">
      <c r="A291" s="821">
        <v>283</v>
      </c>
      <c r="B291" s="842"/>
      <c r="C291" s="159"/>
      <c r="D291" s="997" t="s">
        <v>252</v>
      </c>
      <c r="E291" s="1331"/>
      <c r="F291" s="1332"/>
      <c r="G291" s="1333"/>
      <c r="H291" s="1334"/>
      <c r="I291" s="1335"/>
      <c r="J291" s="1336">
        <v>2800</v>
      </c>
      <c r="K291" s="1336"/>
      <c r="L291" s="1337">
        <f t="shared" si="2"/>
        <v>2800</v>
      </c>
      <c r="M291" s="1023"/>
    </row>
    <row r="292" spans="1:13" ht="18.75" customHeight="1" x14ac:dyDescent="0.35">
      <c r="A292" s="821">
        <v>284</v>
      </c>
      <c r="B292" s="842"/>
      <c r="C292" s="159"/>
      <c r="D292" s="996" t="s">
        <v>921</v>
      </c>
      <c r="E292" s="1331"/>
      <c r="F292" s="1332"/>
      <c r="G292" s="1333"/>
      <c r="H292" s="1334"/>
      <c r="I292" s="1009"/>
      <c r="J292" s="986">
        <v>2800</v>
      </c>
      <c r="K292" s="986"/>
      <c r="L292" s="1428">
        <f t="shared" si="2"/>
        <v>2800</v>
      </c>
      <c r="M292" s="1023"/>
    </row>
    <row r="293" spans="1:13" ht="18.75" customHeight="1" x14ac:dyDescent="0.35">
      <c r="A293" s="821">
        <v>285</v>
      </c>
      <c r="B293" s="842"/>
      <c r="C293" s="159"/>
      <c r="D293" s="994" t="s">
        <v>973</v>
      </c>
      <c r="E293" s="1032"/>
      <c r="F293" s="1338"/>
      <c r="G293" s="1339"/>
      <c r="H293" s="1340"/>
      <c r="I293" s="1192"/>
      <c r="J293" s="949">
        <v>0</v>
      </c>
      <c r="K293" s="949"/>
      <c r="L293" s="922">
        <f>SUM(F293:K293)</f>
        <v>0</v>
      </c>
      <c r="M293" s="1023"/>
    </row>
    <row r="294" spans="1:13" ht="22.15" customHeight="1" x14ac:dyDescent="0.3">
      <c r="A294" s="821">
        <v>286</v>
      </c>
      <c r="B294" s="842"/>
      <c r="C294" s="159">
        <v>94</v>
      </c>
      <c r="D294" s="144" t="s">
        <v>969</v>
      </c>
      <c r="E294" s="1019">
        <f>F294+G294+L296+M295</f>
        <v>212292</v>
      </c>
      <c r="F294" s="1324"/>
      <c r="G294" s="1328"/>
      <c r="H294" s="1326" t="s">
        <v>24</v>
      </c>
      <c r="I294" s="1019"/>
      <c r="J294" s="1019"/>
      <c r="K294" s="1019"/>
      <c r="L294" s="985"/>
      <c r="M294" s="1023"/>
    </row>
    <row r="295" spans="1:13" ht="18" customHeight="1" x14ac:dyDescent="0.35">
      <c r="A295" s="821">
        <v>287</v>
      </c>
      <c r="B295" s="842"/>
      <c r="C295" s="159"/>
      <c r="D295" s="997" t="s">
        <v>252</v>
      </c>
      <c r="E295" s="1331"/>
      <c r="F295" s="1332"/>
      <c r="G295" s="1333"/>
      <c r="H295" s="1334"/>
      <c r="I295" s="1335"/>
      <c r="J295" s="1336">
        <f>100000+62000</f>
        <v>162000</v>
      </c>
      <c r="K295" s="1336"/>
      <c r="L295" s="1337">
        <f>SUM(I295:K295)</f>
        <v>162000</v>
      </c>
      <c r="M295" s="1023"/>
    </row>
    <row r="296" spans="1:13" ht="18" customHeight="1" x14ac:dyDescent="0.35">
      <c r="A296" s="821">
        <v>288</v>
      </c>
      <c r="B296" s="842"/>
      <c r="C296" s="159"/>
      <c r="D296" s="996" t="s">
        <v>921</v>
      </c>
      <c r="E296" s="1331"/>
      <c r="F296" s="1332"/>
      <c r="G296" s="1333"/>
      <c r="H296" s="1334"/>
      <c r="I296" s="1009"/>
      <c r="J296" s="986">
        <v>212292</v>
      </c>
      <c r="K296" s="986"/>
      <c r="L296" s="1428">
        <f>SUM(I296:K296)</f>
        <v>212292</v>
      </c>
      <c r="M296" s="1023"/>
    </row>
    <row r="297" spans="1:13" ht="18" customHeight="1" x14ac:dyDescent="0.35">
      <c r="A297" s="821">
        <v>289</v>
      </c>
      <c r="B297" s="842"/>
      <c r="C297" s="159"/>
      <c r="D297" s="994" t="s">
        <v>973</v>
      </c>
      <c r="E297" s="1032"/>
      <c r="F297" s="1338"/>
      <c r="G297" s="1339"/>
      <c r="H297" s="1340"/>
      <c r="I297" s="1192"/>
      <c r="J297" s="949">
        <v>0</v>
      </c>
      <c r="K297" s="949"/>
      <c r="L297" s="922">
        <f>SUM(F297:K297)</f>
        <v>0</v>
      </c>
      <c r="M297" s="1023"/>
    </row>
    <row r="298" spans="1:13" ht="22.15" customHeight="1" x14ac:dyDescent="0.3">
      <c r="A298" s="821">
        <v>290</v>
      </c>
      <c r="B298" s="842"/>
      <c r="C298" s="159">
        <v>95</v>
      </c>
      <c r="D298" s="845" t="s">
        <v>720</v>
      </c>
      <c r="E298" s="1019">
        <f>F298+G298+L300+M299</f>
        <v>700</v>
      </c>
      <c r="F298" s="1324"/>
      <c r="G298" s="1328"/>
      <c r="H298" s="1326" t="s">
        <v>24</v>
      </c>
      <c r="I298" s="1019"/>
      <c r="J298" s="1019"/>
      <c r="K298" s="1019"/>
      <c r="L298" s="985"/>
      <c r="M298" s="1023"/>
    </row>
    <row r="299" spans="1:13" ht="18" customHeight="1" x14ac:dyDescent="0.35">
      <c r="A299" s="821">
        <v>291</v>
      </c>
      <c r="B299" s="842"/>
      <c r="C299" s="159"/>
      <c r="D299" s="997" t="s">
        <v>252</v>
      </c>
      <c r="E299" s="1331"/>
      <c r="F299" s="1332"/>
      <c r="G299" s="1333"/>
      <c r="H299" s="1334"/>
      <c r="I299" s="1335"/>
      <c r="J299" s="1336">
        <v>700</v>
      </c>
      <c r="K299" s="1336"/>
      <c r="L299" s="1337">
        <f t="shared" si="2"/>
        <v>700</v>
      </c>
      <c r="M299" s="1023"/>
    </row>
    <row r="300" spans="1:13" ht="18" customHeight="1" x14ac:dyDescent="0.35">
      <c r="A300" s="821">
        <v>292</v>
      </c>
      <c r="B300" s="842"/>
      <c r="C300" s="159"/>
      <c r="D300" s="996" t="s">
        <v>921</v>
      </c>
      <c r="E300" s="1331"/>
      <c r="F300" s="1332"/>
      <c r="G300" s="1333"/>
      <c r="H300" s="1334"/>
      <c r="I300" s="1009"/>
      <c r="J300" s="986">
        <v>700</v>
      </c>
      <c r="K300" s="986"/>
      <c r="L300" s="1428">
        <f t="shared" si="2"/>
        <v>700</v>
      </c>
      <c r="M300" s="1023"/>
    </row>
    <row r="301" spans="1:13" ht="18" customHeight="1" x14ac:dyDescent="0.35">
      <c r="A301" s="821">
        <v>293</v>
      </c>
      <c r="B301" s="842"/>
      <c r="C301" s="159"/>
      <c r="D301" s="994" t="s">
        <v>973</v>
      </c>
      <c r="E301" s="1032"/>
      <c r="F301" s="1338"/>
      <c r="G301" s="1339"/>
      <c r="H301" s="1340"/>
      <c r="I301" s="1192"/>
      <c r="J301" s="949">
        <v>700</v>
      </c>
      <c r="K301" s="949"/>
      <c r="L301" s="922">
        <f>SUM(F301:K301)</f>
        <v>700</v>
      </c>
      <c r="M301" s="1023"/>
    </row>
    <row r="302" spans="1:13" ht="22.15" customHeight="1" x14ac:dyDescent="0.3">
      <c r="A302" s="821">
        <v>294</v>
      </c>
      <c r="B302" s="842"/>
      <c r="C302" s="159">
        <v>97</v>
      </c>
      <c r="D302" s="845" t="s">
        <v>721</v>
      </c>
      <c r="E302" s="1019">
        <f>F302+G302+L304+M303</f>
        <v>1200</v>
      </c>
      <c r="F302" s="1324"/>
      <c r="G302" s="1328"/>
      <c r="H302" s="1326" t="s">
        <v>24</v>
      </c>
      <c r="I302" s="1019"/>
      <c r="J302" s="1019"/>
      <c r="K302" s="1019"/>
      <c r="L302" s="985"/>
      <c r="M302" s="1023"/>
    </row>
    <row r="303" spans="1:13" ht="18" customHeight="1" x14ac:dyDescent="0.35">
      <c r="A303" s="821">
        <v>295</v>
      </c>
      <c r="B303" s="842"/>
      <c r="C303" s="159"/>
      <c r="D303" s="997" t="s">
        <v>252</v>
      </c>
      <c r="E303" s="1331"/>
      <c r="F303" s="1332"/>
      <c r="G303" s="1333"/>
      <c r="H303" s="1334"/>
      <c r="I303" s="1335"/>
      <c r="J303" s="1336">
        <v>1200</v>
      </c>
      <c r="K303" s="1336"/>
      <c r="L303" s="1337">
        <f t="shared" si="2"/>
        <v>1200</v>
      </c>
      <c r="M303" s="1023"/>
    </row>
    <row r="304" spans="1:13" ht="18" customHeight="1" x14ac:dyDescent="0.35">
      <c r="A304" s="821">
        <v>296</v>
      </c>
      <c r="B304" s="842"/>
      <c r="C304" s="159"/>
      <c r="D304" s="996" t="s">
        <v>921</v>
      </c>
      <c r="E304" s="1331"/>
      <c r="F304" s="1332"/>
      <c r="G304" s="1333"/>
      <c r="H304" s="1334"/>
      <c r="I304" s="1009"/>
      <c r="J304" s="986">
        <v>1200</v>
      </c>
      <c r="K304" s="986"/>
      <c r="L304" s="1428">
        <f t="shared" si="2"/>
        <v>1200</v>
      </c>
      <c r="M304" s="1023"/>
    </row>
    <row r="305" spans="1:13" ht="18" customHeight="1" x14ac:dyDescent="0.35">
      <c r="A305" s="821">
        <v>297</v>
      </c>
      <c r="B305" s="842"/>
      <c r="C305" s="159"/>
      <c r="D305" s="994" t="s">
        <v>973</v>
      </c>
      <c r="E305" s="1032"/>
      <c r="F305" s="1338"/>
      <c r="G305" s="1339"/>
      <c r="H305" s="1340"/>
      <c r="I305" s="1192"/>
      <c r="J305" s="949">
        <v>1130</v>
      </c>
      <c r="K305" s="949"/>
      <c r="L305" s="922">
        <f>SUM(F305:K305)</f>
        <v>1130</v>
      </c>
      <c r="M305" s="1023"/>
    </row>
    <row r="306" spans="1:13" ht="51" customHeight="1" x14ac:dyDescent="0.3">
      <c r="A306" s="821">
        <v>298</v>
      </c>
      <c r="B306" s="842"/>
      <c r="C306" s="143">
        <v>98</v>
      </c>
      <c r="D306" s="845" t="s">
        <v>723</v>
      </c>
      <c r="E306" s="1019">
        <f>F306+G306+L308+M307</f>
        <v>121342</v>
      </c>
      <c r="F306" s="1324"/>
      <c r="G306" s="1328"/>
      <c r="H306" s="1326" t="s">
        <v>23</v>
      </c>
      <c r="I306" s="1019"/>
      <c r="J306" s="1019"/>
      <c r="K306" s="1019"/>
      <c r="L306" s="985"/>
      <c r="M306" s="1023"/>
    </row>
    <row r="307" spans="1:13" ht="18" customHeight="1" x14ac:dyDescent="0.35">
      <c r="A307" s="821">
        <v>299</v>
      </c>
      <c r="B307" s="842"/>
      <c r="C307" s="159"/>
      <c r="D307" s="997" t="s">
        <v>252</v>
      </c>
      <c r="E307" s="1331"/>
      <c r="F307" s="1332"/>
      <c r="G307" s="1333"/>
      <c r="H307" s="1334"/>
      <c r="I307" s="1335"/>
      <c r="J307" s="1336"/>
      <c r="K307" s="1336">
        <v>1444944</v>
      </c>
      <c r="L307" s="1337">
        <f t="shared" si="2"/>
        <v>1444944</v>
      </c>
      <c r="M307" s="1023"/>
    </row>
    <row r="308" spans="1:13" ht="18" customHeight="1" x14ac:dyDescent="0.35">
      <c r="A308" s="821">
        <v>300</v>
      </c>
      <c r="B308" s="842"/>
      <c r="C308" s="159"/>
      <c r="D308" s="996" t="s">
        <v>921</v>
      </c>
      <c r="E308" s="1331"/>
      <c r="F308" s="1332"/>
      <c r="G308" s="1333"/>
      <c r="H308" s="1334"/>
      <c r="I308" s="1009"/>
      <c r="J308" s="986"/>
      <c r="K308" s="986">
        <v>121342</v>
      </c>
      <c r="L308" s="1428">
        <f t="shared" si="2"/>
        <v>121342</v>
      </c>
      <c r="M308" s="1023"/>
    </row>
    <row r="309" spans="1:13" ht="18" customHeight="1" x14ac:dyDescent="0.35">
      <c r="A309" s="821">
        <v>301</v>
      </c>
      <c r="B309" s="842"/>
      <c r="C309" s="159"/>
      <c r="D309" s="994" t="s">
        <v>972</v>
      </c>
      <c r="E309" s="1032"/>
      <c r="F309" s="1338"/>
      <c r="G309" s="1339"/>
      <c r="H309" s="1340"/>
      <c r="I309" s="1192"/>
      <c r="J309" s="949"/>
      <c r="K309" s="949">
        <v>121342</v>
      </c>
      <c r="L309" s="922">
        <f>SUM(F309:K309)</f>
        <v>121342</v>
      </c>
      <c r="M309" s="1023"/>
    </row>
    <row r="310" spans="1:13" ht="22.15" customHeight="1" x14ac:dyDescent="0.3">
      <c r="A310" s="821">
        <v>302</v>
      </c>
      <c r="B310" s="842"/>
      <c r="C310" s="159">
        <v>99</v>
      </c>
      <c r="D310" s="144" t="s">
        <v>849</v>
      </c>
      <c r="E310" s="1019">
        <f>F310+G310+L312+M311</f>
        <v>10000</v>
      </c>
      <c r="F310" s="1324"/>
      <c r="G310" s="1328"/>
      <c r="H310" s="1326" t="s">
        <v>24</v>
      </c>
      <c r="I310" s="1019"/>
      <c r="J310" s="1019"/>
      <c r="K310" s="1019"/>
      <c r="L310" s="985"/>
      <c r="M310" s="1023"/>
    </row>
    <row r="311" spans="1:13" ht="18" customHeight="1" x14ac:dyDescent="0.35">
      <c r="A311" s="821">
        <v>303</v>
      </c>
      <c r="B311" s="842"/>
      <c r="C311" s="159"/>
      <c r="D311" s="997" t="s">
        <v>252</v>
      </c>
      <c r="E311" s="1331"/>
      <c r="F311" s="1332"/>
      <c r="G311" s="1333"/>
      <c r="H311" s="1334"/>
      <c r="I311" s="1335"/>
      <c r="J311" s="1336">
        <v>10000</v>
      </c>
      <c r="K311" s="1336"/>
      <c r="L311" s="1337">
        <f>SUM(I311:K311)</f>
        <v>10000</v>
      </c>
      <c r="M311" s="1023"/>
    </row>
    <row r="312" spans="1:13" ht="18" customHeight="1" x14ac:dyDescent="0.35">
      <c r="A312" s="821">
        <v>304</v>
      </c>
      <c r="B312" s="842"/>
      <c r="C312" s="159"/>
      <c r="D312" s="996" t="s">
        <v>921</v>
      </c>
      <c r="E312" s="1331"/>
      <c r="F312" s="1332"/>
      <c r="G312" s="1333"/>
      <c r="H312" s="1334"/>
      <c r="I312" s="1009"/>
      <c r="J312" s="986">
        <v>10000</v>
      </c>
      <c r="K312" s="986"/>
      <c r="L312" s="1428">
        <f>SUM(I312:K312)</f>
        <v>10000</v>
      </c>
      <c r="M312" s="1023"/>
    </row>
    <row r="313" spans="1:13" ht="18" customHeight="1" x14ac:dyDescent="0.35">
      <c r="A313" s="821">
        <v>305</v>
      </c>
      <c r="B313" s="842"/>
      <c r="C313" s="159"/>
      <c r="D313" s="994" t="s">
        <v>973</v>
      </c>
      <c r="E313" s="1032"/>
      <c r="F313" s="1338"/>
      <c r="G313" s="1339"/>
      <c r="H313" s="1340"/>
      <c r="I313" s="1192"/>
      <c r="J313" s="949">
        <v>7300</v>
      </c>
      <c r="K313" s="949"/>
      <c r="L313" s="922">
        <f>SUM(F313:K313)</f>
        <v>7300</v>
      </c>
      <c r="M313" s="1023"/>
    </row>
    <row r="314" spans="1:13" ht="33" customHeight="1" x14ac:dyDescent="0.3">
      <c r="A314" s="821">
        <v>306</v>
      </c>
      <c r="B314" s="842"/>
      <c r="C314" s="143">
        <v>101</v>
      </c>
      <c r="D314" s="144" t="s">
        <v>671</v>
      </c>
      <c r="E314" s="1019">
        <f>F314+G314+L316+M315</f>
        <v>1500</v>
      </c>
      <c r="F314" s="1324"/>
      <c r="G314" s="1328"/>
      <c r="H314" s="1326" t="s">
        <v>24</v>
      </c>
      <c r="I314" s="1019"/>
      <c r="J314" s="1019"/>
      <c r="K314" s="1019"/>
      <c r="L314" s="985"/>
      <c r="M314" s="1023"/>
    </row>
    <row r="315" spans="1:13" ht="18" customHeight="1" x14ac:dyDescent="0.35">
      <c r="A315" s="821">
        <v>307</v>
      </c>
      <c r="B315" s="842"/>
      <c r="C315" s="159"/>
      <c r="D315" s="997" t="s">
        <v>252</v>
      </c>
      <c r="E315" s="1331"/>
      <c r="F315" s="1332"/>
      <c r="G315" s="1333"/>
      <c r="H315" s="1334"/>
      <c r="I315" s="1335"/>
      <c r="J315" s="1336">
        <v>1500</v>
      </c>
      <c r="K315" s="1336"/>
      <c r="L315" s="1337">
        <f>SUM(I315:K315)</f>
        <v>1500</v>
      </c>
      <c r="M315" s="1023"/>
    </row>
    <row r="316" spans="1:13" ht="18" customHeight="1" x14ac:dyDescent="0.35">
      <c r="A316" s="821">
        <v>308</v>
      </c>
      <c r="B316" s="842"/>
      <c r="C316" s="159"/>
      <c r="D316" s="996" t="s">
        <v>921</v>
      </c>
      <c r="E316" s="1331"/>
      <c r="F316" s="1332"/>
      <c r="G316" s="1333"/>
      <c r="H316" s="1334"/>
      <c r="I316" s="1009"/>
      <c r="J316" s="986">
        <v>1500</v>
      </c>
      <c r="K316" s="986"/>
      <c r="L316" s="1428">
        <f>SUM(I316:K316)</f>
        <v>1500</v>
      </c>
      <c r="M316" s="1023"/>
    </row>
    <row r="317" spans="1:13" ht="18" customHeight="1" x14ac:dyDescent="0.35">
      <c r="A317" s="821">
        <v>309</v>
      </c>
      <c r="B317" s="842"/>
      <c r="C317" s="159"/>
      <c r="D317" s="994" t="s">
        <v>973</v>
      </c>
      <c r="E317" s="1032"/>
      <c r="F317" s="1338"/>
      <c r="G317" s="1339"/>
      <c r="H317" s="1340"/>
      <c r="I317" s="1192"/>
      <c r="J317" s="949">
        <v>1500</v>
      </c>
      <c r="K317" s="949"/>
      <c r="L317" s="922">
        <f>SUM(F317:K317)</f>
        <v>1500</v>
      </c>
      <c r="M317" s="1023"/>
    </row>
    <row r="318" spans="1:13" ht="66.75" customHeight="1" x14ac:dyDescent="0.3">
      <c r="A318" s="821">
        <v>310</v>
      </c>
      <c r="B318" s="842"/>
      <c r="C318" s="143">
        <v>102</v>
      </c>
      <c r="D318" s="144" t="s">
        <v>672</v>
      </c>
      <c r="E318" s="1019">
        <f>F318+G318+L320+M319</f>
        <v>330000</v>
      </c>
      <c r="F318" s="1324"/>
      <c r="G318" s="1328"/>
      <c r="H318" s="1326" t="s">
        <v>24</v>
      </c>
      <c r="I318" s="1019"/>
      <c r="J318" s="1019"/>
      <c r="K318" s="1019"/>
      <c r="L318" s="985"/>
      <c r="M318" s="1023"/>
    </row>
    <row r="319" spans="1:13" ht="18" customHeight="1" x14ac:dyDescent="0.35">
      <c r="A319" s="821">
        <v>311</v>
      </c>
      <c r="B319" s="842"/>
      <c r="C319" s="159"/>
      <c r="D319" s="997" t="s">
        <v>252</v>
      </c>
      <c r="E319" s="1331"/>
      <c r="F319" s="1332"/>
      <c r="G319" s="1333"/>
      <c r="H319" s="1334"/>
      <c r="I319" s="1335"/>
      <c r="J319" s="1336">
        <v>200000</v>
      </c>
      <c r="K319" s="1336"/>
      <c r="L319" s="1337">
        <f>SUM(I319:K319)</f>
        <v>200000</v>
      </c>
      <c r="M319" s="1023">
        <f>120000+10000</f>
        <v>130000</v>
      </c>
    </row>
    <row r="320" spans="1:13" ht="18" customHeight="1" x14ac:dyDescent="0.35">
      <c r="A320" s="821">
        <v>312</v>
      </c>
      <c r="B320" s="842"/>
      <c r="C320" s="159"/>
      <c r="D320" s="996" t="s">
        <v>921</v>
      </c>
      <c r="E320" s="1331"/>
      <c r="F320" s="1332"/>
      <c r="G320" s="1333"/>
      <c r="H320" s="1334"/>
      <c r="I320" s="1009"/>
      <c r="J320" s="986">
        <v>200000</v>
      </c>
      <c r="K320" s="986"/>
      <c r="L320" s="1428">
        <f>SUM(I320:K320)</f>
        <v>200000</v>
      </c>
      <c r="M320" s="1023"/>
    </row>
    <row r="321" spans="1:13" ht="18" customHeight="1" x14ac:dyDescent="0.35">
      <c r="A321" s="821">
        <v>313</v>
      </c>
      <c r="B321" s="842"/>
      <c r="C321" s="159"/>
      <c r="D321" s="994" t="s">
        <v>973</v>
      </c>
      <c r="E321" s="1032"/>
      <c r="F321" s="1338"/>
      <c r="G321" s="1339"/>
      <c r="H321" s="1340"/>
      <c r="I321" s="1192"/>
      <c r="J321" s="949">
        <v>100000</v>
      </c>
      <c r="K321" s="949"/>
      <c r="L321" s="922">
        <f>SUM(F321:K321)</f>
        <v>100000</v>
      </c>
      <c r="M321" s="1023"/>
    </row>
    <row r="322" spans="1:13" ht="34.5" customHeight="1" x14ac:dyDescent="0.3">
      <c r="A322" s="821">
        <v>314</v>
      </c>
      <c r="B322" s="842"/>
      <c r="C322" s="143">
        <v>103</v>
      </c>
      <c r="D322" s="844" t="s">
        <v>673</v>
      </c>
      <c r="E322" s="1019">
        <f>F322+G322+L324+M323</f>
        <v>46050</v>
      </c>
      <c r="F322" s="1324"/>
      <c r="G322" s="1328"/>
      <c r="H322" s="1326" t="s">
        <v>24</v>
      </c>
      <c r="I322" s="1019"/>
      <c r="J322" s="1019"/>
      <c r="K322" s="1019"/>
      <c r="L322" s="985"/>
      <c r="M322" s="1023"/>
    </row>
    <row r="323" spans="1:13" ht="18" customHeight="1" x14ac:dyDescent="0.35">
      <c r="A323" s="821">
        <v>315</v>
      </c>
      <c r="B323" s="842"/>
      <c r="C323" s="159"/>
      <c r="D323" s="997" t="s">
        <v>252</v>
      </c>
      <c r="E323" s="1331"/>
      <c r="F323" s="1332"/>
      <c r="G323" s="1333"/>
      <c r="H323" s="1334"/>
      <c r="I323" s="1335"/>
      <c r="J323" s="1336">
        <v>46050</v>
      </c>
      <c r="K323" s="1336"/>
      <c r="L323" s="1337">
        <f>SUM(I323:K323)</f>
        <v>46050</v>
      </c>
      <c r="M323" s="1023"/>
    </row>
    <row r="324" spans="1:13" ht="18" customHeight="1" x14ac:dyDescent="0.35">
      <c r="A324" s="821">
        <v>316</v>
      </c>
      <c r="B324" s="842"/>
      <c r="C324" s="159"/>
      <c r="D324" s="996" t="s">
        <v>921</v>
      </c>
      <c r="E324" s="1331"/>
      <c r="F324" s="1332"/>
      <c r="G324" s="1333"/>
      <c r="H324" s="1334"/>
      <c r="I324" s="1009"/>
      <c r="J324" s="986">
        <v>46050</v>
      </c>
      <c r="K324" s="986"/>
      <c r="L324" s="1428">
        <f>SUM(I324:K324)</f>
        <v>46050</v>
      </c>
      <c r="M324" s="1023"/>
    </row>
    <row r="325" spans="1:13" ht="18" customHeight="1" x14ac:dyDescent="0.35">
      <c r="A325" s="821">
        <v>317</v>
      </c>
      <c r="B325" s="842"/>
      <c r="C325" s="159"/>
      <c r="D325" s="994" t="s">
        <v>973</v>
      </c>
      <c r="E325" s="1032"/>
      <c r="F325" s="1338"/>
      <c r="G325" s="1339"/>
      <c r="H325" s="1340"/>
      <c r="I325" s="1192"/>
      <c r="J325" s="949">
        <v>0</v>
      </c>
      <c r="K325" s="949"/>
      <c r="L325" s="922">
        <f>SUM(F325:K325)</f>
        <v>0</v>
      </c>
      <c r="M325" s="1023"/>
    </row>
    <row r="326" spans="1:13" ht="22.15" customHeight="1" x14ac:dyDescent="0.3">
      <c r="A326" s="821">
        <v>318</v>
      </c>
      <c r="B326" s="842"/>
      <c r="C326" s="159">
        <v>104</v>
      </c>
      <c r="D326" s="847" t="s">
        <v>674</v>
      </c>
      <c r="E326" s="1019">
        <f>F326+G326+L328+M327</f>
        <v>9600</v>
      </c>
      <c r="F326" s="1324"/>
      <c r="G326" s="1328"/>
      <c r="H326" s="1326" t="s">
        <v>24</v>
      </c>
      <c r="I326" s="1019"/>
      <c r="J326" s="1019"/>
      <c r="K326" s="1019"/>
      <c r="L326" s="985"/>
      <c r="M326" s="1023"/>
    </row>
    <row r="327" spans="1:13" ht="18" customHeight="1" x14ac:dyDescent="0.35">
      <c r="A327" s="821">
        <v>319</v>
      </c>
      <c r="B327" s="842"/>
      <c r="C327" s="159"/>
      <c r="D327" s="997" t="s">
        <v>252</v>
      </c>
      <c r="E327" s="1331"/>
      <c r="F327" s="1332"/>
      <c r="G327" s="1333"/>
      <c r="H327" s="1334"/>
      <c r="I327" s="1335"/>
      <c r="J327" s="1336">
        <v>9600</v>
      </c>
      <c r="K327" s="1336"/>
      <c r="L327" s="1337">
        <f>SUM(I327:K327)</f>
        <v>9600</v>
      </c>
      <c r="M327" s="1023"/>
    </row>
    <row r="328" spans="1:13" ht="18" customHeight="1" x14ac:dyDescent="0.35">
      <c r="A328" s="821">
        <v>320</v>
      </c>
      <c r="B328" s="842"/>
      <c r="C328" s="159"/>
      <c r="D328" s="996" t="s">
        <v>921</v>
      </c>
      <c r="E328" s="1331"/>
      <c r="F328" s="1332"/>
      <c r="G328" s="1333"/>
      <c r="H328" s="1334"/>
      <c r="I328" s="1009"/>
      <c r="J328" s="986">
        <v>9600</v>
      </c>
      <c r="K328" s="986"/>
      <c r="L328" s="1428">
        <f>SUM(I328:K328)</f>
        <v>9600</v>
      </c>
      <c r="M328" s="1023"/>
    </row>
    <row r="329" spans="1:13" ht="18" customHeight="1" x14ac:dyDescent="0.35">
      <c r="A329" s="821">
        <v>321</v>
      </c>
      <c r="B329" s="842"/>
      <c r="C329" s="159"/>
      <c r="D329" s="994" t="s">
        <v>973</v>
      </c>
      <c r="E329" s="1032"/>
      <c r="F329" s="1338"/>
      <c r="G329" s="1339"/>
      <c r="H329" s="1340"/>
      <c r="I329" s="1192"/>
      <c r="J329" s="949">
        <v>0</v>
      </c>
      <c r="K329" s="949"/>
      <c r="L329" s="922">
        <f>SUM(F329:K329)</f>
        <v>0</v>
      </c>
      <c r="M329" s="1023"/>
    </row>
    <row r="330" spans="1:13" ht="22.15" customHeight="1" x14ac:dyDescent="0.3">
      <c r="A330" s="821">
        <v>322</v>
      </c>
      <c r="B330" s="842"/>
      <c r="C330" s="159">
        <v>105</v>
      </c>
      <c r="D330" s="847" t="s">
        <v>675</v>
      </c>
      <c r="E330" s="1019">
        <f>F330+G330+L332+M331</f>
        <v>15000</v>
      </c>
      <c r="F330" s="1324"/>
      <c r="G330" s="1328"/>
      <c r="H330" s="1326" t="s">
        <v>24</v>
      </c>
      <c r="I330" s="1019"/>
      <c r="J330" s="1019"/>
      <c r="K330" s="1019"/>
      <c r="L330" s="985"/>
      <c r="M330" s="1023"/>
    </row>
    <row r="331" spans="1:13" ht="18" customHeight="1" x14ac:dyDescent="0.35">
      <c r="A331" s="821">
        <v>323</v>
      </c>
      <c r="B331" s="842"/>
      <c r="C331" s="159"/>
      <c r="D331" s="997" t="s">
        <v>252</v>
      </c>
      <c r="E331" s="1331"/>
      <c r="F331" s="1332"/>
      <c r="G331" s="1333"/>
      <c r="H331" s="1334"/>
      <c r="I331" s="1335"/>
      <c r="J331" s="1336">
        <v>15000</v>
      </c>
      <c r="K331" s="1336"/>
      <c r="L331" s="1337">
        <f>SUM(I331:K331)</f>
        <v>15000</v>
      </c>
      <c r="M331" s="1023"/>
    </row>
    <row r="332" spans="1:13" ht="18" customHeight="1" x14ac:dyDescent="0.35">
      <c r="A332" s="821">
        <v>324</v>
      </c>
      <c r="B332" s="842"/>
      <c r="C332" s="159"/>
      <c r="D332" s="996" t="s">
        <v>921</v>
      </c>
      <c r="E332" s="1331"/>
      <c r="F332" s="1332"/>
      <c r="G332" s="1333"/>
      <c r="H332" s="1343"/>
      <c r="I332" s="1009"/>
      <c r="J332" s="986">
        <v>15000</v>
      </c>
      <c r="K332" s="986"/>
      <c r="L332" s="1428">
        <f>SUM(I332:K332)</f>
        <v>15000</v>
      </c>
      <c r="M332" s="1023"/>
    </row>
    <row r="333" spans="1:13" ht="18" customHeight="1" x14ac:dyDescent="0.35">
      <c r="A333" s="821">
        <v>325</v>
      </c>
      <c r="B333" s="842"/>
      <c r="C333" s="159"/>
      <c r="D333" s="994" t="s">
        <v>973</v>
      </c>
      <c r="E333" s="1032"/>
      <c r="F333" s="1338"/>
      <c r="G333" s="1339"/>
      <c r="H333" s="1340"/>
      <c r="I333" s="1192"/>
      <c r="J333" s="949">
        <v>0</v>
      </c>
      <c r="K333" s="949"/>
      <c r="L333" s="922">
        <f>SUM(F333:K333)</f>
        <v>0</v>
      </c>
      <c r="M333" s="1023"/>
    </row>
    <row r="334" spans="1:13" ht="22.15" customHeight="1" x14ac:dyDescent="0.3">
      <c r="A334" s="821">
        <v>326</v>
      </c>
      <c r="B334" s="842"/>
      <c r="C334" s="159">
        <v>106</v>
      </c>
      <c r="D334" s="847" t="s">
        <v>830</v>
      </c>
      <c r="E334" s="1019">
        <f>F334+G334+L336+M335</f>
        <v>20000</v>
      </c>
      <c r="F334" s="1324"/>
      <c r="G334" s="1328"/>
      <c r="H334" s="1326" t="s">
        <v>24</v>
      </c>
      <c r="I334" s="1019"/>
      <c r="J334" s="1019"/>
      <c r="K334" s="1019"/>
      <c r="L334" s="985"/>
      <c r="M334" s="1023"/>
    </row>
    <row r="335" spans="1:13" ht="18" customHeight="1" x14ac:dyDescent="0.35">
      <c r="A335" s="821">
        <v>327</v>
      </c>
      <c r="B335" s="842"/>
      <c r="C335" s="159"/>
      <c r="D335" s="997" t="s">
        <v>252</v>
      </c>
      <c r="E335" s="1331"/>
      <c r="F335" s="1332"/>
      <c r="G335" s="1333"/>
      <c r="H335" s="1334"/>
      <c r="I335" s="1335"/>
      <c r="J335" s="1336">
        <v>20000</v>
      </c>
      <c r="K335" s="1336"/>
      <c r="L335" s="1337">
        <f>SUM(I335:K335)</f>
        <v>20000</v>
      </c>
      <c r="M335" s="1023"/>
    </row>
    <row r="336" spans="1:13" ht="18" customHeight="1" x14ac:dyDescent="0.35">
      <c r="A336" s="821">
        <v>328</v>
      </c>
      <c r="B336" s="842"/>
      <c r="C336" s="159"/>
      <c r="D336" s="996" t="s">
        <v>921</v>
      </c>
      <c r="E336" s="1331"/>
      <c r="F336" s="1332"/>
      <c r="G336" s="1333"/>
      <c r="H336" s="1334"/>
      <c r="I336" s="1009"/>
      <c r="J336" s="986">
        <v>20000</v>
      </c>
      <c r="K336" s="986"/>
      <c r="L336" s="1428">
        <f>SUM(I336:K336)</f>
        <v>20000</v>
      </c>
      <c r="M336" s="1023"/>
    </row>
    <row r="337" spans="1:13" ht="18" customHeight="1" x14ac:dyDescent="0.35">
      <c r="A337" s="821">
        <v>329</v>
      </c>
      <c r="B337" s="842"/>
      <c r="C337" s="159"/>
      <c r="D337" s="994" t="s">
        <v>972</v>
      </c>
      <c r="E337" s="1032"/>
      <c r="F337" s="1338"/>
      <c r="G337" s="1339"/>
      <c r="H337" s="1340"/>
      <c r="I337" s="1192"/>
      <c r="J337" s="949">
        <v>0</v>
      </c>
      <c r="K337" s="949"/>
      <c r="L337" s="922">
        <f>SUM(F337:K337)</f>
        <v>0</v>
      </c>
      <c r="M337" s="1023"/>
    </row>
    <row r="338" spans="1:13" ht="22.15" customHeight="1" x14ac:dyDescent="0.3">
      <c r="A338" s="821">
        <v>330</v>
      </c>
      <c r="B338" s="842"/>
      <c r="C338" s="159">
        <v>107</v>
      </c>
      <c r="D338" s="847" t="s">
        <v>831</v>
      </c>
      <c r="E338" s="1019">
        <f>F338+G338+L340+M339</f>
        <v>20000</v>
      </c>
      <c r="F338" s="1324"/>
      <c r="G338" s="1328"/>
      <c r="H338" s="1326" t="s">
        <v>24</v>
      </c>
      <c r="I338" s="1019"/>
      <c r="J338" s="1019"/>
      <c r="K338" s="1019"/>
      <c r="L338" s="985"/>
      <c r="M338" s="1023"/>
    </row>
    <row r="339" spans="1:13" ht="18" customHeight="1" x14ac:dyDescent="0.35">
      <c r="A339" s="821">
        <v>331</v>
      </c>
      <c r="B339" s="842"/>
      <c r="C339" s="159"/>
      <c r="D339" s="997" t="s">
        <v>252</v>
      </c>
      <c r="E339" s="1331"/>
      <c r="F339" s="1332"/>
      <c r="G339" s="1333"/>
      <c r="H339" s="1334"/>
      <c r="I339" s="1335"/>
      <c r="J339" s="1336">
        <v>20000</v>
      </c>
      <c r="K339" s="1336"/>
      <c r="L339" s="1337">
        <f>SUM(I339:K339)</f>
        <v>20000</v>
      </c>
      <c r="M339" s="1023"/>
    </row>
    <row r="340" spans="1:13" ht="18" customHeight="1" x14ac:dyDescent="0.35">
      <c r="A340" s="821">
        <v>332</v>
      </c>
      <c r="B340" s="842"/>
      <c r="C340" s="159"/>
      <c r="D340" s="996" t="s">
        <v>921</v>
      </c>
      <c r="E340" s="1331"/>
      <c r="F340" s="1332"/>
      <c r="G340" s="1333"/>
      <c r="H340" s="1334"/>
      <c r="I340" s="1009"/>
      <c r="J340" s="986">
        <v>20000</v>
      </c>
      <c r="K340" s="986"/>
      <c r="L340" s="1428">
        <f>SUM(I340:K340)</f>
        <v>20000</v>
      </c>
      <c r="M340" s="1023"/>
    </row>
    <row r="341" spans="1:13" ht="18" customHeight="1" x14ac:dyDescent="0.35">
      <c r="A341" s="821">
        <v>333</v>
      </c>
      <c r="B341" s="842"/>
      <c r="C341" s="159"/>
      <c r="D341" s="994" t="s">
        <v>973</v>
      </c>
      <c r="E341" s="1032"/>
      <c r="F341" s="1338"/>
      <c r="G341" s="1339"/>
      <c r="H341" s="1340"/>
      <c r="I341" s="1192"/>
      <c r="J341" s="949">
        <v>0</v>
      </c>
      <c r="K341" s="949"/>
      <c r="L341" s="922">
        <f>SUM(F341:K341)</f>
        <v>0</v>
      </c>
      <c r="M341" s="1023"/>
    </row>
    <row r="342" spans="1:13" ht="22.15" customHeight="1" x14ac:dyDescent="0.3">
      <c r="A342" s="821">
        <v>334</v>
      </c>
      <c r="B342" s="842"/>
      <c r="C342" s="159">
        <v>108</v>
      </c>
      <c r="D342" s="847" t="s">
        <v>832</v>
      </c>
      <c r="E342" s="1019">
        <f>F342+G342+L344+M343</f>
        <v>5000</v>
      </c>
      <c r="F342" s="1324"/>
      <c r="G342" s="1328"/>
      <c r="H342" s="1326" t="s">
        <v>24</v>
      </c>
      <c r="I342" s="1019"/>
      <c r="J342" s="1019"/>
      <c r="K342" s="1019"/>
      <c r="L342" s="985"/>
      <c r="M342" s="1023"/>
    </row>
    <row r="343" spans="1:13" ht="18" customHeight="1" x14ac:dyDescent="0.35">
      <c r="A343" s="821">
        <v>335</v>
      </c>
      <c r="B343" s="842"/>
      <c r="C343" s="159"/>
      <c r="D343" s="997" t="s">
        <v>252</v>
      </c>
      <c r="E343" s="1331"/>
      <c r="F343" s="1332"/>
      <c r="G343" s="1333"/>
      <c r="H343" s="1334"/>
      <c r="I343" s="1335"/>
      <c r="J343" s="1336">
        <v>5000</v>
      </c>
      <c r="K343" s="1336"/>
      <c r="L343" s="1337">
        <f>SUM(I343:K343)</f>
        <v>5000</v>
      </c>
      <c r="M343" s="1023"/>
    </row>
    <row r="344" spans="1:13" ht="18" customHeight="1" x14ac:dyDescent="0.35">
      <c r="A344" s="821">
        <v>336</v>
      </c>
      <c r="B344" s="842"/>
      <c r="C344" s="159"/>
      <c r="D344" s="996" t="s">
        <v>921</v>
      </c>
      <c r="E344" s="1331"/>
      <c r="F344" s="1332"/>
      <c r="G344" s="1333"/>
      <c r="H344" s="1334"/>
      <c r="I344" s="1009"/>
      <c r="J344" s="986">
        <v>5000</v>
      </c>
      <c r="K344" s="986"/>
      <c r="L344" s="1428">
        <f>SUM(I344:K344)</f>
        <v>5000</v>
      </c>
      <c r="M344" s="1023"/>
    </row>
    <row r="345" spans="1:13" ht="18" customHeight="1" x14ac:dyDescent="0.35">
      <c r="A345" s="821">
        <v>337</v>
      </c>
      <c r="B345" s="842"/>
      <c r="C345" s="159"/>
      <c r="D345" s="994" t="s">
        <v>973</v>
      </c>
      <c r="E345" s="1032"/>
      <c r="F345" s="1338"/>
      <c r="G345" s="1339"/>
      <c r="H345" s="1340"/>
      <c r="I345" s="1192"/>
      <c r="J345" s="949">
        <v>0</v>
      </c>
      <c r="K345" s="949"/>
      <c r="L345" s="922">
        <f>SUM(F345:K345)</f>
        <v>0</v>
      </c>
      <c r="M345" s="1023"/>
    </row>
    <row r="346" spans="1:13" ht="31.5" customHeight="1" x14ac:dyDescent="0.3">
      <c r="A346" s="821">
        <v>338</v>
      </c>
      <c r="B346" s="842"/>
      <c r="C346" s="143">
        <v>109</v>
      </c>
      <c r="D346" s="844" t="s">
        <v>676</v>
      </c>
      <c r="E346" s="1019">
        <f>F346+G346+L348+M347</f>
        <v>7500</v>
      </c>
      <c r="F346" s="1324"/>
      <c r="G346" s="1328"/>
      <c r="H346" s="1326" t="s">
        <v>24</v>
      </c>
      <c r="I346" s="1019"/>
      <c r="J346" s="1019"/>
      <c r="K346" s="1019"/>
      <c r="L346" s="985"/>
      <c r="M346" s="1023"/>
    </row>
    <row r="347" spans="1:13" ht="18" customHeight="1" x14ac:dyDescent="0.35">
      <c r="A347" s="821">
        <v>339</v>
      </c>
      <c r="B347" s="842"/>
      <c r="C347" s="159"/>
      <c r="D347" s="997" t="s">
        <v>252</v>
      </c>
      <c r="E347" s="1331"/>
      <c r="F347" s="1332"/>
      <c r="G347" s="1333"/>
      <c r="H347" s="1334"/>
      <c r="I347" s="1335"/>
      <c r="J347" s="1336">
        <v>7500</v>
      </c>
      <c r="K347" s="1336"/>
      <c r="L347" s="1337">
        <f>SUM(I347:K347)</f>
        <v>7500</v>
      </c>
      <c r="M347" s="1023"/>
    </row>
    <row r="348" spans="1:13" ht="18" customHeight="1" x14ac:dyDescent="0.35">
      <c r="A348" s="821">
        <v>340</v>
      </c>
      <c r="B348" s="842"/>
      <c r="C348" s="159"/>
      <c r="D348" s="996" t="s">
        <v>921</v>
      </c>
      <c r="E348" s="1331"/>
      <c r="F348" s="1332"/>
      <c r="G348" s="1333"/>
      <c r="H348" s="1334"/>
      <c r="I348" s="1009"/>
      <c r="J348" s="986">
        <v>7500</v>
      </c>
      <c r="K348" s="986"/>
      <c r="L348" s="1428">
        <f>SUM(I348:K348)</f>
        <v>7500</v>
      </c>
      <c r="M348" s="1023"/>
    </row>
    <row r="349" spans="1:13" ht="18" customHeight="1" x14ac:dyDescent="0.35">
      <c r="A349" s="821">
        <v>341</v>
      </c>
      <c r="B349" s="842"/>
      <c r="C349" s="159"/>
      <c r="D349" s="994" t="s">
        <v>973</v>
      </c>
      <c r="E349" s="1032"/>
      <c r="F349" s="1338"/>
      <c r="G349" s="1339"/>
      <c r="H349" s="1340"/>
      <c r="I349" s="1192"/>
      <c r="J349" s="949">
        <v>0</v>
      </c>
      <c r="K349" s="949"/>
      <c r="L349" s="922">
        <f>SUM(F349:K349)</f>
        <v>0</v>
      </c>
      <c r="M349" s="1023"/>
    </row>
    <row r="350" spans="1:13" ht="22.15" customHeight="1" x14ac:dyDescent="0.3">
      <c r="A350" s="821">
        <v>342</v>
      </c>
      <c r="B350" s="842"/>
      <c r="C350" s="159">
        <v>110</v>
      </c>
      <c r="D350" s="847" t="s">
        <v>677</v>
      </c>
      <c r="E350" s="1019">
        <f>F350+G350+L352+M351</f>
        <v>5000</v>
      </c>
      <c r="F350" s="1324"/>
      <c r="G350" s="1328"/>
      <c r="H350" s="1326" t="s">
        <v>24</v>
      </c>
      <c r="I350" s="1019"/>
      <c r="J350" s="1019"/>
      <c r="K350" s="1019"/>
      <c r="L350" s="985"/>
      <c r="M350" s="1023"/>
    </row>
    <row r="351" spans="1:13" ht="18" customHeight="1" x14ac:dyDescent="0.35">
      <c r="A351" s="821">
        <v>343</v>
      </c>
      <c r="B351" s="842"/>
      <c r="C351" s="159"/>
      <c r="D351" s="997" t="s">
        <v>252</v>
      </c>
      <c r="E351" s="1331"/>
      <c r="F351" s="1332"/>
      <c r="G351" s="1333"/>
      <c r="H351" s="1334"/>
      <c r="I351" s="1335"/>
      <c r="J351" s="1336">
        <v>5000</v>
      </c>
      <c r="K351" s="1336"/>
      <c r="L351" s="1337">
        <f>SUM(I351:K351)</f>
        <v>5000</v>
      </c>
      <c r="M351" s="1023"/>
    </row>
    <row r="352" spans="1:13" ht="18" customHeight="1" x14ac:dyDescent="0.35">
      <c r="A352" s="821">
        <v>344</v>
      </c>
      <c r="B352" s="842"/>
      <c r="C352" s="159"/>
      <c r="D352" s="996" t="s">
        <v>921</v>
      </c>
      <c r="E352" s="1331"/>
      <c r="F352" s="1332"/>
      <c r="G352" s="1333"/>
      <c r="H352" s="1334"/>
      <c r="I352" s="1009"/>
      <c r="J352" s="986">
        <v>5000</v>
      </c>
      <c r="K352" s="986"/>
      <c r="L352" s="1428">
        <f>SUM(I352:K352)</f>
        <v>5000</v>
      </c>
      <c r="M352" s="1023"/>
    </row>
    <row r="353" spans="1:13" ht="18" customHeight="1" x14ac:dyDescent="0.35">
      <c r="A353" s="821">
        <v>345</v>
      </c>
      <c r="B353" s="842"/>
      <c r="C353" s="159"/>
      <c r="D353" s="994" t="s">
        <v>973</v>
      </c>
      <c r="E353" s="1032"/>
      <c r="F353" s="1338"/>
      <c r="G353" s="1339"/>
      <c r="H353" s="1340"/>
      <c r="I353" s="1192"/>
      <c r="J353" s="949">
        <v>0</v>
      </c>
      <c r="K353" s="949"/>
      <c r="L353" s="922">
        <f>SUM(F353:K353)</f>
        <v>0</v>
      </c>
      <c r="M353" s="1023"/>
    </row>
    <row r="354" spans="1:13" ht="50.25" customHeight="1" x14ac:dyDescent="0.3">
      <c r="A354" s="821">
        <v>346</v>
      </c>
      <c r="B354" s="842"/>
      <c r="C354" s="143">
        <v>111</v>
      </c>
      <c r="D354" s="844" t="s">
        <v>678</v>
      </c>
      <c r="E354" s="1019">
        <f>F354+G354+L356+M355</f>
        <v>4600</v>
      </c>
      <c r="F354" s="1324"/>
      <c r="G354" s="1328"/>
      <c r="H354" s="1326" t="s">
        <v>24</v>
      </c>
      <c r="I354" s="1019"/>
      <c r="J354" s="1019"/>
      <c r="K354" s="1019"/>
      <c r="L354" s="985"/>
      <c r="M354" s="1023"/>
    </row>
    <row r="355" spans="1:13" ht="18" customHeight="1" x14ac:dyDescent="0.35">
      <c r="A355" s="821">
        <v>347</v>
      </c>
      <c r="B355" s="842"/>
      <c r="C355" s="159"/>
      <c r="D355" s="997" t="s">
        <v>252</v>
      </c>
      <c r="E355" s="1331"/>
      <c r="F355" s="1332"/>
      <c r="G355" s="1333"/>
      <c r="H355" s="1334"/>
      <c r="I355" s="1335"/>
      <c r="J355" s="1336">
        <v>4600</v>
      </c>
      <c r="K355" s="1336"/>
      <c r="L355" s="1337">
        <f>SUM(I355:K355)</f>
        <v>4600</v>
      </c>
      <c r="M355" s="1023"/>
    </row>
    <row r="356" spans="1:13" ht="18" customHeight="1" x14ac:dyDescent="0.35">
      <c r="A356" s="821">
        <v>348</v>
      </c>
      <c r="B356" s="842"/>
      <c r="C356" s="159"/>
      <c r="D356" s="996" t="s">
        <v>921</v>
      </c>
      <c r="E356" s="1331"/>
      <c r="F356" s="1332"/>
      <c r="G356" s="1333"/>
      <c r="H356" s="1334"/>
      <c r="I356" s="1009"/>
      <c r="J356" s="986">
        <v>4600</v>
      </c>
      <c r="K356" s="986"/>
      <c r="L356" s="1428">
        <f>SUM(I356:K356)</f>
        <v>4600</v>
      </c>
      <c r="M356" s="1023"/>
    </row>
    <row r="357" spans="1:13" ht="18" customHeight="1" x14ac:dyDescent="0.35">
      <c r="A357" s="821">
        <v>349</v>
      </c>
      <c r="B357" s="842"/>
      <c r="C357" s="159"/>
      <c r="D357" s="994" t="s">
        <v>973</v>
      </c>
      <c r="E357" s="1032"/>
      <c r="F357" s="1338"/>
      <c r="G357" s="1339"/>
      <c r="H357" s="1340"/>
      <c r="I357" s="1192"/>
      <c r="J357" s="949">
        <v>0</v>
      </c>
      <c r="K357" s="949"/>
      <c r="L357" s="922">
        <f>SUM(F357:K357)</f>
        <v>0</v>
      </c>
      <c r="M357" s="1023"/>
    </row>
    <row r="358" spans="1:13" ht="22.15" customHeight="1" x14ac:dyDescent="0.3">
      <c r="A358" s="821">
        <v>350</v>
      </c>
      <c r="B358" s="842"/>
      <c r="C358" s="159">
        <v>112</v>
      </c>
      <c r="D358" s="847" t="s">
        <v>679</v>
      </c>
      <c r="E358" s="1019">
        <f>F358+G358+L360+M359</f>
        <v>120000</v>
      </c>
      <c r="F358" s="1324"/>
      <c r="G358" s="1328"/>
      <c r="H358" s="1326" t="s">
        <v>24</v>
      </c>
      <c r="I358" s="1019"/>
      <c r="J358" s="1019"/>
      <c r="K358" s="1019"/>
      <c r="L358" s="985"/>
      <c r="M358" s="1023"/>
    </row>
    <row r="359" spans="1:13" ht="18" customHeight="1" x14ac:dyDescent="0.35">
      <c r="A359" s="821">
        <v>351</v>
      </c>
      <c r="B359" s="842"/>
      <c r="C359" s="159"/>
      <c r="D359" s="997" t="s">
        <v>252</v>
      </c>
      <c r="E359" s="1331"/>
      <c r="F359" s="1332"/>
      <c r="G359" s="1333"/>
      <c r="H359" s="1334"/>
      <c r="I359" s="1335"/>
      <c r="J359" s="1336">
        <v>120000</v>
      </c>
      <c r="K359" s="1336"/>
      <c r="L359" s="1337">
        <f>SUM(I359:K359)</f>
        <v>120000</v>
      </c>
      <c r="M359" s="1023"/>
    </row>
    <row r="360" spans="1:13" ht="18" customHeight="1" x14ac:dyDescent="0.35">
      <c r="A360" s="821">
        <v>352</v>
      </c>
      <c r="B360" s="842"/>
      <c r="C360" s="159"/>
      <c r="D360" s="996" t="s">
        <v>921</v>
      </c>
      <c r="E360" s="1331"/>
      <c r="F360" s="1332"/>
      <c r="G360" s="1333"/>
      <c r="H360" s="1334"/>
      <c r="I360" s="1009">
        <v>30000</v>
      </c>
      <c r="J360" s="986">
        <v>90000</v>
      </c>
      <c r="K360" s="986"/>
      <c r="L360" s="1428">
        <f>SUM(I360:K360)</f>
        <v>120000</v>
      </c>
      <c r="M360" s="1023"/>
    </row>
    <row r="361" spans="1:13" ht="18" customHeight="1" x14ac:dyDescent="0.35">
      <c r="A361" s="821">
        <v>353</v>
      </c>
      <c r="B361" s="842"/>
      <c r="C361" s="159"/>
      <c r="D361" s="994" t="s">
        <v>972</v>
      </c>
      <c r="E361" s="1032"/>
      <c r="F361" s="1338"/>
      <c r="G361" s="1339"/>
      <c r="H361" s="1340"/>
      <c r="I361" s="1192">
        <v>0</v>
      </c>
      <c r="J361" s="949">
        <v>0</v>
      </c>
      <c r="K361" s="949"/>
      <c r="L361" s="922">
        <f>SUM(F361:K361)</f>
        <v>0</v>
      </c>
      <c r="M361" s="1023"/>
    </row>
    <row r="362" spans="1:13" ht="37.5" customHeight="1" x14ac:dyDescent="0.3">
      <c r="A362" s="821">
        <v>354</v>
      </c>
      <c r="B362" s="842"/>
      <c r="C362" s="143">
        <v>113</v>
      </c>
      <c r="D362" s="844" t="s">
        <v>793</v>
      </c>
      <c r="E362" s="1019">
        <f>F362+G362+L364+M363</f>
        <v>80000</v>
      </c>
      <c r="F362" s="1324"/>
      <c r="G362" s="1328"/>
      <c r="H362" s="1326" t="s">
        <v>24</v>
      </c>
      <c r="I362" s="1019"/>
      <c r="J362" s="1019"/>
      <c r="K362" s="1019"/>
      <c r="L362" s="985"/>
      <c r="M362" s="1023"/>
    </row>
    <row r="363" spans="1:13" ht="18" customHeight="1" x14ac:dyDescent="0.35">
      <c r="A363" s="821">
        <v>355</v>
      </c>
      <c r="B363" s="842"/>
      <c r="C363" s="159"/>
      <c r="D363" s="997" t="s">
        <v>252</v>
      </c>
      <c r="E363" s="1331"/>
      <c r="F363" s="1332"/>
      <c r="G363" s="1333"/>
      <c r="H363" s="1334"/>
      <c r="I363" s="1335"/>
      <c r="J363" s="1336">
        <v>80000</v>
      </c>
      <c r="K363" s="1336"/>
      <c r="L363" s="1337">
        <f>SUM(I363:K363)</f>
        <v>80000</v>
      </c>
      <c r="M363" s="1023"/>
    </row>
    <row r="364" spans="1:13" ht="18" customHeight="1" x14ac:dyDescent="0.35">
      <c r="A364" s="821">
        <v>356</v>
      </c>
      <c r="B364" s="842"/>
      <c r="C364" s="159"/>
      <c r="D364" s="996" t="s">
        <v>921</v>
      </c>
      <c r="E364" s="1331"/>
      <c r="F364" s="1332"/>
      <c r="G364" s="1333"/>
      <c r="H364" s="1334"/>
      <c r="I364" s="1009"/>
      <c r="J364" s="986">
        <v>80000</v>
      </c>
      <c r="K364" s="986"/>
      <c r="L364" s="1428">
        <f>SUM(I364:K364)</f>
        <v>80000</v>
      </c>
      <c r="M364" s="1023"/>
    </row>
    <row r="365" spans="1:13" ht="18" customHeight="1" x14ac:dyDescent="0.35">
      <c r="A365" s="821">
        <v>357</v>
      </c>
      <c r="B365" s="842"/>
      <c r="C365" s="159"/>
      <c r="D365" s="994" t="s">
        <v>973</v>
      </c>
      <c r="E365" s="1032"/>
      <c r="F365" s="1338"/>
      <c r="G365" s="1339"/>
      <c r="H365" s="1340"/>
      <c r="I365" s="1192"/>
      <c r="J365" s="949">
        <v>0</v>
      </c>
      <c r="K365" s="949"/>
      <c r="L365" s="922">
        <f>SUM(F365:K365)</f>
        <v>0</v>
      </c>
      <c r="M365" s="1023"/>
    </row>
    <row r="366" spans="1:13" ht="22.15" customHeight="1" x14ac:dyDescent="0.3">
      <c r="A366" s="821">
        <v>358</v>
      </c>
      <c r="B366" s="842"/>
      <c r="C366" s="159">
        <v>114</v>
      </c>
      <c r="D366" s="844" t="s">
        <v>680</v>
      </c>
      <c r="E366" s="1019">
        <f>F366+G366+L368+M367</f>
        <v>11500</v>
      </c>
      <c r="F366" s="1324"/>
      <c r="G366" s="1328"/>
      <c r="H366" s="1326" t="s">
        <v>24</v>
      </c>
      <c r="I366" s="1019"/>
      <c r="J366" s="1019"/>
      <c r="K366" s="1019"/>
      <c r="L366" s="985"/>
      <c r="M366" s="1023"/>
    </row>
    <row r="367" spans="1:13" ht="18" customHeight="1" x14ac:dyDescent="0.35">
      <c r="A367" s="821">
        <v>359</v>
      </c>
      <c r="B367" s="842"/>
      <c r="C367" s="159"/>
      <c r="D367" s="997" t="s">
        <v>252</v>
      </c>
      <c r="E367" s="1331"/>
      <c r="F367" s="1332"/>
      <c r="G367" s="1333"/>
      <c r="H367" s="1334"/>
      <c r="I367" s="1335"/>
      <c r="J367" s="1336">
        <v>11500</v>
      </c>
      <c r="K367" s="1336"/>
      <c r="L367" s="1337">
        <f>SUM(I367:K367)</f>
        <v>11500</v>
      </c>
      <c r="M367" s="1023"/>
    </row>
    <row r="368" spans="1:13" ht="18" customHeight="1" x14ac:dyDescent="0.35">
      <c r="A368" s="821">
        <v>360</v>
      </c>
      <c r="B368" s="842"/>
      <c r="C368" s="159"/>
      <c r="D368" s="996" t="s">
        <v>921</v>
      </c>
      <c r="E368" s="1331"/>
      <c r="F368" s="1332"/>
      <c r="G368" s="1333"/>
      <c r="H368" s="1334"/>
      <c r="I368" s="1009"/>
      <c r="J368" s="986">
        <v>11500</v>
      </c>
      <c r="K368" s="986"/>
      <c r="L368" s="1428">
        <f>SUM(I368:K368)</f>
        <v>11500</v>
      </c>
      <c r="M368" s="1023"/>
    </row>
    <row r="369" spans="1:13" ht="18" customHeight="1" x14ac:dyDescent="0.35">
      <c r="A369" s="821">
        <v>361</v>
      </c>
      <c r="B369" s="842"/>
      <c r="C369" s="159"/>
      <c r="D369" s="994" t="s">
        <v>973</v>
      </c>
      <c r="E369" s="1032"/>
      <c r="F369" s="1338"/>
      <c r="G369" s="1339"/>
      <c r="H369" s="1340"/>
      <c r="I369" s="1192"/>
      <c r="J369" s="949">
        <v>0</v>
      </c>
      <c r="K369" s="949"/>
      <c r="L369" s="922">
        <f>SUM(F369:K369)</f>
        <v>0</v>
      </c>
      <c r="M369" s="1023"/>
    </row>
    <row r="370" spans="1:13" ht="34.5" customHeight="1" x14ac:dyDescent="0.3">
      <c r="A370" s="821">
        <v>362</v>
      </c>
      <c r="B370" s="842"/>
      <c r="C370" s="143">
        <v>115</v>
      </c>
      <c r="D370" s="844" t="s">
        <v>681</v>
      </c>
      <c r="E370" s="1019">
        <f>F370+G370+L372+M371</f>
        <v>40000</v>
      </c>
      <c r="F370" s="1324"/>
      <c r="G370" s="1328"/>
      <c r="H370" s="1326" t="s">
        <v>24</v>
      </c>
      <c r="I370" s="1019"/>
      <c r="J370" s="1019"/>
      <c r="K370" s="1019"/>
      <c r="L370" s="985"/>
      <c r="M370" s="1023"/>
    </row>
    <row r="371" spans="1:13" ht="18" customHeight="1" x14ac:dyDescent="0.35">
      <c r="A371" s="821">
        <v>363</v>
      </c>
      <c r="B371" s="842"/>
      <c r="C371" s="159"/>
      <c r="D371" s="997" t="s">
        <v>252</v>
      </c>
      <c r="E371" s="1331"/>
      <c r="F371" s="1332"/>
      <c r="G371" s="1333"/>
      <c r="H371" s="1334"/>
      <c r="I371" s="1335"/>
      <c r="J371" s="1336">
        <v>40000</v>
      </c>
      <c r="K371" s="1336"/>
      <c r="L371" s="1337">
        <f>SUM(I371:K371)</f>
        <v>40000</v>
      </c>
      <c r="M371" s="1023"/>
    </row>
    <row r="372" spans="1:13" ht="18" customHeight="1" x14ac:dyDescent="0.35">
      <c r="A372" s="821">
        <v>364</v>
      </c>
      <c r="B372" s="842"/>
      <c r="C372" s="159"/>
      <c r="D372" s="996" t="s">
        <v>921</v>
      </c>
      <c r="E372" s="1331"/>
      <c r="F372" s="1332"/>
      <c r="G372" s="1333"/>
      <c r="H372" s="1334"/>
      <c r="I372" s="1009"/>
      <c r="J372" s="986">
        <v>40000</v>
      </c>
      <c r="K372" s="986"/>
      <c r="L372" s="1428">
        <f>SUM(I372:K372)</f>
        <v>40000</v>
      </c>
      <c r="M372" s="1023"/>
    </row>
    <row r="373" spans="1:13" ht="18" customHeight="1" x14ac:dyDescent="0.35">
      <c r="A373" s="821">
        <v>365</v>
      </c>
      <c r="B373" s="842"/>
      <c r="C373" s="159"/>
      <c r="D373" s="994" t="s">
        <v>973</v>
      </c>
      <c r="E373" s="1032"/>
      <c r="F373" s="1338"/>
      <c r="G373" s="1339"/>
      <c r="H373" s="1340"/>
      <c r="I373" s="1192"/>
      <c r="J373" s="949">
        <v>0</v>
      </c>
      <c r="K373" s="949"/>
      <c r="L373" s="922">
        <f>SUM(F373:K373)</f>
        <v>0</v>
      </c>
      <c r="M373" s="1023"/>
    </row>
    <row r="374" spans="1:13" ht="34.5" customHeight="1" x14ac:dyDescent="0.3">
      <c r="A374" s="821">
        <v>366</v>
      </c>
      <c r="B374" s="842"/>
      <c r="C374" s="143">
        <v>116</v>
      </c>
      <c r="D374" s="844" t="s">
        <v>682</v>
      </c>
      <c r="E374" s="1019">
        <f>F374+G374+L376+M375</f>
        <v>20000</v>
      </c>
      <c r="F374" s="1324"/>
      <c r="G374" s="1328"/>
      <c r="H374" s="1326" t="s">
        <v>24</v>
      </c>
      <c r="I374" s="1019"/>
      <c r="J374" s="1019"/>
      <c r="K374" s="1019"/>
      <c r="L374" s="985"/>
      <c r="M374" s="1023"/>
    </row>
    <row r="375" spans="1:13" ht="18" customHeight="1" x14ac:dyDescent="0.35">
      <c r="A375" s="821">
        <v>367</v>
      </c>
      <c r="B375" s="842"/>
      <c r="C375" s="159"/>
      <c r="D375" s="997" t="s">
        <v>252</v>
      </c>
      <c r="E375" s="1331"/>
      <c r="F375" s="1332"/>
      <c r="G375" s="1333"/>
      <c r="H375" s="1334"/>
      <c r="I375" s="1335"/>
      <c r="J375" s="1336">
        <v>20000</v>
      </c>
      <c r="K375" s="1336"/>
      <c r="L375" s="1337">
        <f>SUM(I375:K375)</f>
        <v>20000</v>
      </c>
      <c r="M375" s="1023"/>
    </row>
    <row r="376" spans="1:13" ht="18" customHeight="1" x14ac:dyDescent="0.35">
      <c r="A376" s="821">
        <v>368</v>
      </c>
      <c r="B376" s="842"/>
      <c r="C376" s="159"/>
      <c r="D376" s="996" t="s">
        <v>921</v>
      </c>
      <c r="E376" s="1331"/>
      <c r="F376" s="1332"/>
      <c r="G376" s="1333"/>
      <c r="H376" s="1334"/>
      <c r="I376" s="1009"/>
      <c r="J376" s="986">
        <v>20000</v>
      </c>
      <c r="K376" s="986"/>
      <c r="L376" s="1428">
        <f>SUM(I376:K376)</f>
        <v>20000</v>
      </c>
      <c r="M376" s="1023"/>
    </row>
    <row r="377" spans="1:13" ht="18" customHeight="1" x14ac:dyDescent="0.35">
      <c r="A377" s="821">
        <v>369</v>
      </c>
      <c r="B377" s="842"/>
      <c r="C377" s="159"/>
      <c r="D377" s="994" t="s">
        <v>973</v>
      </c>
      <c r="E377" s="1032"/>
      <c r="F377" s="1338"/>
      <c r="G377" s="1339"/>
      <c r="H377" s="1340"/>
      <c r="I377" s="1192"/>
      <c r="J377" s="949">
        <v>0</v>
      </c>
      <c r="K377" s="949"/>
      <c r="L377" s="922">
        <f>SUM(F377:K377)</f>
        <v>0</v>
      </c>
      <c r="M377" s="1023"/>
    </row>
    <row r="378" spans="1:13" ht="22.15" customHeight="1" x14ac:dyDescent="0.3">
      <c r="A378" s="821">
        <v>370</v>
      </c>
      <c r="B378" s="842"/>
      <c r="C378" s="159">
        <v>117</v>
      </c>
      <c r="D378" s="844" t="s">
        <v>683</v>
      </c>
      <c r="E378" s="1019">
        <f>F378+G378+L380+M379</f>
        <v>5500</v>
      </c>
      <c r="F378" s="1324"/>
      <c r="G378" s="1328"/>
      <c r="H378" s="1326" t="s">
        <v>24</v>
      </c>
      <c r="I378" s="1019"/>
      <c r="J378" s="1019"/>
      <c r="K378" s="1019"/>
      <c r="L378" s="985"/>
      <c r="M378" s="1023"/>
    </row>
    <row r="379" spans="1:13" ht="18" customHeight="1" x14ac:dyDescent="0.35">
      <c r="A379" s="821">
        <v>371</v>
      </c>
      <c r="B379" s="842"/>
      <c r="C379" s="159"/>
      <c r="D379" s="997" t="s">
        <v>252</v>
      </c>
      <c r="E379" s="1331"/>
      <c r="F379" s="1332"/>
      <c r="G379" s="1333"/>
      <c r="H379" s="1334"/>
      <c r="I379" s="1335"/>
      <c r="J379" s="1336">
        <v>5500</v>
      </c>
      <c r="K379" s="1336"/>
      <c r="L379" s="1337">
        <f>SUM(I379:K379)</f>
        <v>5500</v>
      </c>
      <c r="M379" s="1023"/>
    </row>
    <row r="380" spans="1:13" ht="18" customHeight="1" x14ac:dyDescent="0.35">
      <c r="A380" s="821">
        <v>372</v>
      </c>
      <c r="B380" s="842"/>
      <c r="C380" s="159"/>
      <c r="D380" s="996" t="s">
        <v>921</v>
      </c>
      <c r="E380" s="1331"/>
      <c r="F380" s="1332"/>
      <c r="G380" s="1333"/>
      <c r="H380" s="1334"/>
      <c r="I380" s="1009"/>
      <c r="J380" s="986">
        <v>5500</v>
      </c>
      <c r="K380" s="986"/>
      <c r="L380" s="1428">
        <f>SUM(I380:K380)</f>
        <v>5500</v>
      </c>
      <c r="M380" s="1023"/>
    </row>
    <row r="381" spans="1:13" ht="18" customHeight="1" x14ac:dyDescent="0.35">
      <c r="A381" s="821">
        <v>373</v>
      </c>
      <c r="B381" s="842"/>
      <c r="C381" s="159"/>
      <c r="D381" s="994" t="s">
        <v>973</v>
      </c>
      <c r="E381" s="1032"/>
      <c r="F381" s="1338"/>
      <c r="G381" s="1339"/>
      <c r="H381" s="1340"/>
      <c r="I381" s="1192"/>
      <c r="J381" s="949">
        <v>0</v>
      </c>
      <c r="K381" s="949"/>
      <c r="L381" s="922">
        <f>SUM(F381:K381)</f>
        <v>0</v>
      </c>
      <c r="M381" s="1023"/>
    </row>
    <row r="382" spans="1:13" ht="22.15" customHeight="1" x14ac:dyDescent="0.3">
      <c r="A382" s="821">
        <v>374</v>
      </c>
      <c r="B382" s="842"/>
      <c r="C382" s="159">
        <v>118</v>
      </c>
      <c r="D382" s="844" t="s">
        <v>684</v>
      </c>
      <c r="E382" s="1019">
        <f>F382+G382+L384+M383</f>
        <v>20000</v>
      </c>
      <c r="F382" s="1324"/>
      <c r="G382" s="1328"/>
      <c r="H382" s="1326" t="s">
        <v>23</v>
      </c>
      <c r="I382" s="1019"/>
      <c r="J382" s="1019"/>
      <c r="K382" s="1019"/>
      <c r="L382" s="985"/>
      <c r="M382" s="1023"/>
    </row>
    <row r="383" spans="1:13" ht="18" customHeight="1" x14ac:dyDescent="0.35">
      <c r="A383" s="821">
        <v>375</v>
      </c>
      <c r="B383" s="842"/>
      <c r="C383" s="159"/>
      <c r="D383" s="997" t="s">
        <v>252</v>
      </c>
      <c r="E383" s="1331"/>
      <c r="F383" s="1332"/>
      <c r="G383" s="1333"/>
      <c r="H383" s="1334"/>
      <c r="I383" s="1335"/>
      <c r="J383" s="1336">
        <v>20000</v>
      </c>
      <c r="K383" s="1336"/>
      <c r="L383" s="1337">
        <f>SUM(I383:K383)</f>
        <v>20000</v>
      </c>
      <c r="M383" s="1023"/>
    </row>
    <row r="384" spans="1:13" ht="18" customHeight="1" x14ac:dyDescent="0.35">
      <c r="A384" s="821">
        <v>376</v>
      </c>
      <c r="B384" s="842"/>
      <c r="C384" s="159"/>
      <c r="D384" s="996" t="s">
        <v>921</v>
      </c>
      <c r="E384" s="1331"/>
      <c r="F384" s="1332"/>
      <c r="G384" s="1333"/>
      <c r="H384" s="1334"/>
      <c r="I384" s="1009"/>
      <c r="J384" s="986">
        <v>20000</v>
      </c>
      <c r="K384" s="986"/>
      <c r="L384" s="1428">
        <f>SUM(I384:K384)</f>
        <v>20000</v>
      </c>
      <c r="M384" s="1023"/>
    </row>
    <row r="385" spans="1:13" ht="18" customHeight="1" x14ac:dyDescent="0.35">
      <c r="A385" s="821">
        <v>377</v>
      </c>
      <c r="B385" s="842"/>
      <c r="C385" s="159"/>
      <c r="D385" s="994" t="s">
        <v>973</v>
      </c>
      <c r="E385" s="1032"/>
      <c r="F385" s="1338"/>
      <c r="G385" s="1339"/>
      <c r="H385" s="1340"/>
      <c r="I385" s="1192"/>
      <c r="J385" s="949">
        <v>0</v>
      </c>
      <c r="K385" s="949"/>
      <c r="L385" s="922">
        <f>SUM(F385:K385)</f>
        <v>0</v>
      </c>
      <c r="M385" s="1023"/>
    </row>
    <row r="386" spans="1:13" ht="22.15" customHeight="1" x14ac:dyDescent="0.3">
      <c r="A386" s="821">
        <v>378</v>
      </c>
      <c r="B386" s="842"/>
      <c r="C386" s="159">
        <v>119</v>
      </c>
      <c r="D386" s="844" t="s">
        <v>685</v>
      </c>
      <c r="E386" s="1019">
        <f>F386+G386+L388+M387</f>
        <v>20000</v>
      </c>
      <c r="F386" s="1324"/>
      <c r="G386" s="1328"/>
      <c r="H386" s="1326" t="s">
        <v>23</v>
      </c>
      <c r="I386" s="1019"/>
      <c r="J386" s="1019"/>
      <c r="K386" s="1019"/>
      <c r="L386" s="985"/>
      <c r="M386" s="1023"/>
    </row>
    <row r="387" spans="1:13" ht="18" customHeight="1" x14ac:dyDescent="0.35">
      <c r="A387" s="821">
        <v>379</v>
      </c>
      <c r="B387" s="842"/>
      <c r="C387" s="159"/>
      <c r="D387" s="997" t="s">
        <v>252</v>
      </c>
      <c r="E387" s="1331"/>
      <c r="F387" s="1332"/>
      <c r="G387" s="1333"/>
      <c r="H387" s="1334"/>
      <c r="I387" s="1335"/>
      <c r="J387" s="1336">
        <v>20000</v>
      </c>
      <c r="K387" s="1336"/>
      <c r="L387" s="1337">
        <f>SUM(I387:K387)</f>
        <v>20000</v>
      </c>
      <c r="M387" s="1023"/>
    </row>
    <row r="388" spans="1:13" ht="18" customHeight="1" x14ac:dyDescent="0.35">
      <c r="A388" s="821">
        <v>380</v>
      </c>
      <c r="B388" s="842"/>
      <c r="C388" s="159"/>
      <c r="D388" s="996" t="s">
        <v>921</v>
      </c>
      <c r="E388" s="1331"/>
      <c r="F388" s="1332"/>
      <c r="G388" s="1333"/>
      <c r="H388" s="1334"/>
      <c r="I388" s="1009"/>
      <c r="J388" s="986">
        <v>20000</v>
      </c>
      <c r="K388" s="986"/>
      <c r="L388" s="1428">
        <f>SUM(I388:K388)</f>
        <v>20000</v>
      </c>
      <c r="M388" s="1023"/>
    </row>
    <row r="389" spans="1:13" ht="18" customHeight="1" x14ac:dyDescent="0.35">
      <c r="A389" s="821">
        <v>381</v>
      </c>
      <c r="B389" s="842"/>
      <c r="C389" s="159"/>
      <c r="D389" s="994" t="s">
        <v>973</v>
      </c>
      <c r="E389" s="1032"/>
      <c r="F389" s="1338"/>
      <c r="G389" s="1339"/>
      <c r="H389" s="1340"/>
      <c r="I389" s="1192"/>
      <c r="J389" s="949">
        <v>0</v>
      </c>
      <c r="K389" s="949"/>
      <c r="L389" s="922">
        <f>SUM(F389:K389)</f>
        <v>0</v>
      </c>
      <c r="M389" s="1023"/>
    </row>
    <row r="390" spans="1:13" ht="22.15" customHeight="1" x14ac:dyDescent="0.3">
      <c r="A390" s="821">
        <v>382</v>
      </c>
      <c r="B390" s="842"/>
      <c r="C390" s="159">
        <v>120</v>
      </c>
      <c r="D390" s="844" t="s">
        <v>686</v>
      </c>
      <c r="E390" s="1019">
        <f>F390+G390+L392+M391</f>
        <v>15000</v>
      </c>
      <c r="F390" s="1324"/>
      <c r="G390" s="1328"/>
      <c r="H390" s="1326" t="s">
        <v>24</v>
      </c>
      <c r="I390" s="1019"/>
      <c r="J390" s="1019"/>
      <c r="K390" s="1019"/>
      <c r="L390" s="985"/>
      <c r="M390" s="1023"/>
    </row>
    <row r="391" spans="1:13" ht="18" customHeight="1" x14ac:dyDescent="0.35">
      <c r="A391" s="821">
        <v>383</v>
      </c>
      <c r="B391" s="842"/>
      <c r="C391" s="159"/>
      <c r="D391" s="997" t="s">
        <v>252</v>
      </c>
      <c r="E391" s="1331"/>
      <c r="F391" s="1332"/>
      <c r="G391" s="1333"/>
      <c r="H391" s="1334"/>
      <c r="I391" s="1335"/>
      <c r="J391" s="1336">
        <v>15000</v>
      </c>
      <c r="K391" s="1336"/>
      <c r="L391" s="1337">
        <f>SUM(I391:K391)</f>
        <v>15000</v>
      </c>
      <c r="M391" s="1023"/>
    </row>
    <row r="392" spans="1:13" ht="18" customHeight="1" x14ac:dyDescent="0.35">
      <c r="A392" s="821">
        <v>384</v>
      </c>
      <c r="B392" s="842"/>
      <c r="C392" s="159"/>
      <c r="D392" s="996" t="s">
        <v>921</v>
      </c>
      <c r="E392" s="1331"/>
      <c r="F392" s="1332"/>
      <c r="G392" s="1333"/>
      <c r="H392" s="1334"/>
      <c r="I392" s="1009"/>
      <c r="J392" s="986">
        <v>15000</v>
      </c>
      <c r="K392" s="986"/>
      <c r="L392" s="1428">
        <f>SUM(I392:K392)</f>
        <v>15000</v>
      </c>
      <c r="M392" s="1023"/>
    </row>
    <row r="393" spans="1:13" ht="18" customHeight="1" x14ac:dyDescent="0.35">
      <c r="A393" s="821">
        <v>385</v>
      </c>
      <c r="B393" s="842"/>
      <c r="C393" s="159"/>
      <c r="D393" s="994" t="s">
        <v>973</v>
      </c>
      <c r="E393" s="1032"/>
      <c r="F393" s="1338"/>
      <c r="G393" s="1339"/>
      <c r="H393" s="1340"/>
      <c r="I393" s="1192"/>
      <c r="J393" s="949">
        <v>0</v>
      </c>
      <c r="K393" s="949"/>
      <c r="L393" s="922">
        <f>SUM(F393:K393)</f>
        <v>0</v>
      </c>
      <c r="M393" s="1023"/>
    </row>
    <row r="394" spans="1:13" ht="22.15" customHeight="1" x14ac:dyDescent="0.3">
      <c r="A394" s="821">
        <v>386</v>
      </c>
      <c r="B394" s="842"/>
      <c r="C394" s="159">
        <v>121</v>
      </c>
      <c r="D394" s="844" t="s">
        <v>687</v>
      </c>
      <c r="E394" s="1019">
        <f>F394+G394+L396+M395</f>
        <v>15000</v>
      </c>
      <c r="F394" s="1324"/>
      <c r="G394" s="1328"/>
      <c r="H394" s="1326" t="s">
        <v>24</v>
      </c>
      <c r="I394" s="1019"/>
      <c r="J394" s="1019"/>
      <c r="K394" s="1019"/>
      <c r="L394" s="985"/>
      <c r="M394" s="1023"/>
    </row>
    <row r="395" spans="1:13" ht="18" customHeight="1" x14ac:dyDescent="0.35">
      <c r="A395" s="821">
        <v>387</v>
      </c>
      <c r="B395" s="842"/>
      <c r="C395" s="159"/>
      <c r="D395" s="997" t="s">
        <v>252</v>
      </c>
      <c r="E395" s="1331"/>
      <c r="F395" s="1332"/>
      <c r="G395" s="1333"/>
      <c r="H395" s="1334"/>
      <c r="I395" s="1335"/>
      <c r="J395" s="1336">
        <v>15000</v>
      </c>
      <c r="K395" s="1336"/>
      <c r="L395" s="1337">
        <f>SUM(I395:K395)</f>
        <v>15000</v>
      </c>
      <c r="M395" s="1023"/>
    </row>
    <row r="396" spans="1:13" ht="18" customHeight="1" x14ac:dyDescent="0.35">
      <c r="A396" s="821">
        <v>388</v>
      </c>
      <c r="B396" s="842"/>
      <c r="C396" s="159"/>
      <c r="D396" s="996" t="s">
        <v>921</v>
      </c>
      <c r="E396" s="1331"/>
      <c r="F396" s="1332"/>
      <c r="G396" s="1333"/>
      <c r="H396" s="1334"/>
      <c r="I396" s="1009"/>
      <c r="J396" s="986">
        <v>15000</v>
      </c>
      <c r="K396" s="986"/>
      <c r="L396" s="1428">
        <f>SUM(I396:K396)</f>
        <v>15000</v>
      </c>
      <c r="M396" s="1023"/>
    </row>
    <row r="397" spans="1:13" ht="18" customHeight="1" x14ac:dyDescent="0.35">
      <c r="A397" s="821">
        <v>389</v>
      </c>
      <c r="B397" s="842"/>
      <c r="C397" s="159"/>
      <c r="D397" s="994" t="s">
        <v>973</v>
      </c>
      <c r="E397" s="1032"/>
      <c r="F397" s="1338"/>
      <c r="G397" s="1339"/>
      <c r="H397" s="1340"/>
      <c r="I397" s="1192"/>
      <c r="J397" s="949">
        <v>0</v>
      </c>
      <c r="K397" s="949"/>
      <c r="L397" s="922">
        <f>SUM(F397:K397)</f>
        <v>0</v>
      </c>
      <c r="M397" s="1023"/>
    </row>
    <row r="398" spans="1:13" ht="22.35" customHeight="1" x14ac:dyDescent="0.3">
      <c r="A398" s="821">
        <v>390</v>
      </c>
      <c r="B398" s="842"/>
      <c r="C398" s="159">
        <v>122</v>
      </c>
      <c r="D398" s="844" t="s">
        <v>688</v>
      </c>
      <c r="E398" s="1019">
        <f>F398+G398+L400+M399</f>
        <v>30000</v>
      </c>
      <c r="F398" s="1324"/>
      <c r="G398" s="1328"/>
      <c r="H398" s="1326" t="s">
        <v>24</v>
      </c>
      <c r="I398" s="1019"/>
      <c r="J398" s="1019"/>
      <c r="K398" s="1019"/>
      <c r="L398" s="985"/>
      <c r="M398" s="1023"/>
    </row>
    <row r="399" spans="1:13" ht="18" customHeight="1" x14ac:dyDescent="0.35">
      <c r="A399" s="821">
        <v>391</v>
      </c>
      <c r="B399" s="842"/>
      <c r="C399" s="159"/>
      <c r="D399" s="997" t="s">
        <v>252</v>
      </c>
      <c r="E399" s="1331"/>
      <c r="F399" s="1332"/>
      <c r="G399" s="1333"/>
      <c r="H399" s="1334"/>
      <c r="I399" s="1335"/>
      <c r="J399" s="1336">
        <v>30000</v>
      </c>
      <c r="K399" s="1336"/>
      <c r="L399" s="1337">
        <f>SUM(I399:K399)</f>
        <v>30000</v>
      </c>
      <c r="M399" s="1023"/>
    </row>
    <row r="400" spans="1:13" ht="18" customHeight="1" x14ac:dyDescent="0.35">
      <c r="A400" s="821">
        <v>392</v>
      </c>
      <c r="B400" s="842"/>
      <c r="C400" s="159"/>
      <c r="D400" s="996" t="s">
        <v>921</v>
      </c>
      <c r="E400" s="1331"/>
      <c r="F400" s="1332"/>
      <c r="G400" s="1333"/>
      <c r="H400" s="1334"/>
      <c r="I400" s="1009"/>
      <c r="J400" s="986">
        <v>30000</v>
      </c>
      <c r="K400" s="986"/>
      <c r="L400" s="1428">
        <f>SUM(I400:K400)</f>
        <v>30000</v>
      </c>
      <c r="M400" s="1023"/>
    </row>
    <row r="401" spans="1:13" ht="18" customHeight="1" x14ac:dyDescent="0.35">
      <c r="A401" s="821">
        <v>393</v>
      </c>
      <c r="B401" s="842"/>
      <c r="C401" s="159"/>
      <c r="D401" s="994" t="s">
        <v>973</v>
      </c>
      <c r="E401" s="1032"/>
      <c r="F401" s="1338"/>
      <c r="G401" s="1339"/>
      <c r="H401" s="1340"/>
      <c r="I401" s="1192"/>
      <c r="J401" s="949">
        <v>0</v>
      </c>
      <c r="K401" s="949"/>
      <c r="L401" s="922">
        <f>SUM(F401:K401)</f>
        <v>0</v>
      </c>
      <c r="M401" s="1023"/>
    </row>
    <row r="402" spans="1:13" ht="22.15" customHeight="1" x14ac:dyDescent="0.3">
      <c r="A402" s="821">
        <v>394</v>
      </c>
      <c r="B402" s="842"/>
      <c r="C402" s="159">
        <v>123</v>
      </c>
      <c r="D402" s="844" t="s">
        <v>689</v>
      </c>
      <c r="E402" s="1019">
        <f>F402+G402+L404+M403</f>
        <v>5000</v>
      </c>
      <c r="F402" s="1324"/>
      <c r="G402" s="1328"/>
      <c r="H402" s="1326" t="s">
        <v>24</v>
      </c>
      <c r="I402" s="1019"/>
      <c r="J402" s="1019"/>
      <c r="K402" s="1019"/>
      <c r="L402" s="985"/>
      <c r="M402" s="1023"/>
    </row>
    <row r="403" spans="1:13" ht="18" customHeight="1" x14ac:dyDescent="0.35">
      <c r="A403" s="821">
        <v>395</v>
      </c>
      <c r="B403" s="842"/>
      <c r="C403" s="159"/>
      <c r="D403" s="997" t="s">
        <v>252</v>
      </c>
      <c r="E403" s="1331"/>
      <c r="F403" s="1332"/>
      <c r="G403" s="1333"/>
      <c r="H403" s="1334"/>
      <c r="I403" s="1335"/>
      <c r="J403" s="1336">
        <v>5000</v>
      </c>
      <c r="K403" s="1336"/>
      <c r="L403" s="1337">
        <f>SUM(I403:K403)</f>
        <v>5000</v>
      </c>
      <c r="M403" s="1023"/>
    </row>
    <row r="404" spans="1:13" ht="18" customHeight="1" x14ac:dyDescent="0.35">
      <c r="A404" s="821">
        <v>396</v>
      </c>
      <c r="B404" s="855"/>
      <c r="C404" s="159"/>
      <c r="D404" s="996" t="s">
        <v>921</v>
      </c>
      <c r="E404" s="1331"/>
      <c r="F404" s="1332"/>
      <c r="G404" s="1333"/>
      <c r="H404" s="1334"/>
      <c r="I404" s="1009"/>
      <c r="J404" s="986">
        <v>5000</v>
      </c>
      <c r="K404" s="986"/>
      <c r="L404" s="1428">
        <f>SUM(I404:K404)</f>
        <v>5000</v>
      </c>
      <c r="M404" s="1027"/>
    </row>
    <row r="405" spans="1:13" ht="18" customHeight="1" x14ac:dyDescent="0.35">
      <c r="A405" s="821">
        <v>397</v>
      </c>
      <c r="B405" s="855"/>
      <c r="C405" s="159"/>
      <c r="D405" s="994" t="s">
        <v>973</v>
      </c>
      <c r="E405" s="1032"/>
      <c r="F405" s="1338"/>
      <c r="G405" s="1339"/>
      <c r="H405" s="1340"/>
      <c r="I405" s="1192"/>
      <c r="J405" s="949">
        <v>0</v>
      </c>
      <c r="K405" s="949"/>
      <c r="L405" s="922">
        <f>SUM(F405:K405)</f>
        <v>0</v>
      </c>
      <c r="M405" s="1027"/>
    </row>
    <row r="406" spans="1:13" ht="22.5" customHeight="1" x14ac:dyDescent="0.35">
      <c r="A406" s="821">
        <v>398</v>
      </c>
      <c r="B406" s="855"/>
      <c r="C406" s="159"/>
      <c r="D406" s="853" t="s">
        <v>255</v>
      </c>
      <c r="E406" s="1351"/>
      <c r="F406" s="1324"/>
      <c r="G406" s="1349"/>
      <c r="H406" s="1350" t="s">
        <v>23</v>
      </c>
      <c r="I406" s="1025"/>
      <c r="J406" s="1025"/>
      <c r="K406" s="1025"/>
      <c r="L406" s="1026"/>
      <c r="M406" s="1027"/>
    </row>
    <row r="407" spans="1:13" ht="21.75" customHeight="1" x14ac:dyDescent="0.3">
      <c r="A407" s="821">
        <v>399</v>
      </c>
      <c r="B407" s="855"/>
      <c r="C407" s="281">
        <v>124</v>
      </c>
      <c r="D407" s="1360" t="s">
        <v>573</v>
      </c>
      <c r="E407" s="1504">
        <f>F407+G407+L408</f>
        <v>1200</v>
      </c>
      <c r="F407" s="1352"/>
      <c r="G407" s="1349"/>
      <c r="H407" s="1350"/>
      <c r="I407" s="1025"/>
      <c r="J407" s="1025"/>
      <c r="K407" s="1025"/>
      <c r="L407" s="1026"/>
      <c r="M407" s="1027"/>
    </row>
    <row r="408" spans="1:13" ht="18" customHeight="1" x14ac:dyDescent="0.35">
      <c r="A408" s="821">
        <v>400</v>
      </c>
      <c r="B408" s="840"/>
      <c r="C408" s="344"/>
      <c r="D408" s="997" t="s">
        <v>252</v>
      </c>
      <c r="E408" s="1331"/>
      <c r="F408" s="1332"/>
      <c r="G408" s="1333"/>
      <c r="H408" s="1334"/>
      <c r="I408" s="1335"/>
      <c r="J408" s="1336">
        <v>1200</v>
      </c>
      <c r="K408" s="1336"/>
      <c r="L408" s="1337">
        <f>SUM(I408:K408)</f>
        <v>1200</v>
      </c>
      <c r="M408" s="1024"/>
    </row>
    <row r="409" spans="1:13" ht="18" customHeight="1" x14ac:dyDescent="0.35">
      <c r="A409" s="821">
        <v>401</v>
      </c>
      <c r="B409" s="842"/>
      <c r="C409" s="159"/>
      <c r="D409" s="996" t="s">
        <v>921</v>
      </c>
      <c r="E409" s="1331"/>
      <c r="F409" s="1332"/>
      <c r="G409" s="1333"/>
      <c r="H409" s="1334"/>
      <c r="I409" s="1009"/>
      <c r="J409" s="986">
        <v>1200</v>
      </c>
      <c r="K409" s="986"/>
      <c r="L409" s="1428">
        <f>SUM(I409:K409)</f>
        <v>1200</v>
      </c>
      <c r="M409" s="1024"/>
    </row>
    <row r="410" spans="1:13" ht="18" customHeight="1" x14ac:dyDescent="0.35">
      <c r="A410" s="821">
        <v>402</v>
      </c>
      <c r="B410" s="827"/>
      <c r="C410" s="159"/>
      <c r="D410" s="994" t="s">
        <v>973</v>
      </c>
      <c r="E410" s="1032"/>
      <c r="F410" s="1338"/>
      <c r="G410" s="1339"/>
      <c r="H410" s="1340"/>
      <c r="I410" s="1192"/>
      <c r="J410" s="949">
        <v>0</v>
      </c>
      <c r="K410" s="949"/>
      <c r="L410" s="922">
        <f>SUM(F410:K410)</f>
        <v>0</v>
      </c>
      <c r="M410" s="1023"/>
    </row>
    <row r="411" spans="1:13" ht="52.5" customHeight="1" x14ac:dyDescent="0.35">
      <c r="A411" s="821">
        <v>403</v>
      </c>
      <c r="B411" s="842"/>
      <c r="C411" s="143">
        <v>125</v>
      </c>
      <c r="D411" s="845" t="s">
        <v>877</v>
      </c>
      <c r="E411" s="1504">
        <f>F411+G411+L412</f>
        <v>33847</v>
      </c>
      <c r="F411" s="1324"/>
      <c r="G411" s="1328"/>
      <c r="H411" s="1326" t="s">
        <v>23</v>
      </c>
      <c r="I411" s="1019"/>
      <c r="J411" s="1020"/>
      <c r="K411" s="1019"/>
      <c r="L411" s="224"/>
      <c r="M411" s="1023"/>
    </row>
    <row r="412" spans="1:13" ht="18" customHeight="1" x14ac:dyDescent="0.35">
      <c r="A412" s="821">
        <v>404</v>
      </c>
      <c r="B412" s="842"/>
      <c r="C412" s="143"/>
      <c r="D412" s="1181" t="s">
        <v>921</v>
      </c>
      <c r="E412" s="1019"/>
      <c r="F412" s="1324"/>
      <c r="G412" s="1328"/>
      <c r="H412" s="1326"/>
      <c r="I412" s="1019"/>
      <c r="J412" s="1020"/>
      <c r="K412" s="1020">
        <v>33847</v>
      </c>
      <c r="L412" s="1182">
        <f>SUM(F412:K412)</f>
        <v>33847</v>
      </c>
      <c r="M412" s="1023"/>
    </row>
    <row r="413" spans="1:13" ht="18" customHeight="1" x14ac:dyDescent="0.35">
      <c r="A413" s="821">
        <v>405</v>
      </c>
      <c r="B413" s="842"/>
      <c r="C413" s="159"/>
      <c r="D413" s="994" t="s">
        <v>973</v>
      </c>
      <c r="E413" s="1019"/>
      <c r="F413" s="1324"/>
      <c r="G413" s="1328"/>
      <c r="H413" s="1326"/>
      <c r="I413" s="1019"/>
      <c r="J413" s="1020"/>
      <c r="K413" s="1032">
        <v>33847</v>
      </c>
      <c r="L413" s="922">
        <f>SUM(F413:K413)</f>
        <v>33847</v>
      </c>
      <c r="M413" s="1023"/>
    </row>
    <row r="414" spans="1:13" ht="22.5" customHeight="1" x14ac:dyDescent="0.35">
      <c r="A414" s="821">
        <v>406</v>
      </c>
      <c r="B414" s="842"/>
      <c r="C414" s="159">
        <v>126</v>
      </c>
      <c r="D414" s="845" t="s">
        <v>882</v>
      </c>
      <c r="E414" s="1504">
        <f>F414+G414+L415</f>
        <v>1500</v>
      </c>
      <c r="F414" s="1324"/>
      <c r="G414" s="1328"/>
      <c r="H414" s="1326" t="s">
        <v>24</v>
      </c>
      <c r="I414" s="1019"/>
      <c r="J414" s="1020"/>
      <c r="K414" s="1020"/>
      <c r="L414" s="1182"/>
      <c r="M414" s="1023"/>
    </row>
    <row r="415" spans="1:13" ht="18" customHeight="1" x14ac:dyDescent="0.35">
      <c r="A415" s="821">
        <v>407</v>
      </c>
      <c r="B415" s="842"/>
      <c r="C415" s="159"/>
      <c r="D415" s="1181" t="s">
        <v>921</v>
      </c>
      <c r="E415" s="1019"/>
      <c r="F415" s="1324"/>
      <c r="G415" s="1328"/>
      <c r="H415" s="1326"/>
      <c r="I415" s="1019"/>
      <c r="J415" s="1020">
        <v>1500</v>
      </c>
      <c r="K415" s="1020"/>
      <c r="L415" s="1182">
        <f>SUM(F415:K415)</f>
        <v>1500</v>
      </c>
      <c r="M415" s="1023"/>
    </row>
    <row r="416" spans="1:13" ht="18" customHeight="1" x14ac:dyDescent="0.35">
      <c r="A416" s="821">
        <v>408</v>
      </c>
      <c r="B416" s="842"/>
      <c r="C416" s="159"/>
      <c r="D416" s="994" t="s">
        <v>972</v>
      </c>
      <c r="E416" s="1019"/>
      <c r="F416" s="1324"/>
      <c r="G416" s="1328"/>
      <c r="H416" s="1326"/>
      <c r="I416" s="1019"/>
      <c r="J416" s="1032">
        <v>0</v>
      </c>
      <c r="K416" s="1020"/>
      <c r="L416" s="922">
        <f>SUM(F416:K416)</f>
        <v>0</v>
      </c>
      <c r="M416" s="1023"/>
    </row>
    <row r="417" spans="1:13" ht="34.5" customHeight="1" x14ac:dyDescent="0.35">
      <c r="A417" s="821">
        <v>409</v>
      </c>
      <c r="B417" s="842"/>
      <c r="C417" s="143">
        <v>127</v>
      </c>
      <c r="D417" s="845" t="s">
        <v>884</v>
      </c>
      <c r="E417" s="1504">
        <f>F417+G417+L418</f>
        <v>1000</v>
      </c>
      <c r="F417" s="1324"/>
      <c r="G417" s="1328"/>
      <c r="H417" s="1326" t="s">
        <v>24</v>
      </c>
      <c r="I417" s="1019"/>
      <c r="J417" s="1020"/>
      <c r="K417" s="1020"/>
      <c r="L417" s="1182"/>
      <c r="M417" s="1023"/>
    </row>
    <row r="418" spans="1:13" ht="18" customHeight="1" x14ac:dyDescent="0.35">
      <c r="A418" s="821">
        <v>410</v>
      </c>
      <c r="B418" s="842"/>
      <c r="C418" s="143"/>
      <c r="D418" s="943" t="s">
        <v>921</v>
      </c>
      <c r="E418" s="1019"/>
      <c r="F418" s="1324"/>
      <c r="G418" s="1328"/>
      <c r="H418" s="1326"/>
      <c r="I418" s="1019"/>
      <c r="J418" s="1020"/>
      <c r="K418" s="1020">
        <v>1000</v>
      </c>
      <c r="L418" s="1182">
        <f>SUM(F418:K418)</f>
        <v>1000</v>
      </c>
      <c r="M418" s="1023"/>
    </row>
    <row r="419" spans="1:13" ht="18" customHeight="1" x14ac:dyDescent="0.35">
      <c r="A419" s="821">
        <v>411</v>
      </c>
      <c r="B419" s="842"/>
      <c r="C419" s="159"/>
      <c r="D419" s="994" t="s">
        <v>972</v>
      </c>
      <c r="E419" s="1019"/>
      <c r="F419" s="1324"/>
      <c r="G419" s="1328"/>
      <c r="H419" s="1326"/>
      <c r="I419" s="1019"/>
      <c r="J419" s="1020"/>
      <c r="K419" s="1032">
        <v>0</v>
      </c>
      <c r="L419" s="922">
        <f>SUM(F419:K419)</f>
        <v>0</v>
      </c>
      <c r="M419" s="1023"/>
    </row>
    <row r="420" spans="1:13" ht="22.5" customHeight="1" x14ac:dyDescent="0.35">
      <c r="A420" s="821">
        <v>412</v>
      </c>
      <c r="B420" s="842"/>
      <c r="C420" s="159">
        <v>128</v>
      </c>
      <c r="D420" s="845" t="s">
        <v>885</v>
      </c>
      <c r="E420" s="1504">
        <f>F420+G420+L421</f>
        <v>5000</v>
      </c>
      <c r="F420" s="1324"/>
      <c r="G420" s="1328"/>
      <c r="H420" s="1326" t="s">
        <v>24</v>
      </c>
      <c r="I420" s="1019"/>
      <c r="J420" s="1020"/>
      <c r="K420" s="1020"/>
      <c r="L420" s="1182"/>
      <c r="M420" s="1023"/>
    </row>
    <row r="421" spans="1:13" ht="18" customHeight="1" x14ac:dyDescent="0.35">
      <c r="A421" s="821">
        <v>413</v>
      </c>
      <c r="B421" s="842"/>
      <c r="C421" s="159"/>
      <c r="D421" s="943" t="s">
        <v>921</v>
      </c>
      <c r="E421" s="1019"/>
      <c r="F421" s="1324"/>
      <c r="G421" s="1328"/>
      <c r="H421" s="1326"/>
      <c r="I421" s="1019"/>
      <c r="J421" s="1020">
        <v>5000</v>
      </c>
      <c r="K421" s="1020"/>
      <c r="L421" s="1182">
        <f>SUM(F421:K421)</f>
        <v>5000</v>
      </c>
      <c r="M421" s="1023"/>
    </row>
    <row r="422" spans="1:13" ht="18" customHeight="1" x14ac:dyDescent="0.35">
      <c r="A422" s="821">
        <v>414</v>
      </c>
      <c r="B422" s="842"/>
      <c r="C422" s="159"/>
      <c r="D422" s="994" t="s">
        <v>972</v>
      </c>
      <c r="E422" s="1019"/>
      <c r="F422" s="1324"/>
      <c r="G422" s="1328"/>
      <c r="H422" s="1326"/>
      <c r="I422" s="1019"/>
      <c r="J422" s="1032">
        <v>0</v>
      </c>
      <c r="K422" s="1020"/>
      <c r="L422" s="922">
        <f>SUM(F422:K422)</f>
        <v>0</v>
      </c>
      <c r="M422" s="1023"/>
    </row>
    <row r="423" spans="1:13" ht="22.5" customHeight="1" x14ac:dyDescent="0.35">
      <c r="A423" s="821">
        <v>415</v>
      </c>
      <c r="B423" s="842"/>
      <c r="C423" s="159">
        <v>129</v>
      </c>
      <c r="D423" s="845" t="s">
        <v>886</v>
      </c>
      <c r="E423" s="1504">
        <f>F423+G423+L424</f>
        <v>4000</v>
      </c>
      <c r="F423" s="1324"/>
      <c r="G423" s="1328"/>
      <c r="H423" s="1326" t="s">
        <v>24</v>
      </c>
      <c r="I423" s="1019"/>
      <c r="J423" s="1020"/>
      <c r="K423" s="1020"/>
      <c r="L423" s="1182"/>
      <c r="M423" s="1023"/>
    </row>
    <row r="424" spans="1:13" ht="18" customHeight="1" x14ac:dyDescent="0.35">
      <c r="A424" s="821">
        <v>416</v>
      </c>
      <c r="B424" s="842"/>
      <c r="C424" s="159"/>
      <c r="D424" s="943" t="s">
        <v>921</v>
      </c>
      <c r="E424" s="1019"/>
      <c r="F424" s="1324"/>
      <c r="G424" s="1328"/>
      <c r="H424" s="1326"/>
      <c r="I424" s="1020">
        <v>4000</v>
      </c>
      <c r="J424" s="1020"/>
      <c r="K424" s="1020"/>
      <c r="L424" s="1182">
        <f>SUM(F424:K424)</f>
        <v>4000</v>
      </c>
      <c r="M424" s="1023"/>
    </row>
    <row r="425" spans="1:13" ht="18" customHeight="1" x14ac:dyDescent="0.35">
      <c r="A425" s="821">
        <v>417</v>
      </c>
      <c r="B425" s="842"/>
      <c r="C425" s="159"/>
      <c r="D425" s="994" t="s">
        <v>972</v>
      </c>
      <c r="E425" s="1019"/>
      <c r="F425" s="1324"/>
      <c r="G425" s="1328"/>
      <c r="H425" s="1326"/>
      <c r="I425" s="1032">
        <v>0</v>
      </c>
      <c r="J425" s="1032"/>
      <c r="K425" s="1020"/>
      <c r="L425" s="922">
        <f>SUM(F425:K425)</f>
        <v>0</v>
      </c>
      <c r="M425" s="1023"/>
    </row>
    <row r="426" spans="1:13" ht="22.5" customHeight="1" x14ac:dyDescent="0.35">
      <c r="A426" s="821">
        <v>418</v>
      </c>
      <c r="B426" s="842"/>
      <c r="C426" s="159">
        <v>130</v>
      </c>
      <c r="D426" s="845" t="s">
        <v>887</v>
      </c>
      <c r="E426" s="1504">
        <f>F426+G426+L427</f>
        <v>10000</v>
      </c>
      <c r="F426" s="1324"/>
      <c r="G426" s="1328"/>
      <c r="H426" s="1326" t="s">
        <v>24</v>
      </c>
      <c r="I426" s="1019"/>
      <c r="J426" s="1020"/>
      <c r="K426" s="1020"/>
      <c r="L426" s="1182"/>
      <c r="M426" s="1023"/>
    </row>
    <row r="427" spans="1:13" ht="18" customHeight="1" x14ac:dyDescent="0.35">
      <c r="A427" s="821">
        <v>419</v>
      </c>
      <c r="B427" s="842"/>
      <c r="C427" s="159"/>
      <c r="D427" s="943" t="s">
        <v>921</v>
      </c>
      <c r="E427" s="1019"/>
      <c r="F427" s="1324"/>
      <c r="G427" s="1328"/>
      <c r="H427" s="1326"/>
      <c r="I427" s="1019"/>
      <c r="J427" s="1020">
        <v>10000</v>
      </c>
      <c r="K427" s="1020"/>
      <c r="L427" s="1182">
        <f>SUM(F427:K427)</f>
        <v>10000</v>
      </c>
      <c r="M427" s="1023"/>
    </row>
    <row r="428" spans="1:13" ht="18" customHeight="1" x14ac:dyDescent="0.35">
      <c r="A428" s="821">
        <v>420</v>
      </c>
      <c r="B428" s="842"/>
      <c r="C428" s="159"/>
      <c r="D428" s="994" t="s">
        <v>972</v>
      </c>
      <c r="E428" s="1019"/>
      <c r="F428" s="1324"/>
      <c r="G428" s="1328"/>
      <c r="H428" s="1326"/>
      <c r="I428" s="1019"/>
      <c r="J428" s="1032">
        <v>9670</v>
      </c>
      <c r="K428" s="1020"/>
      <c r="L428" s="922">
        <f>SUM(F428:K428)</f>
        <v>9670</v>
      </c>
      <c r="M428" s="1023"/>
    </row>
    <row r="429" spans="1:13" ht="22.5" customHeight="1" x14ac:dyDescent="0.35">
      <c r="A429" s="821">
        <v>421</v>
      </c>
      <c r="B429" s="842"/>
      <c r="C429" s="159">
        <v>131</v>
      </c>
      <c r="D429" s="845" t="s">
        <v>890</v>
      </c>
      <c r="E429" s="1504">
        <f>F429+G429+L430</f>
        <v>6500</v>
      </c>
      <c r="F429" s="1324"/>
      <c r="G429" s="1328"/>
      <c r="H429" s="1326" t="s">
        <v>24</v>
      </c>
      <c r="I429" s="1019"/>
      <c r="J429" s="1020"/>
      <c r="K429" s="1020"/>
      <c r="L429" s="1182"/>
      <c r="M429" s="1023"/>
    </row>
    <row r="430" spans="1:13" ht="18" customHeight="1" x14ac:dyDescent="0.35">
      <c r="A430" s="821">
        <v>422</v>
      </c>
      <c r="B430" s="842"/>
      <c r="C430" s="159"/>
      <c r="D430" s="943" t="s">
        <v>921</v>
      </c>
      <c r="E430" s="1019"/>
      <c r="F430" s="1324"/>
      <c r="G430" s="1328"/>
      <c r="H430" s="1326"/>
      <c r="I430" s="1019"/>
      <c r="J430" s="1020">
        <v>6500</v>
      </c>
      <c r="K430" s="1020"/>
      <c r="L430" s="1182">
        <f>SUM(F430:K430)</f>
        <v>6500</v>
      </c>
      <c r="M430" s="1023"/>
    </row>
    <row r="431" spans="1:13" ht="18" customHeight="1" x14ac:dyDescent="0.35">
      <c r="A431" s="821">
        <v>423</v>
      </c>
      <c r="B431" s="842"/>
      <c r="C431" s="159"/>
      <c r="D431" s="994" t="s">
        <v>972</v>
      </c>
      <c r="E431" s="1019"/>
      <c r="F431" s="1324"/>
      <c r="G431" s="1328"/>
      <c r="H431" s="1326"/>
      <c r="I431" s="1019"/>
      <c r="J431" s="1032">
        <v>0</v>
      </c>
      <c r="K431" s="1020"/>
      <c r="L431" s="922">
        <f>SUM(F431:K431)</f>
        <v>0</v>
      </c>
      <c r="M431" s="1023"/>
    </row>
    <row r="432" spans="1:13" ht="36.75" customHeight="1" x14ac:dyDescent="0.35">
      <c r="A432" s="821">
        <v>424</v>
      </c>
      <c r="B432" s="842"/>
      <c r="C432" s="143">
        <v>132</v>
      </c>
      <c r="D432" s="845" t="s">
        <v>891</v>
      </c>
      <c r="E432" s="1504">
        <f>F432+G432+L433</f>
        <v>30000</v>
      </c>
      <c r="F432" s="1324"/>
      <c r="G432" s="1328"/>
      <c r="H432" s="1326" t="s">
        <v>24</v>
      </c>
      <c r="I432" s="1019"/>
      <c r="J432" s="1020"/>
      <c r="K432" s="1020"/>
      <c r="L432" s="1182"/>
      <c r="M432" s="1023"/>
    </row>
    <row r="433" spans="1:13" ht="18" customHeight="1" x14ac:dyDescent="0.35">
      <c r="A433" s="821">
        <v>425</v>
      </c>
      <c r="B433" s="842"/>
      <c r="C433" s="143"/>
      <c r="D433" s="943" t="s">
        <v>921</v>
      </c>
      <c r="E433" s="1019"/>
      <c r="F433" s="1324"/>
      <c r="G433" s="1328"/>
      <c r="H433" s="1326"/>
      <c r="I433" s="1019"/>
      <c r="J433" s="1020">
        <v>30000</v>
      </c>
      <c r="K433" s="1020"/>
      <c r="L433" s="1182">
        <f>SUM(F433:K433)</f>
        <v>30000</v>
      </c>
      <c r="M433" s="1023"/>
    </row>
    <row r="434" spans="1:13" ht="18" customHeight="1" x14ac:dyDescent="0.35">
      <c r="A434" s="821">
        <v>426</v>
      </c>
      <c r="B434" s="842"/>
      <c r="C434" s="159"/>
      <c r="D434" s="994" t="s">
        <v>972</v>
      </c>
      <c r="E434" s="1019"/>
      <c r="F434" s="1324"/>
      <c r="G434" s="1328"/>
      <c r="H434" s="1326"/>
      <c r="I434" s="1019"/>
      <c r="J434" s="1032">
        <v>0</v>
      </c>
      <c r="K434" s="1020"/>
      <c r="L434" s="922">
        <f>SUM(F434:K434)</f>
        <v>0</v>
      </c>
      <c r="M434" s="1023"/>
    </row>
    <row r="435" spans="1:13" ht="39" customHeight="1" x14ac:dyDescent="0.35">
      <c r="A435" s="821">
        <v>427</v>
      </c>
      <c r="B435" s="855"/>
      <c r="C435" s="1498">
        <v>133</v>
      </c>
      <c r="D435" s="1682" t="s">
        <v>941</v>
      </c>
      <c r="E435" s="1019">
        <f>F435+G435+L436</f>
        <v>847</v>
      </c>
      <c r="F435" s="1352"/>
      <c r="G435" s="1349"/>
      <c r="H435" s="1350" t="s">
        <v>24</v>
      </c>
      <c r="I435" s="1025"/>
      <c r="J435" s="1469"/>
      <c r="K435" s="1469"/>
      <c r="L435" s="224"/>
      <c r="M435" s="1027"/>
    </row>
    <row r="436" spans="1:13" ht="18" customHeight="1" x14ac:dyDescent="0.35">
      <c r="A436" s="821">
        <v>428</v>
      </c>
      <c r="B436" s="855"/>
      <c r="C436" s="1498"/>
      <c r="D436" s="943" t="s">
        <v>921</v>
      </c>
      <c r="E436" s="1497"/>
      <c r="F436" s="1352"/>
      <c r="G436" s="1349"/>
      <c r="H436" s="1350"/>
      <c r="I436" s="1025"/>
      <c r="J436" s="1469">
        <v>847</v>
      </c>
      <c r="K436" s="1469"/>
      <c r="L436" s="1182">
        <f>SUM(F436:K436)</f>
        <v>847</v>
      </c>
      <c r="M436" s="1027"/>
    </row>
    <row r="437" spans="1:13" ht="18" customHeight="1" x14ac:dyDescent="0.35">
      <c r="A437" s="821">
        <v>429</v>
      </c>
      <c r="B437" s="855"/>
      <c r="C437" s="281"/>
      <c r="D437" s="994" t="s">
        <v>972</v>
      </c>
      <c r="E437" s="1497"/>
      <c r="F437" s="1352"/>
      <c r="G437" s="1349"/>
      <c r="H437" s="1350"/>
      <c r="I437" s="1025"/>
      <c r="J437" s="1749">
        <v>847</v>
      </c>
      <c r="K437" s="1469"/>
      <c r="L437" s="922">
        <f>SUM(F437:K437)</f>
        <v>847</v>
      </c>
      <c r="M437" s="1027"/>
    </row>
    <row r="438" spans="1:13" ht="22.5" customHeight="1" x14ac:dyDescent="0.35">
      <c r="A438" s="821">
        <v>430</v>
      </c>
      <c r="B438" s="855"/>
      <c r="C438" s="281">
        <v>134</v>
      </c>
      <c r="D438" s="1682" t="s">
        <v>947</v>
      </c>
      <c r="E438" s="1504">
        <f>F438+G438+L439</f>
        <v>1000</v>
      </c>
      <c r="F438" s="1505"/>
      <c r="G438" s="1349"/>
      <c r="H438" s="1350" t="s">
        <v>24</v>
      </c>
      <c r="I438" s="1025"/>
      <c r="J438" s="1469"/>
      <c r="K438" s="1469"/>
      <c r="L438" s="1182"/>
      <c r="M438" s="1027"/>
    </row>
    <row r="439" spans="1:13" ht="18" customHeight="1" x14ac:dyDescent="0.35">
      <c r="A439" s="821">
        <v>431</v>
      </c>
      <c r="B439" s="855"/>
      <c r="C439" s="281"/>
      <c r="D439" s="943" t="s">
        <v>921</v>
      </c>
      <c r="E439" s="1496"/>
      <c r="F439" s="1324"/>
      <c r="G439" s="1349"/>
      <c r="H439" s="1350"/>
      <c r="I439" s="1025"/>
      <c r="J439" s="1469">
        <v>1000</v>
      </c>
      <c r="K439" s="1469"/>
      <c r="L439" s="1182">
        <f>SUM(F439:K439)</f>
        <v>1000</v>
      </c>
      <c r="M439" s="1027"/>
    </row>
    <row r="440" spans="1:13" ht="18" customHeight="1" x14ac:dyDescent="0.35">
      <c r="A440" s="821">
        <v>432</v>
      </c>
      <c r="B440" s="855"/>
      <c r="C440" s="281"/>
      <c r="D440" s="994" t="s">
        <v>972</v>
      </c>
      <c r="E440" s="1496"/>
      <c r="F440" s="1324"/>
      <c r="G440" s="1349"/>
      <c r="H440" s="1350"/>
      <c r="I440" s="1025"/>
      <c r="J440" s="1749">
        <v>0</v>
      </c>
      <c r="K440" s="1469"/>
      <c r="L440" s="922">
        <f>SUM(F440:K440)</f>
        <v>0</v>
      </c>
      <c r="M440" s="1027"/>
    </row>
    <row r="441" spans="1:13" ht="22.5" customHeight="1" x14ac:dyDescent="0.35">
      <c r="A441" s="821">
        <v>433</v>
      </c>
      <c r="B441" s="855"/>
      <c r="C441" s="281">
        <v>135</v>
      </c>
      <c r="D441" s="1682" t="s">
        <v>949</v>
      </c>
      <c r="E441" s="1496">
        <f>F441+G441+L442</f>
        <v>1700</v>
      </c>
      <c r="F441" s="1324"/>
      <c r="G441" s="1349"/>
      <c r="H441" s="1350" t="s">
        <v>23</v>
      </c>
      <c r="I441" s="1025"/>
      <c r="J441" s="1469"/>
      <c r="K441" s="1469"/>
      <c r="L441" s="1182"/>
      <c r="M441" s="1027"/>
    </row>
    <row r="442" spans="1:13" ht="18" customHeight="1" x14ac:dyDescent="0.35">
      <c r="A442" s="821">
        <v>434</v>
      </c>
      <c r="B442" s="855"/>
      <c r="C442" s="281"/>
      <c r="D442" s="943" t="s">
        <v>921</v>
      </c>
      <c r="E442" s="1496"/>
      <c r="F442" s="1324"/>
      <c r="G442" s="1349"/>
      <c r="H442" s="1350"/>
      <c r="I442" s="1025"/>
      <c r="J442" s="1469">
        <v>1700</v>
      </c>
      <c r="K442" s="1469"/>
      <c r="L442" s="1182">
        <f>SUM(F442:K442)</f>
        <v>1700</v>
      </c>
      <c r="M442" s="1027"/>
    </row>
    <row r="443" spans="1:13" ht="18" customHeight="1" x14ac:dyDescent="0.35">
      <c r="A443" s="821">
        <v>435</v>
      </c>
      <c r="B443" s="855"/>
      <c r="C443" s="281"/>
      <c r="D443" s="994" t="s">
        <v>972</v>
      </c>
      <c r="E443" s="1019"/>
      <c r="F443" s="1324"/>
      <c r="G443" s="1349"/>
      <c r="H443" s="1350"/>
      <c r="I443" s="1025"/>
      <c r="J443" s="1749">
        <v>0</v>
      </c>
      <c r="K443" s="1469"/>
      <c r="L443" s="922">
        <f>SUM(F443:K443)</f>
        <v>0</v>
      </c>
      <c r="M443" s="1027"/>
    </row>
    <row r="444" spans="1:13" ht="22.5" customHeight="1" x14ac:dyDescent="0.35">
      <c r="A444" s="821">
        <v>436</v>
      </c>
      <c r="B444" s="855"/>
      <c r="C444" s="281">
        <v>136</v>
      </c>
      <c r="D444" s="1682" t="s">
        <v>950</v>
      </c>
      <c r="E444" s="1496">
        <f>F444+G444+L445</f>
        <v>300</v>
      </c>
      <c r="F444" s="1324"/>
      <c r="G444" s="1349"/>
      <c r="H444" s="1350" t="s">
        <v>23</v>
      </c>
      <c r="I444" s="1025"/>
      <c r="J444" s="1469"/>
      <c r="K444" s="1469"/>
      <c r="L444" s="1182"/>
      <c r="M444" s="1027"/>
    </row>
    <row r="445" spans="1:13" ht="18" customHeight="1" x14ac:dyDescent="0.35">
      <c r="A445" s="821">
        <v>437</v>
      </c>
      <c r="B445" s="855"/>
      <c r="C445" s="281"/>
      <c r="D445" s="943" t="s">
        <v>921</v>
      </c>
      <c r="E445" s="1496"/>
      <c r="F445" s="1324"/>
      <c r="G445" s="1349"/>
      <c r="H445" s="1350"/>
      <c r="I445" s="1025"/>
      <c r="J445" s="1469">
        <v>300</v>
      </c>
      <c r="K445" s="1469"/>
      <c r="L445" s="1182">
        <f>SUM(F445:K445)</f>
        <v>300</v>
      </c>
      <c r="M445" s="1027"/>
    </row>
    <row r="446" spans="1:13" ht="18" customHeight="1" x14ac:dyDescent="0.35">
      <c r="A446" s="821">
        <v>438</v>
      </c>
      <c r="B446" s="855"/>
      <c r="C446" s="281"/>
      <c r="D446" s="994" t="s">
        <v>972</v>
      </c>
      <c r="E446" s="1019"/>
      <c r="F446" s="1324"/>
      <c r="G446" s="1349"/>
      <c r="H446" s="1350"/>
      <c r="I446" s="1025"/>
      <c r="J446" s="1749">
        <v>0</v>
      </c>
      <c r="K446" s="1469"/>
      <c r="L446" s="922">
        <f>SUM(F446:K446)</f>
        <v>0</v>
      </c>
      <c r="M446" s="1027"/>
    </row>
    <row r="447" spans="1:13" ht="34.5" customHeight="1" x14ac:dyDescent="0.35">
      <c r="A447" s="821">
        <v>439</v>
      </c>
      <c r="B447" s="855"/>
      <c r="C447" s="1498">
        <v>137</v>
      </c>
      <c r="D447" s="1682" t="s">
        <v>953</v>
      </c>
      <c r="E447" s="1496">
        <f>F447+G447+L448</f>
        <v>10</v>
      </c>
      <c r="F447" s="1324"/>
      <c r="G447" s="1349"/>
      <c r="H447" s="1534" t="s">
        <v>24</v>
      </c>
      <c r="I447" s="1025"/>
      <c r="J447" s="1469"/>
      <c r="K447" s="1469"/>
      <c r="L447" s="1422"/>
      <c r="M447" s="1027"/>
    </row>
    <row r="448" spans="1:13" ht="18" customHeight="1" x14ac:dyDescent="0.35">
      <c r="A448" s="821">
        <v>440</v>
      </c>
      <c r="B448" s="855"/>
      <c r="C448" s="1498"/>
      <c r="D448" s="943" t="s">
        <v>921</v>
      </c>
      <c r="E448" s="1496"/>
      <c r="F448" s="1324"/>
      <c r="G448" s="1349"/>
      <c r="H448" s="1534"/>
      <c r="I448" s="1025"/>
      <c r="J448" s="1469">
        <v>10</v>
      </c>
      <c r="K448" s="1469"/>
      <c r="L448" s="1182">
        <f>SUM(F448:K448)</f>
        <v>10</v>
      </c>
      <c r="M448" s="1027"/>
    </row>
    <row r="449" spans="1:13" ht="18" customHeight="1" x14ac:dyDescent="0.35">
      <c r="A449" s="821">
        <v>441</v>
      </c>
      <c r="B449" s="855"/>
      <c r="C449" s="281"/>
      <c r="D449" s="994" t="s">
        <v>972</v>
      </c>
      <c r="E449" s="1496"/>
      <c r="F449" s="1324"/>
      <c r="G449" s="1349"/>
      <c r="H449" s="1350"/>
      <c r="I449" s="1025"/>
      <c r="J449" s="1749">
        <v>0</v>
      </c>
      <c r="K449" s="1469"/>
      <c r="L449" s="922">
        <f>SUM(F449:K449)</f>
        <v>0</v>
      </c>
      <c r="M449" s="1027"/>
    </row>
    <row r="450" spans="1:13" ht="36" customHeight="1" x14ac:dyDescent="0.35">
      <c r="A450" s="821">
        <v>442</v>
      </c>
      <c r="B450" s="855"/>
      <c r="C450" s="1498">
        <v>138</v>
      </c>
      <c r="D450" s="1682" t="s">
        <v>954</v>
      </c>
      <c r="E450" s="1504">
        <f>F450+G450+L451</f>
        <v>119990</v>
      </c>
      <c r="F450" s="1324"/>
      <c r="G450" s="1349"/>
      <c r="H450" s="1534" t="s">
        <v>24</v>
      </c>
      <c r="I450" s="1025"/>
      <c r="J450" s="1469"/>
      <c r="K450" s="1469"/>
      <c r="L450" s="224"/>
      <c r="M450" s="1027"/>
    </row>
    <row r="451" spans="1:13" ht="18" customHeight="1" x14ac:dyDescent="0.35">
      <c r="A451" s="821">
        <v>443</v>
      </c>
      <c r="B451" s="855"/>
      <c r="C451" s="1498"/>
      <c r="D451" s="943" t="s">
        <v>921</v>
      </c>
      <c r="E451" s="1496"/>
      <c r="F451" s="1324"/>
      <c r="G451" s="1349"/>
      <c r="H451" s="1534"/>
      <c r="I451" s="1025"/>
      <c r="J451" s="1469">
        <v>119990</v>
      </c>
      <c r="K451" s="1469"/>
      <c r="L451" s="1182">
        <f>SUM(F451:K451)</f>
        <v>119990</v>
      </c>
      <c r="M451" s="1027"/>
    </row>
    <row r="452" spans="1:13" ht="18" customHeight="1" x14ac:dyDescent="0.35">
      <c r="A452" s="821">
        <v>444</v>
      </c>
      <c r="B452" s="855"/>
      <c r="C452" s="281"/>
      <c r="D452" s="994" t="s">
        <v>972</v>
      </c>
      <c r="E452" s="1496"/>
      <c r="F452" s="1324"/>
      <c r="G452" s="1349"/>
      <c r="H452" s="1350"/>
      <c r="I452" s="1025"/>
      <c r="J452" s="1749">
        <v>0</v>
      </c>
      <c r="K452" s="1469"/>
      <c r="L452" s="922">
        <f>SUM(F452:K452)</f>
        <v>0</v>
      </c>
      <c r="M452" s="1027"/>
    </row>
    <row r="453" spans="1:13" ht="37.5" customHeight="1" x14ac:dyDescent="0.35">
      <c r="A453" s="821">
        <v>445</v>
      </c>
      <c r="B453" s="855"/>
      <c r="C453" s="1498">
        <v>139</v>
      </c>
      <c r="D453" s="1682" t="s">
        <v>970</v>
      </c>
      <c r="E453" s="1504">
        <f>F453+G453+L454</f>
        <v>10150</v>
      </c>
      <c r="F453" s="1324"/>
      <c r="G453" s="1349"/>
      <c r="H453" s="1534" t="s">
        <v>23</v>
      </c>
      <c r="I453" s="1025"/>
      <c r="J453" s="1469"/>
      <c r="K453" s="1469"/>
      <c r="L453" s="224"/>
      <c r="M453" s="1027"/>
    </row>
    <row r="454" spans="1:13" ht="18" customHeight="1" x14ac:dyDescent="0.35">
      <c r="A454" s="821">
        <v>446</v>
      </c>
      <c r="B454" s="855"/>
      <c r="C454" s="1498"/>
      <c r="D454" s="943" t="s">
        <v>921</v>
      </c>
      <c r="E454" s="1496"/>
      <c r="F454" s="1324"/>
      <c r="G454" s="1349"/>
      <c r="H454" s="1534"/>
      <c r="I454" s="1025"/>
      <c r="J454" s="1469">
        <v>10150</v>
      </c>
      <c r="K454" s="1469"/>
      <c r="L454" s="1182">
        <f>SUM(F454:K454)</f>
        <v>10150</v>
      </c>
      <c r="M454" s="1027"/>
    </row>
    <row r="455" spans="1:13" ht="18" customHeight="1" thickBot="1" x14ac:dyDescent="0.4">
      <c r="A455" s="821">
        <v>447</v>
      </c>
      <c r="B455" s="855"/>
      <c r="C455" s="281"/>
      <c r="D455" s="994" t="s">
        <v>972</v>
      </c>
      <c r="E455" s="1496"/>
      <c r="F455" s="1324"/>
      <c r="G455" s="1349"/>
      <c r="H455" s="1350"/>
      <c r="I455" s="1025"/>
      <c r="J455" s="1749">
        <v>0</v>
      </c>
      <c r="K455" s="1469"/>
      <c r="L455" s="922">
        <f>SUM(F455:K455)</f>
        <v>0</v>
      </c>
      <c r="M455" s="1027"/>
    </row>
    <row r="456" spans="1:13" ht="27" customHeight="1" thickTop="1" x14ac:dyDescent="0.35">
      <c r="A456" s="821">
        <v>448</v>
      </c>
      <c r="B456" s="883"/>
      <c r="C456" s="1344"/>
      <c r="D456" s="1935" t="s">
        <v>13</v>
      </c>
      <c r="E456" s="1936"/>
      <c r="F456" s="1936"/>
      <c r="G456" s="1937"/>
      <c r="H456" s="1329"/>
      <c r="I456" s="1028"/>
      <c r="J456" s="1028"/>
      <c r="K456" s="1028"/>
      <c r="L456" s="988"/>
      <c r="M456" s="1029"/>
    </row>
    <row r="457" spans="1:13" ht="20.100000000000001" customHeight="1" x14ac:dyDescent="0.35">
      <c r="A457" s="821">
        <v>449</v>
      </c>
      <c r="B457" s="1000"/>
      <c r="C457" s="1345"/>
      <c r="D457" s="997" t="s">
        <v>252</v>
      </c>
      <c r="E457" s="1331"/>
      <c r="F457" s="1332"/>
      <c r="G457" s="1333"/>
      <c r="H457" s="1334"/>
      <c r="I457" s="1335">
        <f>I408+I403+I399+I395+I391+I387+I383+I379+I375+I371+I367+I363+I359+I355+I351+I347+I343+I339+I335+I331+I327+I323+I319+I315+I311+I307+I303+I299+I295+I291+I287+I283+I276+I272+I268+I264+I260+I256+I252+I248+I244+I240+I236+I232+I228+I224+I220+I216+I212+I208+I204+I200+I196+I192+I188+I184+I180+I176+I172+I167+I163+I159+I67+I63+I59+I55+I51+I47+I43+I39+I35+I31+I27+I19+I15+I11</f>
        <v>25587</v>
      </c>
      <c r="J457" s="1336">
        <f>J408+J403+J399+J395+J391+J387+J383+J379+J375+J371+J367+J363+J359+J355+J351+J347+J343+J339+J335+J331+J327+J323+J319+J315+J311+J307+J303+J299+J295+J291+J287+J283+J276+J272+J268+J264+J260+J256+J252+J248+J244+J240+J236+J232+J228+J224+J220+J216+J212+J208+J204+J200+J196+J192+J188+J184+J180+J176+J172+J167+J163+J159+J67+J63+J59+J55+J51+J47+J43+J39+J35+J31+J27+J19+J15+J11</f>
        <v>1826448</v>
      </c>
      <c r="K457" s="1336">
        <f>K408+K403+K399+K395+K391+K387+K383+K379+K375+K371+K367+K363+K359+K355+K351+K347+K343+K339+K335+K331+K327+K323+K319+K315+K311+K307+K303+K299+K295+K291+K287+K283+K276+K272+K268+K264+K260+K256+K252+K248+K244+K240+K236+K232+K228+K224+K220+K216+K212+K208+K204+K200+K196+K192+K188+K184+K180+K176+K172+K167+K163+K159+K67+K63+K59+K55+K51+K47+K43+K39+K35+K31+K27+K19+K15+K11</f>
        <v>1809638</v>
      </c>
      <c r="L457" s="1337">
        <f>SUM(I457:K457)</f>
        <v>3661673</v>
      </c>
      <c r="M457" s="1030">
        <f>SUM(M11:M456)</f>
        <v>130000</v>
      </c>
    </row>
    <row r="458" spans="1:13" ht="20.100000000000001" customHeight="1" x14ac:dyDescent="0.35">
      <c r="A458" s="821">
        <v>450</v>
      </c>
      <c r="B458" s="1000"/>
      <c r="C458" s="1345"/>
      <c r="D458" s="943" t="s">
        <v>921</v>
      </c>
      <c r="E458" s="1331"/>
      <c r="F458" s="1332"/>
      <c r="G458" s="1333"/>
      <c r="H458" s="1334"/>
      <c r="I458" s="1009">
        <f>I409+I404+I400+I396+I392+I388+I384+I380+I376+I372+I368+I364+I360+I356+I352+I348+I344+I340+I336+I332+I328+I324+I320+I316+I312+I308+I304+I300+I296+I292+I288+I284+I277+I273+I269+I265+I261+I257+I253+I249+I245+I241+I237+I233+I229+I225+I221+I217+I213+I209+I205+I201+I197+I193+I189+I185+I181+I177+I173+I168+I164+I160+I68+I64+I60+I56+I52+I48+I44+I40+I36+I32+I28+I20+I16+I12+I433+I430+I427+I424+I421+I418+I415+I412+I454+I451+I448+I445+I442+I439+I436+I280</f>
        <v>72094</v>
      </c>
      <c r="J458" s="1009">
        <f>J409+J404+J400+J396+J392+J388+J384+J380+J376+J372+J368+J364+J360+J356+J352+J348+J344+J340+J336+J332+J328+J324+J320+J316+J312+J308+J304+J300+J296+J292+J288+J284+J277+J273+J269+J265+J261+J257+J253+J249+J245+J241+J237+J233+J229+J225+J221+J217+J213+J209+J205+J201+J197+J193+J189+J185+J181+J177+J173+J168+J164+J160+J68+J64+J60+J56+J52+J48+J44+J40+J36+J32+J28+J20+J16+J12+J433+J430+J427+J424+J421+J418+J415+J412+J454+J451+J448+J445+J442+J439+J436+J280</f>
        <v>2056669</v>
      </c>
      <c r="K458" s="1009">
        <f>K409+K404+K400+K396+K392+K388+K384+K380+K376+K372+K368+K364+K360+K356+K352+K348+K344+K340+K336+K332+K328+K324+K320+K316+K312+K308+K304+K300+K296+K292+K288+K284+K277+K273+K269+K265+K261+K257+K253+K249+K245+K241+K237+K233+K229+K225+K221+K217+K213+K209+K205+K201+K197+K193+K189+K185+K181+K177+K173+K168+K164+K160+K68+K64+K60+K56+K52+K48+K44+K40+K36+K32+K28+K20+K16+K12+K433+K430+K427+K424+K421+K418+K415+K412+K454+K451+K448+K445+K442+K439+K436+K280</f>
        <v>525133</v>
      </c>
      <c r="L458" s="1428">
        <f>L409+L404+L400+L396+L392+L388+L384+L380+L376+L372+L368+L364+L360+L356+L352+L348+L344+L340+L336+L332+L328+L324+L320+L316+L312+L308+L304+L300+L296+L292+L288+L284+L277+L273+L269+L265+L261+L257+L253+L249+L245+L241+L237+L233+L229+L225+L221+L217+L213+L209+L205+L201+L197+L193+L189+L185+L181+L177+L173+L168+L164+L160+L68+L64+L60+L56+L52+L48+L44+L40+L36+L32+L28+L20+L16+L12+L433+L430+L427+L424+L421+L418+L415+L412+L454+L451+L448+L445+L442+L439+L436+L280</f>
        <v>2653896</v>
      </c>
      <c r="M458" s="973"/>
    </row>
    <row r="459" spans="1:13" ht="20.100000000000001" customHeight="1" thickBot="1" x14ac:dyDescent="0.4">
      <c r="A459" s="821">
        <v>451</v>
      </c>
      <c r="B459" s="1000"/>
      <c r="C459" s="1345"/>
      <c r="D459" s="994" t="s">
        <v>973</v>
      </c>
      <c r="E459" s="1032"/>
      <c r="F459" s="1338"/>
      <c r="G459" s="1339"/>
      <c r="H459" s="1340"/>
      <c r="I459" s="1192">
        <f>I410+I405+I401+I397+I393+I389+I385+I381+I377+I373+I369+I365+I361+I357+I353+I349+I345+I341+I337+I333+I329+I325+I321+I317+I313+I309+I305+I301+I297+I293+I289+I285+I278+I274+I270+I266+I262+I258+I254+I250+I246+I242+I238+I234+I230+I226+I222+I218+I214+I210+I206+I202+I198+I194+I190+I186+I182+I178+I174+I169+I165+I161+I65+I61+I57+I53+I49+I45+I41+I37+I33+I29+I21+I17+I13+I69+I413+I416+I419+I434+I431+I428+I425+I422+I437+I281+I440+I443+I446+I455+I449+I452</f>
        <v>7822</v>
      </c>
      <c r="J459" s="1192">
        <f>J410+J405+J401+J397+J393+J389+J385+J381+J377+J373+J369+J365+J361+J357+J353+J349+J345+J341+J337+J333+J329+J325+J321+J317+J313+J309+J305+J301+J297+J293+J289+J285+J278+J274+J270+J266+J262+J258+J254+J250+J246+J242+J238+J234+J230+J226+J222+J218+J214+J210+J206+J202+J198+J194+J190+J186+J182+J178+J174+J169+J165+J161+J65+J61+J57+J53+J49+J45+J41+J37+J33+J29+J21+J17+J13+J69+J413+J416+J419+J434+J431+J428+J425+J422+J437+J281+J440+J443+J446+J455+J449+J452</f>
        <v>275104</v>
      </c>
      <c r="K459" s="1192">
        <f>K410+K405+K401+K397+K393+K389+K385+K381+K377+K373+K369+K365+K361+K357+K353+K349+K345+K341+K337+K333+K329+K325+K321+K317+K313+K309+K305+K301+K297+K293+K289+K285+K278+K274+K270+K266+K262+K258+K254+K250+K246+K242+K238+K234+K230+K226+K222+K218+K214+K210+K206+K202+K198+K194+K190+K186+K182+K178+K174+K169+K165+K161+K65+K61+K57+K53+K49+K45+K41+K37+K33+K29+K21+K17+K13+K69+K413+K416+K419+K434+K431+K428+K425+K422+K437+K281+K440+K443+K446+K455+K449+K452</f>
        <v>342449</v>
      </c>
      <c r="L459" s="922">
        <f>SUM(I459:K459)</f>
        <v>625375</v>
      </c>
      <c r="M459" s="973"/>
    </row>
    <row r="460" spans="1:13" ht="18" customHeight="1" thickTop="1" x14ac:dyDescent="0.35">
      <c r="A460" s="821">
        <v>452</v>
      </c>
      <c r="B460" s="884"/>
      <c r="C460" s="1344"/>
      <c r="D460" s="978" t="s">
        <v>97</v>
      </c>
      <c r="E460" s="1330"/>
      <c r="F460" s="1330"/>
      <c r="G460" s="1353"/>
      <c r="H460" s="1354"/>
      <c r="I460" s="1355"/>
      <c r="J460" s="1355"/>
      <c r="K460" s="1355"/>
      <c r="L460" s="1356"/>
      <c r="M460" s="1357"/>
    </row>
    <row r="461" spans="1:13" ht="18" customHeight="1" x14ac:dyDescent="0.35">
      <c r="A461" s="821">
        <v>453</v>
      </c>
      <c r="B461" s="885"/>
      <c r="C461" s="1345"/>
      <c r="D461" s="1010" t="s">
        <v>252</v>
      </c>
      <c r="E461" s="1361"/>
      <c r="F461" s="1361"/>
      <c r="G461" s="1362"/>
      <c r="H461" s="1363"/>
      <c r="I461" s="1364">
        <f>I408+I387+I383+I307+I252+I228+I188+I180+I167+I163+I51+I47+I43+I19+I15+I11</f>
        <v>0</v>
      </c>
      <c r="J461" s="1365">
        <f>J408+J387+J383+J307+J252+J228+J188+J180+J167+J163+J51+J47+J43+J19+J15+J11</f>
        <v>474168</v>
      </c>
      <c r="K461" s="1366">
        <f>K408+K387+K383+K307+K252+K228+K188+K180+K167+K163+K51+K47+K43+K19+K15+K11</f>
        <v>1799488</v>
      </c>
      <c r="L461" s="1367">
        <f>SUM(I461:K461)</f>
        <v>2273656</v>
      </c>
      <c r="M461" s="1358"/>
    </row>
    <row r="462" spans="1:13" ht="18" customHeight="1" x14ac:dyDescent="0.35">
      <c r="A462" s="821">
        <v>454</v>
      </c>
      <c r="B462" s="885"/>
      <c r="C462" s="1345"/>
      <c r="D462" s="1016" t="s">
        <v>921</v>
      </c>
      <c r="E462" s="1361"/>
      <c r="F462" s="1361"/>
      <c r="G462" s="1362"/>
      <c r="H462" s="1363"/>
      <c r="I462" s="1430">
        <f>I409+I388+I384+I308+I253+I229+I189+I181+I168+I164+I52+I48+I44+I20+I16+I12+I412+I454++I445+I442</f>
        <v>0</v>
      </c>
      <c r="J462" s="1430">
        <f>J409+J388+J384+J308+J253+J229+J189+J181+J168+J164+J52+J48+J44+J20+J16+J12+J412+J454++J445+J442</f>
        <v>486318</v>
      </c>
      <c r="K462" s="1430">
        <f>K409+K388+K384+K308+K253+K229+K189+K181+K168+K164+K52+K48+K44+K20+K16+K12+K412+K454++K445+K442</f>
        <v>509733</v>
      </c>
      <c r="L462" s="1006">
        <f>SUM(I462:K462)</f>
        <v>996051</v>
      </c>
      <c r="M462" s="1358"/>
    </row>
    <row r="463" spans="1:13" ht="18" customHeight="1" x14ac:dyDescent="0.35">
      <c r="A463" s="821">
        <v>455</v>
      </c>
      <c r="B463" s="885"/>
      <c r="C463" s="1345"/>
      <c r="D463" s="1002" t="s">
        <v>973</v>
      </c>
      <c r="E463" s="1014"/>
      <c r="F463" s="1014"/>
      <c r="G463" s="1015"/>
      <c r="H463" s="1034"/>
      <c r="I463" s="1013">
        <f>I410+I389+I385+I309+I254+I230+I190+I182+I169+I165+I49+I53+I45+I21+I17+I13+I413+I446+I443+I455</f>
        <v>0</v>
      </c>
      <c r="J463" s="1013">
        <f>J410+J389+J385+J309+J254+J230+J190+J182+J169+J165+J49+J53+J45+J21+J17+J13+J413+J446+J443+J455</f>
        <v>124302</v>
      </c>
      <c r="K463" s="1013">
        <f>K410+K389+K385+K309+K254+K230+K190+K182+K169+K165+K49+K53+K45+K21+K17+K13+K413+K446+K443+K455</f>
        <v>332461</v>
      </c>
      <c r="L463" s="1007">
        <f>SUM(F463:K463)</f>
        <v>456763</v>
      </c>
      <c r="M463" s="1358"/>
    </row>
    <row r="464" spans="1:13" ht="18" customHeight="1" x14ac:dyDescent="0.35">
      <c r="A464" s="821">
        <v>456</v>
      </c>
      <c r="B464" s="885"/>
      <c r="C464" s="1345"/>
      <c r="D464" s="999" t="s">
        <v>98</v>
      </c>
      <c r="E464" s="1011"/>
      <c r="F464" s="1011"/>
      <c r="G464" s="1012"/>
      <c r="H464" s="1034"/>
      <c r="I464" s="1017"/>
      <c r="J464" s="1017"/>
      <c r="K464" s="1017"/>
      <c r="L464" s="1006"/>
      <c r="M464" s="1358"/>
    </row>
    <row r="465" spans="1:13" ht="18" customHeight="1" x14ac:dyDescent="0.35">
      <c r="A465" s="821">
        <v>457</v>
      </c>
      <c r="B465" s="885"/>
      <c r="C465" s="1345"/>
      <c r="D465" s="1010" t="s">
        <v>252</v>
      </c>
      <c r="E465" s="1361"/>
      <c r="F465" s="1361"/>
      <c r="G465" s="1362"/>
      <c r="H465" s="1363"/>
      <c r="I465" s="1368">
        <f>I403+I399+I395+I391+I375+I371+I367+I363+I359+I355+I351+I347+I343+I339+I335+I331+I327+I323+I319+I315+I311+I303+I299+I295+I291+I287+I283+I276+I272+I268+I264+I260+I256+I248+I244+I240+I236+I232+I224+I220+I216+I212+I208+I204+I200+I196+I192+I184+I176+I172+I159+I67+I63+I59+I55+I39+I35+I31+I27</f>
        <v>25587</v>
      </c>
      <c r="J465" s="1368">
        <f>J403+J399+J395+J391+J375+J371+J367+J363+J359+J355+J351+J347+J343+J339+J335+J331+J327+J323+J319+J315+J311+J303+J299+J295+J291+J287+J283+J276+J272+J268+J264+J260+J256+J248+J244+J240+J236+J232+J224+J220+J216+J212+J208+J204+J200+J196+J192+J184+J176+J172+J159+J67+J63+J59+J55+J39+J35+J31+J27+J379</f>
        <v>1352280</v>
      </c>
      <c r="K465" s="1368">
        <f>K403+K399+K395+K391+K375+K371+K367+K363+K359+K355+K351+K347+K343+K339+K335+K331+K327+K323+K319+K315+K311+K303+K299+K295+K291+K287+K283+K276+K272+K268+K264+K260+K256+K248+K244+K240+K236+K232+K224+K220+K216+K212+K208+K204+K200+K196+K192+K184+K176+K172+K159+K67+K63+K59+K55+K39+K35+K31+K27</f>
        <v>10150</v>
      </c>
      <c r="L465" s="1367">
        <f>SUM(I465:K465)</f>
        <v>1388017</v>
      </c>
      <c r="M465" s="1358"/>
    </row>
    <row r="466" spans="1:13" ht="18" customHeight="1" x14ac:dyDescent="0.35">
      <c r="A466" s="821">
        <v>458</v>
      </c>
      <c r="B466" s="885"/>
      <c r="C466" s="1345"/>
      <c r="D466" s="1016" t="s">
        <v>921</v>
      </c>
      <c r="E466" s="1361"/>
      <c r="F466" s="1361"/>
      <c r="G466" s="1362"/>
      <c r="H466" s="1363"/>
      <c r="I466" s="1017">
        <f>I404+I400+I396+I392+I376+I372+I368+I364+I360+I356+I352+I348+I344+I340+I336+I332+I328+I324+I320+I316+I312+I304+I300+I296+I292+I288+I284+I277+I273+I269+I265+I261+I257+I249+I245+I241+I237+I233+I225+I221+I217+I213+I209+I205+I201+I197+I193+I185+I177+I173+I160+I68+I64+I60+I56+I40+I36+I32+I28+I433+I430+I427+I424+I421+I418++I415+I380+I451+I448+I439+I436+I280</f>
        <v>72094</v>
      </c>
      <c r="J466" s="1017">
        <f>J404+J400+J396+J392+J376+J372+J368+J364+J360+J356+J352+J348+J344+J340+J336+J332+J328+J324+J320+J316+J312+J304+J300+J296+J292+J288+J284+J277+J273+J269+J265+J261+J257+J249+J245+J241+J237+J233+J225+J221+J217+J213+J209+J205+J201+J197+J193+J185+J177+J173+J160+J68+J64+J60+J56+J40+J36+J32+J28+J433+J430+J427+J424+J421+J418++J415+J380+J451+J448+J439+J436+J280</f>
        <v>1570351</v>
      </c>
      <c r="K466" s="1017">
        <f>K404+K400+K396+K392+K376+K372+K368+K364+K360+K356+K352+K348+K344+K340+K336+K332+K328+K324+K320+K316+K312+K304+K300+K296+K292+K288+K284+K277+K273+K269+K265+K261+K257+K249+K245+K241+K237+K233+K225+K221+K217+K213+K209+K205+K201+K197+K193+K185+K177+K173+K160+K68+K64+K60+K56+K40+K36+K32+K28+K433+K430+K427+K424+K421+K418++K415+K380+K451+K448+K439+K436+K280</f>
        <v>15400</v>
      </c>
      <c r="L466" s="1006">
        <f>SUM(I466:K466)</f>
        <v>1657845</v>
      </c>
      <c r="M466" s="1358"/>
    </row>
    <row r="467" spans="1:13" ht="18" customHeight="1" thickBot="1" x14ac:dyDescent="0.4">
      <c r="A467" s="821">
        <v>459</v>
      </c>
      <c r="B467" s="854"/>
      <c r="C467" s="1347"/>
      <c r="D467" s="1643" t="s">
        <v>973</v>
      </c>
      <c r="E467" s="1033"/>
      <c r="F467" s="1033"/>
      <c r="G467" s="1036"/>
      <c r="H467" s="1035"/>
      <c r="I467" s="1683">
        <f>I405+I401+I397+I393+I381+I377+I373+I369+I365+I361+I357+I353+I349+I345+I341+I337+I333+I329+I325+I321+I317+I313+I305+I301+I297+I293+I289+I285+I278+I274+I270+I266+I262+I258+I250+I246+I242+I238+I234+I226+I222+I218+I214+I210+I206+I202+I198+I194+I186+I178+I174+I161+I69+I65+I61+I57+I41+I37+I33+I416+I419+I29+I434+I431+I428+I425+I422+I281+I440+I437+I449+I452</f>
        <v>7822</v>
      </c>
      <c r="J467" s="1683">
        <f>J405+J401+J397+J393+J381+J377+J373+J369+J365+J361+J357+J353+J349+J345+J341+J337+J333+J329+J325+J321+J317+J313+J305+J301+J297+J293+J289+J285+J278+J274+J270+J266+J262+J258+J250+J246+J242+J238+J234+J226+J222+J218+J214+J210+J206+J202+J198+J194+J186+J178+J174+J161+J69+J65+J61+J57+J41+J37+J33+J416+J419+J29+J434+J431+J428+J425+J422+J281+J440+J437+J449+J452</f>
        <v>150802</v>
      </c>
      <c r="K467" s="1683">
        <f>K405+K401+K397+K393+K381+K377+K373+K369+K365+K361+K357+K353+K349+K345+K341+K337+K333+K329+K325+K321+K317+K313+K305+K301+K297+K293+K289+K285+K278+K274+K270+K266+K262+K258+K250+K246+K242+K238+K234+K226+K222+K218+K214+K210+K206+K202+K198+K194+K186+K178+K174+K161+K69+K65+K61+K57+K41+K37+K33+K416+K419+K29+K434+K431+K428+K425+K422+K281+K440+K437+K449+K452</f>
        <v>9988</v>
      </c>
      <c r="L467" s="1684">
        <f>SUM(F467:K467)</f>
        <v>168612</v>
      </c>
      <c r="M467" s="1359"/>
    </row>
    <row r="468" spans="1:13" ht="18" customHeight="1" x14ac:dyDescent="0.3">
      <c r="B468" s="848" t="s">
        <v>25</v>
      </c>
      <c r="C468" s="1348"/>
      <c r="D468" s="848"/>
      <c r="E468" s="849"/>
      <c r="F468" s="850"/>
      <c r="G468" s="849"/>
      <c r="H468" s="851"/>
      <c r="I468" s="849"/>
      <c r="J468" s="849"/>
      <c r="K468" s="849"/>
      <c r="L468" s="849"/>
    </row>
    <row r="469" spans="1:13" ht="18" customHeight="1" x14ac:dyDescent="0.3">
      <c r="B469" s="848" t="s">
        <v>26</v>
      </c>
      <c r="C469" s="1348"/>
      <c r="D469" s="848"/>
      <c r="E469" s="852"/>
      <c r="F469" s="850"/>
      <c r="G469" s="849"/>
      <c r="H469" s="851"/>
      <c r="I469" s="849"/>
      <c r="J469" s="849"/>
      <c r="K469" s="849"/>
      <c r="L469" s="849"/>
    </row>
    <row r="470" spans="1:13" ht="18" customHeight="1" x14ac:dyDescent="0.3">
      <c r="B470" s="848" t="s">
        <v>27</v>
      </c>
      <c r="C470" s="1348"/>
      <c r="D470" s="848"/>
      <c r="E470" s="852"/>
      <c r="F470" s="850"/>
      <c r="G470" s="849"/>
      <c r="H470" s="851"/>
      <c r="I470" s="849"/>
      <c r="J470" s="849"/>
      <c r="K470" s="849"/>
      <c r="L470" s="849"/>
    </row>
  </sheetData>
  <mergeCells count="16">
    <mergeCell ref="B1:D1"/>
    <mergeCell ref="I1:M1"/>
    <mergeCell ref="B2:M2"/>
    <mergeCell ref="B3:M3"/>
    <mergeCell ref="D456:G456"/>
    <mergeCell ref="I6:L6"/>
    <mergeCell ref="M6:M8"/>
    <mergeCell ref="E6:E8"/>
    <mergeCell ref="B6:B8"/>
    <mergeCell ref="C6:C8"/>
    <mergeCell ref="D6:D8"/>
    <mergeCell ref="J7:K7"/>
    <mergeCell ref="L7:L8"/>
    <mergeCell ref="H6:H8"/>
    <mergeCell ref="G6:G8"/>
    <mergeCell ref="F6:F8"/>
  </mergeCells>
  <printOptions horizontalCentered="1"/>
  <pageMargins left="0.19685039370078741" right="0.19685039370078741" top="0.59055118110236227" bottom="0.59055118110236227" header="0.51181102362204722" footer="0.51181102362204722"/>
  <pageSetup paperSize="9" scale="54" fitToHeight="0" orientation="portrait" r:id="rId1"/>
  <headerFooter>
    <oddFooter>&amp;C- &amp;P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R230"/>
  <sheetViews>
    <sheetView view="pageBreakPreview" zoomScaleNormal="100" zoomScaleSheetLayoutView="100" workbookViewId="0">
      <pane ySplit="8" topLeftCell="A210" activePane="bottomLeft" state="frozen"/>
      <selection activeCell="N9" sqref="N9"/>
      <selection pane="bottomLeft" activeCell="B3" sqref="B3:L3"/>
    </sheetView>
  </sheetViews>
  <sheetFormatPr defaultColWidth="9.28515625" defaultRowHeight="15" x14ac:dyDescent="0.3"/>
  <cols>
    <col min="1" max="1" width="3.5703125" style="813" customWidth="1"/>
    <col min="2" max="2" width="5.7109375" style="814" customWidth="1"/>
    <col min="3" max="3" width="5.7109375" style="209" customWidth="1"/>
    <col min="4" max="4" width="59.7109375" style="815" customWidth="1"/>
    <col min="5" max="7" width="10.7109375" style="206" customWidth="1"/>
    <col min="8" max="8" width="6.7109375" style="816" customWidth="1"/>
    <col min="9" max="10" width="14.7109375" style="206" customWidth="1"/>
    <col min="11" max="11" width="15.7109375" style="206" customWidth="1"/>
    <col min="12" max="12" width="13.7109375" style="841" customWidth="1"/>
    <col min="13" max="16384" width="9.28515625" style="207"/>
  </cols>
  <sheetData>
    <row r="1" spans="1:250" s="142" customFormat="1" ht="18" customHeight="1" x14ac:dyDescent="0.3">
      <c r="A1" s="811"/>
      <c r="B1" s="1931" t="s">
        <v>1016</v>
      </c>
      <c r="C1" s="1931"/>
      <c r="D1" s="1931"/>
      <c r="E1" s="200"/>
      <c r="F1" s="200"/>
      <c r="G1" s="200"/>
      <c r="H1" s="812"/>
      <c r="I1" s="1932"/>
      <c r="J1" s="1932"/>
      <c r="K1" s="1932"/>
      <c r="L1" s="1932"/>
      <c r="M1" s="201"/>
      <c r="N1" s="201"/>
      <c r="O1" s="201"/>
      <c r="P1" s="201"/>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1"/>
      <c r="BG1" s="201"/>
      <c r="BH1" s="201"/>
      <c r="BI1" s="201"/>
      <c r="BJ1" s="201"/>
      <c r="BK1" s="201"/>
      <c r="BL1" s="201"/>
      <c r="BM1" s="201"/>
      <c r="BN1" s="201"/>
      <c r="BO1" s="201"/>
      <c r="BP1" s="201"/>
      <c r="BQ1" s="201"/>
      <c r="BR1" s="201"/>
      <c r="BS1" s="201"/>
      <c r="BT1" s="201"/>
      <c r="BU1" s="201"/>
      <c r="BV1" s="201"/>
      <c r="BW1" s="201"/>
      <c r="BX1" s="201"/>
      <c r="BY1" s="201"/>
      <c r="BZ1" s="201"/>
      <c r="CA1" s="201"/>
      <c r="CB1" s="201"/>
      <c r="CC1" s="201"/>
      <c r="CD1" s="201"/>
      <c r="CE1" s="201"/>
      <c r="CF1" s="201"/>
      <c r="CG1" s="201"/>
      <c r="CH1" s="201"/>
      <c r="CI1" s="201"/>
      <c r="CJ1" s="201"/>
      <c r="CK1" s="201"/>
      <c r="CL1" s="201"/>
      <c r="CM1" s="201"/>
      <c r="CN1" s="201"/>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c r="FN1" s="201"/>
      <c r="FO1" s="201"/>
      <c r="FP1" s="201"/>
      <c r="FQ1" s="201"/>
      <c r="FR1" s="201"/>
      <c r="FS1" s="201"/>
      <c r="FT1" s="201"/>
      <c r="FU1" s="201"/>
      <c r="FV1" s="201"/>
      <c r="FW1" s="201"/>
      <c r="FX1" s="201"/>
      <c r="FY1" s="201"/>
      <c r="FZ1" s="201"/>
      <c r="GA1" s="201"/>
      <c r="GB1" s="201"/>
      <c r="GC1" s="201"/>
      <c r="GD1" s="201"/>
      <c r="GE1" s="201"/>
      <c r="GF1" s="201"/>
      <c r="GG1" s="201"/>
      <c r="GH1" s="201"/>
      <c r="GI1" s="201"/>
      <c r="GJ1" s="201"/>
      <c r="GK1" s="201"/>
      <c r="GL1" s="201"/>
      <c r="GM1" s="201"/>
      <c r="GN1" s="201"/>
      <c r="GO1" s="201"/>
      <c r="GP1" s="201"/>
      <c r="GQ1" s="201"/>
      <c r="GR1" s="201"/>
      <c r="GS1" s="201"/>
      <c r="GT1" s="201"/>
      <c r="GU1" s="201"/>
      <c r="GV1" s="201"/>
      <c r="GW1" s="201"/>
      <c r="GX1" s="201"/>
      <c r="GY1" s="201"/>
      <c r="GZ1" s="201"/>
      <c r="HA1" s="201"/>
      <c r="HB1" s="201"/>
      <c r="HC1" s="201"/>
      <c r="HD1" s="201"/>
      <c r="HE1" s="201"/>
      <c r="HF1" s="201"/>
      <c r="HG1" s="201"/>
      <c r="HH1" s="201"/>
      <c r="HI1" s="201"/>
      <c r="HJ1" s="201"/>
      <c r="HK1" s="201"/>
      <c r="HL1" s="201"/>
      <c r="HM1" s="201"/>
      <c r="HN1" s="201"/>
      <c r="HO1" s="201"/>
      <c r="HP1" s="201"/>
      <c r="HQ1" s="201"/>
      <c r="HR1" s="201"/>
      <c r="HS1" s="201"/>
      <c r="HT1" s="201"/>
      <c r="HU1" s="201"/>
      <c r="HV1" s="201"/>
      <c r="HW1" s="201"/>
      <c r="HX1" s="201"/>
      <c r="HY1" s="201"/>
      <c r="HZ1" s="201"/>
      <c r="IA1" s="201"/>
      <c r="IB1" s="201"/>
      <c r="IC1" s="201"/>
      <c r="ID1" s="201"/>
      <c r="IE1" s="201"/>
      <c r="IF1" s="201"/>
      <c r="IG1" s="201"/>
      <c r="IH1" s="201"/>
      <c r="II1" s="201"/>
      <c r="IJ1" s="201"/>
      <c r="IK1" s="201"/>
      <c r="IL1" s="201"/>
      <c r="IM1" s="201"/>
      <c r="IN1" s="201"/>
      <c r="IO1" s="201"/>
      <c r="IP1" s="201"/>
    </row>
    <row r="2" spans="1:250" s="142" customFormat="1" ht="18" customHeight="1" x14ac:dyDescent="0.35">
      <c r="A2" s="813"/>
      <c r="B2" s="1933" t="s">
        <v>14</v>
      </c>
      <c r="C2" s="1933"/>
      <c r="D2" s="1933"/>
      <c r="E2" s="1933"/>
      <c r="F2" s="1933"/>
      <c r="G2" s="1933"/>
      <c r="H2" s="1933"/>
      <c r="I2" s="1933"/>
      <c r="J2" s="1933"/>
      <c r="K2" s="1933"/>
      <c r="L2" s="1933"/>
    </row>
    <row r="3" spans="1:250" s="142" customFormat="1" ht="18" customHeight="1" x14ac:dyDescent="0.3">
      <c r="A3" s="813"/>
      <c r="B3" s="1934" t="s">
        <v>1017</v>
      </c>
      <c r="C3" s="1934"/>
      <c r="D3" s="1934"/>
      <c r="E3" s="1934"/>
      <c r="F3" s="1934"/>
      <c r="G3" s="1934"/>
      <c r="H3" s="1934"/>
      <c r="I3" s="1934"/>
      <c r="J3" s="1934"/>
      <c r="K3" s="1934"/>
      <c r="L3" s="1934"/>
    </row>
    <row r="4" spans="1:250" ht="18" customHeight="1" x14ac:dyDescent="0.3">
      <c r="L4" s="208" t="s">
        <v>0</v>
      </c>
    </row>
    <row r="5" spans="1:250" s="51" customFormat="1" ht="18" customHeight="1" thickBot="1" x14ac:dyDescent="0.35">
      <c r="A5" s="813"/>
      <c r="B5" s="817" t="s">
        <v>1</v>
      </c>
      <c r="C5" s="251" t="s">
        <v>3</v>
      </c>
      <c r="D5" s="818" t="s">
        <v>2</v>
      </c>
      <c r="E5" s="818" t="s">
        <v>4</v>
      </c>
      <c r="F5" s="818" t="s">
        <v>5</v>
      </c>
      <c r="G5" s="818" t="s">
        <v>15</v>
      </c>
      <c r="H5" s="818" t="s">
        <v>16</v>
      </c>
      <c r="I5" s="818" t="s">
        <v>28</v>
      </c>
      <c r="J5" s="818" t="s">
        <v>23</v>
      </c>
      <c r="K5" s="818" t="s">
        <v>33</v>
      </c>
      <c r="L5" s="818" t="s">
        <v>34</v>
      </c>
      <c r="M5" s="813"/>
      <c r="N5" s="813"/>
      <c r="O5" s="813"/>
      <c r="P5" s="813"/>
      <c r="Q5" s="813"/>
      <c r="R5" s="813"/>
      <c r="S5" s="813"/>
      <c r="T5" s="813"/>
      <c r="U5" s="813"/>
      <c r="V5" s="813"/>
      <c r="W5" s="813"/>
      <c r="X5" s="813"/>
      <c r="Y5" s="813"/>
      <c r="Z5" s="813"/>
      <c r="AA5" s="813"/>
      <c r="AB5" s="813"/>
      <c r="AC5" s="813"/>
      <c r="AD5" s="813"/>
      <c r="AE5" s="813"/>
      <c r="AF5" s="813"/>
      <c r="AG5" s="813"/>
      <c r="AH5" s="813"/>
      <c r="AI5" s="813"/>
      <c r="AJ5" s="813"/>
      <c r="AK5" s="813"/>
      <c r="AL5" s="813"/>
      <c r="AM5" s="813"/>
      <c r="AN5" s="813"/>
      <c r="AO5" s="813"/>
      <c r="AP5" s="813"/>
      <c r="AQ5" s="813"/>
      <c r="AR5" s="813"/>
      <c r="AS5" s="813"/>
      <c r="AT5" s="813"/>
      <c r="AU5" s="813"/>
      <c r="AV5" s="813"/>
      <c r="AW5" s="813"/>
      <c r="AX5" s="813"/>
      <c r="AY5" s="813"/>
      <c r="AZ5" s="813"/>
      <c r="BA5" s="813"/>
      <c r="BB5" s="813"/>
      <c r="BC5" s="813"/>
      <c r="BD5" s="813"/>
      <c r="BE5" s="813"/>
      <c r="BF5" s="813"/>
      <c r="BG5" s="813"/>
      <c r="BH5" s="813"/>
      <c r="BI5" s="813"/>
      <c r="BJ5" s="813"/>
      <c r="BK5" s="813"/>
      <c r="BL5" s="813"/>
      <c r="BM5" s="813"/>
      <c r="BN5" s="813"/>
      <c r="BO5" s="813"/>
      <c r="BP5" s="813"/>
      <c r="BQ5" s="813"/>
      <c r="BR5" s="813"/>
      <c r="BS5" s="813"/>
      <c r="BT5" s="813"/>
      <c r="BU5" s="813"/>
      <c r="BV5" s="813"/>
      <c r="BW5" s="813"/>
      <c r="BX5" s="813"/>
      <c r="BY5" s="813"/>
      <c r="BZ5" s="813"/>
      <c r="CA5" s="813"/>
      <c r="CB5" s="813"/>
      <c r="CC5" s="813"/>
      <c r="CD5" s="813"/>
      <c r="CE5" s="813"/>
      <c r="CF5" s="813"/>
      <c r="CG5" s="813"/>
      <c r="CH5" s="813"/>
      <c r="CI5" s="813"/>
      <c r="CJ5" s="813"/>
      <c r="CK5" s="813"/>
      <c r="CL5" s="813"/>
      <c r="CM5" s="813"/>
      <c r="CN5" s="813"/>
      <c r="CO5" s="813"/>
      <c r="CP5" s="813"/>
      <c r="CQ5" s="813"/>
      <c r="CR5" s="813"/>
      <c r="CS5" s="813"/>
      <c r="CT5" s="813"/>
      <c r="CU5" s="813"/>
      <c r="CV5" s="813"/>
      <c r="CW5" s="813"/>
      <c r="CX5" s="813"/>
      <c r="CY5" s="813"/>
      <c r="CZ5" s="813"/>
      <c r="DA5" s="813"/>
      <c r="DB5" s="813"/>
      <c r="DC5" s="813"/>
      <c r="DD5" s="813"/>
      <c r="DE5" s="813"/>
      <c r="DF5" s="813"/>
      <c r="DG5" s="813"/>
      <c r="DH5" s="813"/>
      <c r="DI5" s="813"/>
      <c r="DJ5" s="813"/>
      <c r="DK5" s="813"/>
      <c r="DL5" s="813"/>
      <c r="DM5" s="813"/>
      <c r="DN5" s="813"/>
      <c r="DO5" s="813"/>
      <c r="DP5" s="813"/>
      <c r="DQ5" s="813"/>
      <c r="DR5" s="813"/>
      <c r="DS5" s="813"/>
      <c r="DT5" s="813"/>
      <c r="DU5" s="813"/>
      <c r="DV5" s="813"/>
      <c r="DW5" s="813"/>
      <c r="DX5" s="813"/>
      <c r="DY5" s="813"/>
      <c r="DZ5" s="813"/>
      <c r="EA5" s="813"/>
      <c r="EB5" s="813"/>
      <c r="EC5" s="813"/>
      <c r="ED5" s="813"/>
      <c r="EE5" s="813"/>
      <c r="EF5" s="813"/>
      <c r="EG5" s="813"/>
      <c r="EH5" s="813"/>
      <c r="EI5" s="813"/>
      <c r="EJ5" s="813"/>
      <c r="EK5" s="813"/>
      <c r="EL5" s="813"/>
      <c r="EM5" s="813"/>
      <c r="EN5" s="813"/>
      <c r="EO5" s="813"/>
      <c r="EP5" s="813"/>
      <c r="EQ5" s="813"/>
      <c r="ER5" s="813"/>
      <c r="ES5" s="813"/>
      <c r="ET5" s="813"/>
      <c r="EU5" s="813"/>
      <c r="EV5" s="813"/>
      <c r="EW5" s="813"/>
      <c r="EX5" s="813"/>
      <c r="EY5" s="813"/>
      <c r="EZ5" s="813"/>
      <c r="FA5" s="813"/>
      <c r="FB5" s="813"/>
      <c r="FC5" s="813"/>
      <c r="FD5" s="813"/>
      <c r="FE5" s="813"/>
      <c r="FF5" s="813"/>
      <c r="FG5" s="813"/>
      <c r="FH5" s="813"/>
      <c r="FI5" s="813"/>
      <c r="FJ5" s="813"/>
      <c r="FK5" s="813"/>
      <c r="FL5" s="813"/>
      <c r="FM5" s="813"/>
      <c r="FN5" s="813"/>
      <c r="FO5" s="813"/>
      <c r="FP5" s="813"/>
      <c r="FQ5" s="813"/>
      <c r="FR5" s="813"/>
      <c r="FS5" s="813"/>
      <c r="FT5" s="813"/>
      <c r="FU5" s="813"/>
      <c r="FV5" s="813"/>
      <c r="FW5" s="813"/>
      <c r="FX5" s="813"/>
      <c r="FY5" s="813"/>
      <c r="FZ5" s="813"/>
      <c r="GA5" s="813"/>
      <c r="GB5" s="813"/>
      <c r="GC5" s="813"/>
      <c r="GD5" s="813"/>
      <c r="GE5" s="813"/>
      <c r="GF5" s="813"/>
      <c r="GG5" s="813"/>
      <c r="GH5" s="813"/>
      <c r="GI5" s="813"/>
      <c r="GJ5" s="813"/>
      <c r="GK5" s="813"/>
      <c r="GL5" s="813"/>
      <c r="GM5" s="813"/>
      <c r="GN5" s="813"/>
      <c r="GO5" s="813"/>
      <c r="GP5" s="813"/>
      <c r="GQ5" s="813"/>
      <c r="GR5" s="813"/>
      <c r="GS5" s="813"/>
      <c r="GT5" s="813"/>
      <c r="GU5" s="813"/>
      <c r="GV5" s="813"/>
      <c r="GW5" s="813"/>
      <c r="GX5" s="813"/>
      <c r="GY5" s="813"/>
      <c r="GZ5" s="813"/>
      <c r="HA5" s="813"/>
      <c r="HB5" s="813"/>
      <c r="HC5" s="813"/>
      <c r="HD5" s="813"/>
      <c r="HE5" s="813"/>
      <c r="HF5" s="813"/>
      <c r="HG5" s="813"/>
      <c r="HH5" s="813"/>
      <c r="HI5" s="813"/>
      <c r="HJ5" s="813"/>
      <c r="HK5" s="813"/>
      <c r="HL5" s="813"/>
      <c r="HM5" s="813"/>
      <c r="HN5" s="813"/>
      <c r="HO5" s="813"/>
      <c r="HP5" s="813"/>
      <c r="HQ5" s="813"/>
      <c r="HR5" s="813"/>
      <c r="HS5" s="813"/>
      <c r="HT5" s="813"/>
      <c r="HU5" s="813"/>
      <c r="HV5" s="813"/>
      <c r="HW5" s="813"/>
      <c r="HX5" s="813"/>
      <c r="HY5" s="813"/>
      <c r="HZ5" s="813"/>
      <c r="IA5" s="813"/>
      <c r="IB5" s="813"/>
      <c r="IC5" s="813"/>
      <c r="ID5" s="813"/>
      <c r="IE5" s="813"/>
      <c r="IF5" s="813"/>
      <c r="IG5" s="813"/>
      <c r="IH5" s="813"/>
      <c r="II5" s="813"/>
      <c r="IJ5" s="813"/>
      <c r="IK5" s="813"/>
      <c r="IL5" s="813"/>
      <c r="IM5" s="813"/>
      <c r="IN5" s="813"/>
      <c r="IO5" s="813"/>
      <c r="IP5" s="813"/>
    </row>
    <row r="6" spans="1:250" ht="30" customHeight="1" x14ac:dyDescent="0.3">
      <c r="B6" s="1947" t="s">
        <v>18</v>
      </c>
      <c r="C6" s="1950" t="s">
        <v>19</v>
      </c>
      <c r="D6" s="1953" t="s">
        <v>6</v>
      </c>
      <c r="E6" s="1944" t="s">
        <v>21</v>
      </c>
      <c r="F6" s="1944" t="s">
        <v>532</v>
      </c>
      <c r="G6" s="1962" t="s">
        <v>545</v>
      </c>
      <c r="H6" s="1959" t="s">
        <v>245</v>
      </c>
      <c r="I6" s="1965" t="s">
        <v>524</v>
      </c>
      <c r="J6" s="1965"/>
      <c r="K6" s="1966"/>
      <c r="L6" s="1941" t="s">
        <v>551</v>
      </c>
    </row>
    <row r="7" spans="1:250" ht="45" customHeight="1" x14ac:dyDescent="0.3">
      <c r="B7" s="1948"/>
      <c r="C7" s="1951"/>
      <c r="D7" s="1954"/>
      <c r="E7" s="1945"/>
      <c r="F7" s="1945"/>
      <c r="G7" s="1963"/>
      <c r="H7" s="1960"/>
      <c r="I7" s="816" t="s">
        <v>35</v>
      </c>
      <c r="J7" s="1535" t="s">
        <v>129</v>
      </c>
      <c r="K7" s="1957" t="s">
        <v>102</v>
      </c>
      <c r="L7" s="1942"/>
    </row>
    <row r="8" spans="1:250" ht="53.25" customHeight="1" thickBot="1" x14ac:dyDescent="0.35">
      <c r="B8" s="1949"/>
      <c r="C8" s="1952"/>
      <c r="D8" s="1955"/>
      <c r="E8" s="1946"/>
      <c r="F8" s="1946"/>
      <c r="G8" s="1964"/>
      <c r="H8" s="1961"/>
      <c r="I8" s="819" t="s">
        <v>38</v>
      </c>
      <c r="J8" s="820" t="s">
        <v>194</v>
      </c>
      <c r="K8" s="1958"/>
      <c r="L8" s="1943"/>
    </row>
    <row r="9" spans="1:250" ht="23.25" customHeight="1" x14ac:dyDescent="0.3">
      <c r="A9" s="821">
        <v>1</v>
      </c>
      <c r="B9" s="822">
        <v>18</v>
      </c>
      <c r="C9" s="246" t="s">
        <v>22</v>
      </c>
      <c r="D9" s="990"/>
      <c r="E9" s="991"/>
      <c r="F9" s="992"/>
      <c r="G9" s="993"/>
      <c r="H9" s="989"/>
      <c r="I9" s="823"/>
      <c r="J9" s="824"/>
      <c r="K9" s="825"/>
      <c r="L9" s="826"/>
    </row>
    <row r="10" spans="1:250" ht="19.5" customHeight="1" x14ac:dyDescent="0.3">
      <c r="A10" s="821">
        <v>2</v>
      </c>
      <c r="B10" s="827"/>
      <c r="C10" s="159">
        <v>1</v>
      </c>
      <c r="D10" s="830" t="s">
        <v>319</v>
      </c>
      <c r="E10" s="1019">
        <f>F10+G10+K12+L11</f>
        <v>1253</v>
      </c>
      <c r="F10" s="1324"/>
      <c r="G10" s="1325"/>
      <c r="H10" s="1326" t="s">
        <v>24</v>
      </c>
      <c r="I10" s="944"/>
      <c r="J10" s="984"/>
      <c r="K10" s="985"/>
      <c r="L10" s="1327"/>
    </row>
    <row r="11" spans="1:250" ht="18" customHeight="1" x14ac:dyDescent="0.35">
      <c r="A11" s="821">
        <v>3</v>
      </c>
      <c r="B11" s="827"/>
      <c r="C11" s="159"/>
      <c r="D11" s="983" t="s">
        <v>252</v>
      </c>
      <c r="E11" s="1331"/>
      <c r="F11" s="1332"/>
      <c r="G11" s="1333"/>
      <c r="H11" s="1334"/>
      <c r="I11" s="1335"/>
      <c r="J11" s="1336">
        <v>1253</v>
      </c>
      <c r="K11" s="1337">
        <f t="shared" ref="K11:K198" si="0">SUM(I11:J11)</f>
        <v>1253</v>
      </c>
      <c r="L11" s="1327"/>
    </row>
    <row r="12" spans="1:250" ht="18" customHeight="1" x14ac:dyDescent="0.35">
      <c r="A12" s="821">
        <v>4</v>
      </c>
      <c r="B12" s="827"/>
      <c r="C12" s="159"/>
      <c r="D12" s="995" t="s">
        <v>921</v>
      </c>
      <c r="E12" s="1331"/>
      <c r="F12" s="1332"/>
      <c r="G12" s="1333"/>
      <c r="H12" s="1334"/>
      <c r="I12" s="1009"/>
      <c r="J12" s="986">
        <v>1253</v>
      </c>
      <c r="K12" s="1428">
        <f t="shared" si="0"/>
        <v>1253</v>
      </c>
      <c r="L12" s="1327"/>
    </row>
    <row r="13" spans="1:250" ht="18" customHeight="1" x14ac:dyDescent="0.35">
      <c r="A13" s="821">
        <v>5</v>
      </c>
      <c r="B13" s="827"/>
      <c r="C13" s="159"/>
      <c r="D13" s="994" t="s">
        <v>973</v>
      </c>
      <c r="E13" s="1032"/>
      <c r="F13" s="1338"/>
      <c r="G13" s="1339"/>
      <c r="H13" s="1340"/>
      <c r="I13" s="1192"/>
      <c r="J13" s="949">
        <v>0</v>
      </c>
      <c r="K13" s="922">
        <f>SUM(E13:J13)</f>
        <v>0</v>
      </c>
      <c r="L13" s="1327"/>
    </row>
    <row r="14" spans="1:250" ht="19.5" customHeight="1" x14ac:dyDescent="0.3">
      <c r="A14" s="821">
        <v>6</v>
      </c>
      <c r="B14" s="827"/>
      <c r="C14" s="159">
        <v>2</v>
      </c>
      <c r="D14" s="830" t="s">
        <v>586</v>
      </c>
      <c r="E14" s="1019">
        <f>F14+G14+K16+L15</f>
        <v>21000</v>
      </c>
      <c r="F14" s="1324"/>
      <c r="G14" s="1325"/>
      <c r="H14" s="1326" t="s">
        <v>23</v>
      </c>
      <c r="I14" s="944"/>
      <c r="J14" s="984"/>
      <c r="K14" s="985"/>
      <c r="L14" s="1327"/>
    </row>
    <row r="15" spans="1:250" ht="18" customHeight="1" x14ac:dyDescent="0.35">
      <c r="A15" s="821">
        <v>7</v>
      </c>
      <c r="B15" s="827"/>
      <c r="C15" s="159"/>
      <c r="D15" s="983" t="s">
        <v>252</v>
      </c>
      <c r="E15" s="1331"/>
      <c r="F15" s="1332"/>
      <c r="G15" s="1333"/>
      <c r="H15" s="1334"/>
      <c r="I15" s="1335"/>
      <c r="J15" s="1336">
        <v>16000</v>
      </c>
      <c r="K15" s="1337">
        <f t="shared" si="0"/>
        <v>16000</v>
      </c>
      <c r="L15" s="1327"/>
    </row>
    <row r="16" spans="1:250" ht="18" customHeight="1" x14ac:dyDescent="0.35">
      <c r="A16" s="821">
        <v>8</v>
      </c>
      <c r="B16" s="827"/>
      <c r="C16" s="159"/>
      <c r="D16" s="995" t="s">
        <v>921</v>
      </c>
      <c r="E16" s="1331"/>
      <c r="F16" s="1332"/>
      <c r="G16" s="1333"/>
      <c r="H16" s="1334"/>
      <c r="I16" s="1009"/>
      <c r="J16" s="986">
        <v>21000</v>
      </c>
      <c r="K16" s="1428">
        <f t="shared" si="0"/>
        <v>21000</v>
      </c>
      <c r="L16" s="1327"/>
    </row>
    <row r="17" spans="1:12" ht="18" customHeight="1" x14ac:dyDescent="0.35">
      <c r="A17" s="821">
        <v>9</v>
      </c>
      <c r="B17" s="827"/>
      <c r="C17" s="159"/>
      <c r="D17" s="994" t="s">
        <v>972</v>
      </c>
      <c r="E17" s="1032"/>
      <c r="F17" s="1338"/>
      <c r="G17" s="1339"/>
      <c r="H17" s="1340"/>
      <c r="I17" s="1192"/>
      <c r="J17" s="949">
        <v>674</v>
      </c>
      <c r="K17" s="922">
        <f>SUM(E17:J17)</f>
        <v>674</v>
      </c>
      <c r="L17" s="1327"/>
    </row>
    <row r="18" spans="1:12" ht="19.5" customHeight="1" x14ac:dyDescent="0.3">
      <c r="A18" s="821">
        <v>10</v>
      </c>
      <c r="B18" s="827"/>
      <c r="C18" s="159">
        <v>3</v>
      </c>
      <c r="D18" s="830" t="s">
        <v>404</v>
      </c>
      <c r="E18" s="1019">
        <f>F18+G18+K20+L19</f>
        <v>20000</v>
      </c>
      <c r="F18" s="1324">
        <v>1336</v>
      </c>
      <c r="G18" s="1325"/>
      <c r="H18" s="1326" t="s">
        <v>23</v>
      </c>
      <c r="I18" s="944"/>
      <c r="J18" s="984"/>
      <c r="K18" s="985"/>
      <c r="L18" s="1327"/>
    </row>
    <row r="19" spans="1:12" ht="18" customHeight="1" x14ac:dyDescent="0.35">
      <c r="A19" s="821">
        <v>11</v>
      </c>
      <c r="B19" s="827"/>
      <c r="C19" s="159"/>
      <c r="D19" s="983" t="s">
        <v>252</v>
      </c>
      <c r="E19" s="1331"/>
      <c r="F19" s="1332"/>
      <c r="G19" s="1333"/>
      <c r="H19" s="1334"/>
      <c r="I19" s="1335"/>
      <c r="J19" s="1336">
        <v>18664</v>
      </c>
      <c r="K19" s="1337">
        <f t="shared" si="0"/>
        <v>18664</v>
      </c>
      <c r="L19" s="1327"/>
    </row>
    <row r="20" spans="1:12" ht="18" customHeight="1" x14ac:dyDescent="0.35">
      <c r="A20" s="821">
        <v>12</v>
      </c>
      <c r="B20" s="827"/>
      <c r="C20" s="159"/>
      <c r="D20" s="995" t="s">
        <v>921</v>
      </c>
      <c r="E20" s="1331"/>
      <c r="F20" s="1332"/>
      <c r="G20" s="1333"/>
      <c r="H20" s="1334"/>
      <c r="I20" s="1335"/>
      <c r="J20" s="986">
        <v>18664</v>
      </c>
      <c r="K20" s="1428">
        <f t="shared" si="0"/>
        <v>18664</v>
      </c>
      <c r="L20" s="1327"/>
    </row>
    <row r="21" spans="1:12" ht="18" customHeight="1" x14ac:dyDescent="0.35">
      <c r="A21" s="821">
        <v>13</v>
      </c>
      <c r="B21" s="827"/>
      <c r="C21" s="159"/>
      <c r="D21" s="994" t="s">
        <v>973</v>
      </c>
      <c r="E21" s="1032"/>
      <c r="F21" s="1338"/>
      <c r="G21" s="1339"/>
      <c r="H21" s="1340"/>
      <c r="I21" s="1192"/>
      <c r="J21" s="949">
        <v>18664</v>
      </c>
      <c r="K21" s="922">
        <f>SUM(E21:J21)</f>
        <v>18664</v>
      </c>
      <c r="L21" s="1327"/>
    </row>
    <row r="22" spans="1:12" ht="19.5" customHeight="1" x14ac:dyDescent="0.3">
      <c r="A22" s="821">
        <v>14</v>
      </c>
      <c r="B22" s="827"/>
      <c r="C22" s="159">
        <v>4</v>
      </c>
      <c r="D22" s="830" t="s">
        <v>403</v>
      </c>
      <c r="E22" s="1019">
        <f>F22+G22+K24+L23</f>
        <v>25000</v>
      </c>
      <c r="F22" s="1324">
        <v>5000</v>
      </c>
      <c r="G22" s="1325">
        <v>10000</v>
      </c>
      <c r="H22" s="1326" t="s">
        <v>23</v>
      </c>
      <c r="I22" s="944"/>
      <c r="J22" s="984"/>
      <c r="K22" s="985"/>
      <c r="L22" s="1327"/>
    </row>
    <row r="23" spans="1:12" ht="18" customHeight="1" x14ac:dyDescent="0.35">
      <c r="A23" s="821">
        <v>15</v>
      </c>
      <c r="B23" s="827"/>
      <c r="C23" s="159"/>
      <c r="D23" s="983" t="s">
        <v>252</v>
      </c>
      <c r="E23" s="1331"/>
      <c r="F23" s="1332"/>
      <c r="G23" s="1333"/>
      <c r="H23" s="1334"/>
      <c r="I23" s="1335"/>
      <c r="J23" s="1336">
        <v>10000</v>
      </c>
      <c r="K23" s="1337">
        <f t="shared" si="0"/>
        <v>10000</v>
      </c>
      <c r="L23" s="1327"/>
    </row>
    <row r="24" spans="1:12" ht="18" customHeight="1" x14ac:dyDescent="0.35">
      <c r="A24" s="821">
        <v>16</v>
      </c>
      <c r="B24" s="827"/>
      <c r="C24" s="159"/>
      <c r="D24" s="995" t="s">
        <v>921</v>
      </c>
      <c r="E24" s="1331"/>
      <c r="F24" s="1332"/>
      <c r="G24" s="1333"/>
      <c r="H24" s="1334"/>
      <c r="I24" s="1009"/>
      <c r="J24" s="986">
        <v>10000</v>
      </c>
      <c r="K24" s="1428">
        <f t="shared" si="0"/>
        <v>10000</v>
      </c>
      <c r="L24" s="1327"/>
    </row>
    <row r="25" spans="1:12" ht="18" customHeight="1" x14ac:dyDescent="0.35">
      <c r="A25" s="821">
        <v>17</v>
      </c>
      <c r="B25" s="827"/>
      <c r="C25" s="159"/>
      <c r="D25" s="994" t="s">
        <v>973</v>
      </c>
      <c r="E25" s="1032"/>
      <c r="F25" s="1338"/>
      <c r="G25" s="1339"/>
      <c r="H25" s="1340"/>
      <c r="I25" s="1192"/>
      <c r="J25" s="949">
        <v>0</v>
      </c>
      <c r="K25" s="922">
        <f>SUM(E25:J25)</f>
        <v>0</v>
      </c>
      <c r="L25" s="1327"/>
    </row>
    <row r="26" spans="1:12" ht="19.5" customHeight="1" x14ac:dyDescent="0.3">
      <c r="A26" s="821">
        <v>18</v>
      </c>
      <c r="B26" s="827"/>
      <c r="C26" s="159">
        <v>5</v>
      </c>
      <c r="D26" s="830" t="s">
        <v>350</v>
      </c>
      <c r="E26" s="1019">
        <f>F26+G26+K28+L27</f>
        <v>77000</v>
      </c>
      <c r="F26" s="1324"/>
      <c r="G26" s="1325">
        <v>12665</v>
      </c>
      <c r="H26" s="1326" t="s">
        <v>23</v>
      </c>
      <c r="I26" s="944"/>
      <c r="J26" s="984"/>
      <c r="K26" s="985"/>
      <c r="L26" s="1327"/>
    </row>
    <row r="27" spans="1:12" ht="18" customHeight="1" x14ac:dyDescent="0.35">
      <c r="A27" s="821">
        <v>19</v>
      </c>
      <c r="B27" s="827"/>
      <c r="C27" s="159"/>
      <c r="D27" s="983" t="s">
        <v>252</v>
      </c>
      <c r="E27" s="1331"/>
      <c r="F27" s="1332"/>
      <c r="G27" s="1333"/>
      <c r="H27" s="1334"/>
      <c r="I27" s="1335"/>
      <c r="J27" s="1336">
        <f>64335</f>
        <v>64335</v>
      </c>
      <c r="K27" s="1337">
        <f t="shared" si="0"/>
        <v>64335</v>
      </c>
      <c r="L27" s="1327"/>
    </row>
    <row r="28" spans="1:12" ht="18" customHeight="1" x14ac:dyDescent="0.35">
      <c r="A28" s="821">
        <v>20</v>
      </c>
      <c r="B28" s="827"/>
      <c r="C28" s="159"/>
      <c r="D28" s="995" t="s">
        <v>921</v>
      </c>
      <c r="E28" s="1331"/>
      <c r="F28" s="1332"/>
      <c r="G28" s="1333"/>
      <c r="H28" s="1334"/>
      <c r="I28" s="1335"/>
      <c r="J28" s="986">
        <v>64335</v>
      </c>
      <c r="K28" s="1428">
        <f t="shared" si="0"/>
        <v>64335</v>
      </c>
      <c r="L28" s="1327"/>
    </row>
    <row r="29" spans="1:12" ht="18" customHeight="1" x14ac:dyDescent="0.35">
      <c r="A29" s="821">
        <v>21</v>
      </c>
      <c r="B29" s="827"/>
      <c r="C29" s="159"/>
      <c r="D29" s="994" t="s">
        <v>973</v>
      </c>
      <c r="E29" s="1032"/>
      <c r="F29" s="1338"/>
      <c r="G29" s="1339"/>
      <c r="H29" s="1340"/>
      <c r="I29" s="1192"/>
      <c r="J29" s="949">
        <v>19719</v>
      </c>
      <c r="K29" s="922">
        <f>SUM(E29:J29)</f>
        <v>19719</v>
      </c>
      <c r="L29" s="1327"/>
    </row>
    <row r="30" spans="1:12" ht="19.5" customHeight="1" x14ac:dyDescent="0.3">
      <c r="A30" s="821">
        <v>22</v>
      </c>
      <c r="B30" s="827"/>
      <c r="C30" s="159">
        <v>6</v>
      </c>
      <c r="D30" s="830" t="s">
        <v>405</v>
      </c>
      <c r="E30" s="1019">
        <f>F30+G30+K32+L31</f>
        <v>0</v>
      </c>
      <c r="F30" s="1324"/>
      <c r="G30" s="1325"/>
      <c r="H30" s="1326" t="s">
        <v>24</v>
      </c>
      <c r="I30" s="944"/>
      <c r="J30" s="984"/>
      <c r="K30" s="985"/>
      <c r="L30" s="1327"/>
    </row>
    <row r="31" spans="1:12" ht="18" customHeight="1" x14ac:dyDescent="0.35">
      <c r="A31" s="821">
        <v>23</v>
      </c>
      <c r="B31" s="827"/>
      <c r="C31" s="159"/>
      <c r="D31" s="983" t="s">
        <v>252</v>
      </c>
      <c r="E31" s="1331"/>
      <c r="F31" s="1332"/>
      <c r="G31" s="1333"/>
      <c r="H31" s="1334"/>
      <c r="I31" s="1335"/>
      <c r="J31" s="1336">
        <v>3000</v>
      </c>
      <c r="K31" s="1337">
        <f t="shared" si="0"/>
        <v>3000</v>
      </c>
      <c r="L31" s="1327"/>
    </row>
    <row r="32" spans="1:12" ht="18" customHeight="1" x14ac:dyDescent="0.35">
      <c r="A32" s="821">
        <v>24</v>
      </c>
      <c r="B32" s="827"/>
      <c r="C32" s="159"/>
      <c r="D32" s="995" t="s">
        <v>921</v>
      </c>
      <c r="E32" s="1331"/>
      <c r="F32" s="1332"/>
      <c r="G32" s="1333"/>
      <c r="H32" s="1334"/>
      <c r="I32" s="1009"/>
      <c r="J32" s="986">
        <v>0</v>
      </c>
      <c r="K32" s="1428">
        <f t="shared" si="0"/>
        <v>0</v>
      </c>
      <c r="L32" s="1327"/>
    </row>
    <row r="33" spans="1:12" ht="18" customHeight="1" x14ac:dyDescent="0.35">
      <c r="A33" s="821">
        <v>25</v>
      </c>
      <c r="B33" s="827"/>
      <c r="C33" s="159"/>
      <c r="D33" s="994" t="s">
        <v>972</v>
      </c>
      <c r="E33" s="1032"/>
      <c r="F33" s="1338"/>
      <c r="G33" s="1339"/>
      <c r="H33" s="1340"/>
      <c r="I33" s="1192"/>
      <c r="J33" s="949">
        <v>0</v>
      </c>
      <c r="K33" s="922">
        <f>SUM(E33:J33)</f>
        <v>0</v>
      </c>
      <c r="L33" s="1327"/>
    </row>
    <row r="34" spans="1:12" ht="19.5" customHeight="1" x14ac:dyDescent="0.3">
      <c r="A34" s="821">
        <v>26</v>
      </c>
      <c r="B34" s="827"/>
      <c r="C34" s="159">
        <v>7</v>
      </c>
      <c r="D34" s="830" t="s">
        <v>406</v>
      </c>
      <c r="E34" s="1019">
        <f>F34+G34+K36+L35</f>
        <v>7000</v>
      </c>
      <c r="F34" s="1324">
        <v>2000</v>
      </c>
      <c r="G34" s="1325">
        <v>2000</v>
      </c>
      <c r="H34" s="1326" t="s">
        <v>23</v>
      </c>
      <c r="I34" s="944"/>
      <c r="J34" s="984"/>
      <c r="K34" s="985"/>
      <c r="L34" s="1327"/>
    </row>
    <row r="35" spans="1:12" ht="18" customHeight="1" x14ac:dyDescent="0.35">
      <c r="A35" s="821">
        <v>27</v>
      </c>
      <c r="B35" s="827"/>
      <c r="C35" s="159"/>
      <c r="D35" s="983" t="s">
        <v>252</v>
      </c>
      <c r="E35" s="1331"/>
      <c r="F35" s="1332"/>
      <c r="G35" s="1333"/>
      <c r="H35" s="1334"/>
      <c r="I35" s="1335"/>
      <c r="J35" s="1336">
        <v>3000</v>
      </c>
      <c r="K35" s="1337">
        <f t="shared" si="0"/>
        <v>3000</v>
      </c>
      <c r="L35" s="1327"/>
    </row>
    <row r="36" spans="1:12" ht="18" customHeight="1" x14ac:dyDescent="0.35">
      <c r="A36" s="821">
        <v>28</v>
      </c>
      <c r="B36" s="827"/>
      <c r="C36" s="159"/>
      <c r="D36" s="995" t="s">
        <v>921</v>
      </c>
      <c r="E36" s="1331"/>
      <c r="F36" s="1332"/>
      <c r="G36" s="1333"/>
      <c r="H36" s="1334"/>
      <c r="I36" s="1009"/>
      <c r="J36" s="986">
        <v>3000</v>
      </c>
      <c r="K36" s="1428">
        <f t="shared" si="0"/>
        <v>3000</v>
      </c>
      <c r="L36" s="1327"/>
    </row>
    <row r="37" spans="1:12" ht="18" customHeight="1" x14ac:dyDescent="0.35">
      <c r="A37" s="821">
        <v>29</v>
      </c>
      <c r="B37" s="827"/>
      <c r="C37" s="159"/>
      <c r="D37" s="994" t="s">
        <v>973</v>
      </c>
      <c r="E37" s="1032"/>
      <c r="F37" s="1338"/>
      <c r="G37" s="1339"/>
      <c r="H37" s="1340"/>
      <c r="I37" s="1192"/>
      <c r="J37" s="949">
        <v>0</v>
      </c>
      <c r="K37" s="922">
        <f>SUM(E37:J37)</f>
        <v>0</v>
      </c>
      <c r="L37" s="1327"/>
    </row>
    <row r="38" spans="1:12" ht="19.5" customHeight="1" x14ac:dyDescent="0.3">
      <c r="A38" s="821">
        <v>30</v>
      </c>
      <c r="B38" s="827"/>
      <c r="C38" s="159">
        <v>52</v>
      </c>
      <c r="D38" s="830" t="s">
        <v>569</v>
      </c>
      <c r="E38" s="1019">
        <f>F38+G38+K40+L39</f>
        <v>32014</v>
      </c>
      <c r="F38" s="1324"/>
      <c r="G38" s="1325"/>
      <c r="H38" s="1326" t="s">
        <v>24</v>
      </c>
      <c r="I38" s="944"/>
      <c r="J38" s="984"/>
      <c r="K38" s="985"/>
      <c r="L38" s="1327"/>
    </row>
    <row r="39" spans="1:12" ht="18" customHeight="1" x14ac:dyDescent="0.35">
      <c r="A39" s="821">
        <v>31</v>
      </c>
      <c r="B39" s="827"/>
      <c r="C39" s="159"/>
      <c r="D39" s="983" t="s">
        <v>252</v>
      </c>
      <c r="E39" s="1331"/>
      <c r="F39" s="1332"/>
      <c r="G39" s="1333"/>
      <c r="H39" s="1334"/>
      <c r="I39" s="1335"/>
      <c r="J39" s="1336">
        <v>30000</v>
      </c>
      <c r="K39" s="1337">
        <f t="shared" si="0"/>
        <v>30000</v>
      </c>
      <c r="L39" s="1327"/>
    </row>
    <row r="40" spans="1:12" ht="18" customHeight="1" x14ac:dyDescent="0.35">
      <c r="A40" s="821">
        <v>32</v>
      </c>
      <c r="B40" s="827"/>
      <c r="C40" s="159"/>
      <c r="D40" s="995" t="s">
        <v>921</v>
      </c>
      <c r="E40" s="1331"/>
      <c r="F40" s="1332"/>
      <c r="G40" s="1333"/>
      <c r="H40" s="1334"/>
      <c r="I40" s="1009"/>
      <c r="J40" s="986">
        <v>32014</v>
      </c>
      <c r="K40" s="1428">
        <f t="shared" si="0"/>
        <v>32014</v>
      </c>
      <c r="L40" s="1327"/>
    </row>
    <row r="41" spans="1:12" ht="18" customHeight="1" x14ac:dyDescent="0.35">
      <c r="A41" s="821">
        <v>33</v>
      </c>
      <c r="B41" s="827"/>
      <c r="C41" s="159"/>
      <c r="D41" s="994" t="s">
        <v>972</v>
      </c>
      <c r="E41" s="1032"/>
      <c r="F41" s="1338"/>
      <c r="G41" s="1339"/>
      <c r="H41" s="1340"/>
      <c r="I41" s="1192"/>
      <c r="J41" s="949">
        <v>0</v>
      </c>
      <c r="K41" s="922">
        <f>SUM(E41:J41)</f>
        <v>0</v>
      </c>
      <c r="L41" s="1327"/>
    </row>
    <row r="42" spans="1:12" ht="19.5" customHeight="1" x14ac:dyDescent="0.3">
      <c r="A42" s="821">
        <v>34</v>
      </c>
      <c r="B42" s="827"/>
      <c r="C42" s="159">
        <v>53</v>
      </c>
      <c r="D42" s="830" t="s">
        <v>570</v>
      </c>
      <c r="E42" s="1019">
        <f>F42+G42+K44+L43</f>
        <v>3000</v>
      </c>
      <c r="F42" s="1324"/>
      <c r="G42" s="1325"/>
      <c r="H42" s="1326" t="s">
        <v>24</v>
      </c>
      <c r="I42" s="944"/>
      <c r="J42" s="984"/>
      <c r="K42" s="985"/>
      <c r="L42" s="1327"/>
    </row>
    <row r="43" spans="1:12" ht="18" customHeight="1" x14ac:dyDescent="0.35">
      <c r="A43" s="821">
        <v>35</v>
      </c>
      <c r="B43" s="827"/>
      <c r="C43" s="159"/>
      <c r="D43" s="983" t="s">
        <v>252</v>
      </c>
      <c r="E43" s="1331"/>
      <c r="F43" s="1332"/>
      <c r="G43" s="1333"/>
      <c r="H43" s="1334"/>
      <c r="I43" s="1335"/>
      <c r="J43" s="1336">
        <v>3000</v>
      </c>
      <c r="K43" s="1337">
        <f t="shared" si="0"/>
        <v>3000</v>
      </c>
      <c r="L43" s="1327"/>
    </row>
    <row r="44" spans="1:12" ht="18" customHeight="1" x14ac:dyDescent="0.35">
      <c r="A44" s="821">
        <v>36</v>
      </c>
      <c r="B44" s="827"/>
      <c r="C44" s="159"/>
      <c r="D44" s="995" t="s">
        <v>921</v>
      </c>
      <c r="E44" s="1331"/>
      <c r="F44" s="1332"/>
      <c r="G44" s="1333"/>
      <c r="H44" s="1334"/>
      <c r="I44" s="1009"/>
      <c r="J44" s="986">
        <v>3000</v>
      </c>
      <c r="K44" s="1428">
        <f t="shared" si="0"/>
        <v>3000</v>
      </c>
      <c r="L44" s="1327"/>
    </row>
    <row r="45" spans="1:12" ht="18" customHeight="1" x14ac:dyDescent="0.35">
      <c r="A45" s="821">
        <v>37</v>
      </c>
      <c r="B45" s="827"/>
      <c r="C45" s="159"/>
      <c r="D45" s="994" t="s">
        <v>973</v>
      </c>
      <c r="E45" s="1032"/>
      <c r="F45" s="1338"/>
      <c r="G45" s="1339"/>
      <c r="H45" s="1340"/>
      <c r="I45" s="1192"/>
      <c r="J45" s="949">
        <v>0</v>
      </c>
      <c r="K45" s="922">
        <f>SUM(E45:J45)</f>
        <v>0</v>
      </c>
      <c r="L45" s="1327"/>
    </row>
    <row r="46" spans="1:12" ht="19.5" customHeight="1" x14ac:dyDescent="0.3">
      <c r="A46" s="821">
        <v>38</v>
      </c>
      <c r="B46" s="827"/>
      <c r="C46" s="159">
        <v>54</v>
      </c>
      <c r="D46" s="830" t="s">
        <v>571</v>
      </c>
      <c r="E46" s="1019">
        <f>F46+G46+K48+L47</f>
        <v>7000</v>
      </c>
      <c r="F46" s="1324"/>
      <c r="G46" s="1325"/>
      <c r="H46" s="1326" t="s">
        <v>24</v>
      </c>
      <c r="I46" s="944"/>
      <c r="J46" s="984"/>
      <c r="K46" s="985"/>
      <c r="L46" s="1327"/>
    </row>
    <row r="47" spans="1:12" ht="18" customHeight="1" x14ac:dyDescent="0.35">
      <c r="A47" s="821">
        <v>39</v>
      </c>
      <c r="B47" s="827"/>
      <c r="C47" s="159"/>
      <c r="D47" s="983" t="s">
        <v>252</v>
      </c>
      <c r="E47" s="1331"/>
      <c r="F47" s="1332"/>
      <c r="G47" s="1333"/>
      <c r="H47" s="1334"/>
      <c r="I47" s="1335"/>
      <c r="J47" s="1336">
        <v>7000</v>
      </c>
      <c r="K47" s="1337">
        <f t="shared" si="0"/>
        <v>7000</v>
      </c>
      <c r="L47" s="1327"/>
    </row>
    <row r="48" spans="1:12" ht="18" customHeight="1" x14ac:dyDescent="0.35">
      <c r="A48" s="821">
        <v>40</v>
      </c>
      <c r="B48" s="827"/>
      <c r="C48" s="159"/>
      <c r="D48" s="995" t="s">
        <v>921</v>
      </c>
      <c r="E48" s="1331"/>
      <c r="F48" s="1332"/>
      <c r="G48" s="1333"/>
      <c r="H48" s="1334"/>
      <c r="I48" s="1009"/>
      <c r="J48" s="986">
        <v>7000</v>
      </c>
      <c r="K48" s="1428">
        <f t="shared" si="0"/>
        <v>7000</v>
      </c>
      <c r="L48" s="1327"/>
    </row>
    <row r="49" spans="1:12" ht="18" customHeight="1" x14ac:dyDescent="0.35">
      <c r="A49" s="821">
        <v>41</v>
      </c>
      <c r="B49" s="827"/>
      <c r="C49" s="159"/>
      <c r="D49" s="994" t="s">
        <v>973</v>
      </c>
      <c r="E49" s="1032"/>
      <c r="F49" s="1338"/>
      <c r="G49" s="1339"/>
      <c r="H49" s="1340"/>
      <c r="I49" s="1192"/>
      <c r="J49" s="949">
        <v>0</v>
      </c>
      <c r="K49" s="922">
        <f>SUM(E49:J49)</f>
        <v>0</v>
      </c>
      <c r="L49" s="1327"/>
    </row>
    <row r="50" spans="1:12" ht="19.5" customHeight="1" x14ac:dyDescent="0.3">
      <c r="A50" s="821">
        <v>42</v>
      </c>
      <c r="B50" s="827"/>
      <c r="C50" s="159">
        <v>55</v>
      </c>
      <c r="D50" s="830" t="s">
        <v>587</v>
      </c>
      <c r="E50" s="1019">
        <f>F50+G50+K52+L51</f>
        <v>0</v>
      </c>
      <c r="F50" s="1324"/>
      <c r="G50" s="1325"/>
      <c r="H50" s="1326" t="s">
        <v>24</v>
      </c>
      <c r="I50" s="944"/>
      <c r="J50" s="984"/>
      <c r="K50" s="985"/>
      <c r="L50" s="1327"/>
    </row>
    <row r="51" spans="1:12" ht="18" customHeight="1" x14ac:dyDescent="0.35">
      <c r="A51" s="821">
        <v>43</v>
      </c>
      <c r="B51" s="827"/>
      <c r="C51" s="159"/>
      <c r="D51" s="983" t="s">
        <v>252</v>
      </c>
      <c r="E51" s="1331"/>
      <c r="F51" s="1332"/>
      <c r="G51" s="1333"/>
      <c r="H51" s="1334"/>
      <c r="I51" s="1335"/>
      <c r="J51" s="1336">
        <v>1500</v>
      </c>
      <c r="K51" s="1337">
        <f>SUM(I51:J51)</f>
        <v>1500</v>
      </c>
      <c r="L51" s="1327"/>
    </row>
    <row r="52" spans="1:12" ht="18" customHeight="1" x14ac:dyDescent="0.35">
      <c r="A52" s="821">
        <v>44</v>
      </c>
      <c r="B52" s="827"/>
      <c r="C52" s="159"/>
      <c r="D52" s="995" t="s">
        <v>921</v>
      </c>
      <c r="E52" s="1331"/>
      <c r="F52" s="1332"/>
      <c r="G52" s="1333"/>
      <c r="H52" s="1334"/>
      <c r="I52" s="1009"/>
      <c r="J52" s="986">
        <v>0</v>
      </c>
      <c r="K52" s="1428">
        <f>SUM(I52:J52)</f>
        <v>0</v>
      </c>
      <c r="L52" s="1327"/>
    </row>
    <row r="53" spans="1:12" ht="18" customHeight="1" x14ac:dyDescent="0.35">
      <c r="A53" s="821">
        <v>45</v>
      </c>
      <c r="B53" s="827"/>
      <c r="C53" s="159"/>
      <c r="D53" s="994" t="s">
        <v>972</v>
      </c>
      <c r="E53" s="1032"/>
      <c r="F53" s="1338"/>
      <c r="G53" s="1339"/>
      <c r="H53" s="1340"/>
      <c r="I53" s="1192"/>
      <c r="J53" s="949">
        <v>0</v>
      </c>
      <c r="K53" s="922">
        <f>SUM(E53:J53)</f>
        <v>0</v>
      </c>
      <c r="L53" s="1327"/>
    </row>
    <row r="54" spans="1:12" ht="19.5" customHeight="1" x14ac:dyDescent="0.3">
      <c r="A54" s="821">
        <v>46</v>
      </c>
      <c r="B54" s="827"/>
      <c r="C54" s="159">
        <v>14</v>
      </c>
      <c r="D54" s="830" t="s">
        <v>588</v>
      </c>
      <c r="E54" s="1019">
        <f>F54+G54+K56+L55</f>
        <v>5000</v>
      </c>
      <c r="F54" s="1324"/>
      <c r="G54" s="1325"/>
      <c r="H54" s="1326" t="s">
        <v>23</v>
      </c>
      <c r="I54" s="944"/>
      <c r="J54" s="984"/>
      <c r="K54" s="985"/>
      <c r="L54" s="1327"/>
    </row>
    <row r="55" spans="1:12" ht="18" customHeight="1" x14ac:dyDescent="0.35">
      <c r="A55" s="821">
        <v>47</v>
      </c>
      <c r="B55" s="840"/>
      <c r="C55" s="285"/>
      <c r="D55" s="983" t="s">
        <v>252</v>
      </c>
      <c r="E55" s="1331"/>
      <c r="F55" s="1332"/>
      <c r="G55" s="1333"/>
      <c r="H55" s="1334"/>
      <c r="I55" s="1335"/>
      <c r="J55" s="1336">
        <v>5000</v>
      </c>
      <c r="K55" s="1337">
        <f>SUM(I55:J55)</f>
        <v>5000</v>
      </c>
      <c r="L55" s="1536"/>
    </row>
    <row r="56" spans="1:12" ht="18" customHeight="1" x14ac:dyDescent="0.35">
      <c r="A56" s="821">
        <v>48</v>
      </c>
      <c r="B56" s="827"/>
      <c r="C56" s="285"/>
      <c r="D56" s="995" t="s">
        <v>921</v>
      </c>
      <c r="E56" s="1331"/>
      <c r="F56" s="1332"/>
      <c r="G56" s="1333"/>
      <c r="H56" s="1334"/>
      <c r="I56" s="1009"/>
      <c r="J56" s="986">
        <v>5000</v>
      </c>
      <c r="K56" s="1428">
        <f>SUM(I56:J56)</f>
        <v>5000</v>
      </c>
      <c r="L56" s="1024"/>
    </row>
    <row r="57" spans="1:12" ht="18" customHeight="1" x14ac:dyDescent="0.35">
      <c r="A57" s="821">
        <v>49</v>
      </c>
      <c r="B57" s="842"/>
      <c r="C57" s="159"/>
      <c r="D57" s="994" t="s">
        <v>973</v>
      </c>
      <c r="E57" s="1032"/>
      <c r="F57" s="1338"/>
      <c r="G57" s="1339"/>
      <c r="H57" s="1340"/>
      <c r="I57" s="1192"/>
      <c r="J57" s="949">
        <v>0</v>
      </c>
      <c r="K57" s="922">
        <f>SUM(E57:J57)</f>
        <v>0</v>
      </c>
      <c r="L57" s="1023"/>
    </row>
    <row r="58" spans="1:12" ht="19.5" customHeight="1" x14ac:dyDescent="0.3">
      <c r="A58" s="821">
        <v>50</v>
      </c>
      <c r="B58" s="827"/>
      <c r="C58" s="159">
        <v>56</v>
      </c>
      <c r="D58" s="144" t="s">
        <v>670</v>
      </c>
      <c r="E58" s="1019">
        <f>F58+G58+K60+L59</f>
        <v>40000</v>
      </c>
      <c r="F58" s="1324"/>
      <c r="G58" s="1325"/>
      <c r="H58" s="1326" t="s">
        <v>24</v>
      </c>
      <c r="I58" s="944"/>
      <c r="J58" s="984"/>
      <c r="K58" s="987"/>
      <c r="L58" s="1023"/>
    </row>
    <row r="59" spans="1:12" ht="18" customHeight="1" x14ac:dyDescent="0.35">
      <c r="A59" s="821">
        <v>51</v>
      </c>
      <c r="B59" s="827"/>
      <c r="C59" s="159"/>
      <c r="D59" s="983" t="s">
        <v>252</v>
      </c>
      <c r="E59" s="1331"/>
      <c r="F59" s="1332"/>
      <c r="G59" s="1333"/>
      <c r="H59" s="1334"/>
      <c r="I59" s="1335"/>
      <c r="J59" s="1336">
        <v>40000</v>
      </c>
      <c r="K59" s="1337">
        <f>SUM(I59:J59)</f>
        <v>40000</v>
      </c>
      <c r="L59" s="1023"/>
    </row>
    <row r="60" spans="1:12" ht="18" customHeight="1" x14ac:dyDescent="0.35">
      <c r="A60" s="821">
        <v>52</v>
      </c>
      <c r="B60" s="827"/>
      <c r="C60" s="159"/>
      <c r="D60" s="995" t="s">
        <v>921</v>
      </c>
      <c r="E60" s="1331"/>
      <c r="F60" s="1332"/>
      <c r="G60" s="1333"/>
      <c r="H60" s="1334"/>
      <c r="I60" s="1009"/>
      <c r="J60" s="986">
        <v>40000</v>
      </c>
      <c r="K60" s="1428">
        <f>SUM(I60:J60)</f>
        <v>40000</v>
      </c>
      <c r="L60" s="1023"/>
    </row>
    <row r="61" spans="1:12" ht="18" customHeight="1" x14ac:dyDescent="0.35">
      <c r="A61" s="821">
        <v>53</v>
      </c>
      <c r="B61" s="827"/>
      <c r="C61" s="159"/>
      <c r="D61" s="994" t="s">
        <v>973</v>
      </c>
      <c r="E61" s="1032"/>
      <c r="F61" s="1338"/>
      <c r="G61" s="1339"/>
      <c r="H61" s="1340"/>
      <c r="I61" s="1192"/>
      <c r="J61" s="949">
        <v>0</v>
      </c>
      <c r="K61" s="922">
        <f>SUM(E61:J61)</f>
        <v>0</v>
      </c>
      <c r="L61" s="1023"/>
    </row>
    <row r="62" spans="1:12" ht="19.5" customHeight="1" x14ac:dyDescent="0.3">
      <c r="A62" s="821">
        <v>54</v>
      </c>
      <c r="B62" s="827"/>
      <c r="C62" s="159">
        <v>16</v>
      </c>
      <c r="D62" s="830" t="s">
        <v>556</v>
      </c>
      <c r="E62" s="1019">
        <f>F62+G62+K64+L63</f>
        <v>3000</v>
      </c>
      <c r="F62" s="1324"/>
      <c r="G62" s="1325"/>
      <c r="H62" s="1326" t="s">
        <v>24</v>
      </c>
      <c r="I62" s="984"/>
      <c r="J62" s="984"/>
      <c r="K62" s="985"/>
      <c r="L62" s="1023"/>
    </row>
    <row r="63" spans="1:12" ht="18" customHeight="1" x14ac:dyDescent="0.35">
      <c r="A63" s="821">
        <v>55</v>
      </c>
      <c r="B63" s="827"/>
      <c r="C63" s="159"/>
      <c r="D63" s="983" t="s">
        <v>252</v>
      </c>
      <c r="E63" s="1331"/>
      <c r="F63" s="1332"/>
      <c r="G63" s="1333"/>
      <c r="H63" s="1334"/>
      <c r="I63" s="1335"/>
      <c r="J63" s="1336">
        <v>3000</v>
      </c>
      <c r="K63" s="1337">
        <f>SUM(I63:J63)</f>
        <v>3000</v>
      </c>
      <c r="L63" s="1023"/>
    </row>
    <row r="64" spans="1:12" ht="18" customHeight="1" x14ac:dyDescent="0.35">
      <c r="A64" s="821">
        <v>56</v>
      </c>
      <c r="B64" s="827"/>
      <c r="C64" s="159"/>
      <c r="D64" s="995" t="s">
        <v>921</v>
      </c>
      <c r="E64" s="1331"/>
      <c r="F64" s="1332"/>
      <c r="G64" s="1333"/>
      <c r="H64" s="1334"/>
      <c r="I64" s="1009"/>
      <c r="J64" s="986">
        <v>3000</v>
      </c>
      <c r="K64" s="1428">
        <f>SUM(I64:J64)</f>
        <v>3000</v>
      </c>
      <c r="L64" s="1023"/>
    </row>
    <row r="65" spans="1:12" ht="18" customHeight="1" x14ac:dyDescent="0.35">
      <c r="A65" s="821">
        <v>57</v>
      </c>
      <c r="B65" s="827"/>
      <c r="C65" s="159"/>
      <c r="D65" s="994" t="s">
        <v>973</v>
      </c>
      <c r="E65" s="1032"/>
      <c r="F65" s="1338"/>
      <c r="G65" s="1339"/>
      <c r="H65" s="1340"/>
      <c r="I65" s="1192"/>
      <c r="J65" s="949">
        <v>0</v>
      </c>
      <c r="K65" s="922">
        <f>SUM(E65:J65)</f>
        <v>0</v>
      </c>
      <c r="L65" s="1023"/>
    </row>
    <row r="66" spans="1:12" ht="19.5" customHeight="1" x14ac:dyDescent="0.3">
      <c r="A66" s="821">
        <v>58</v>
      </c>
      <c r="B66" s="827"/>
      <c r="C66" s="159">
        <v>18</v>
      </c>
      <c r="D66" s="830" t="s">
        <v>796</v>
      </c>
      <c r="E66" s="1019">
        <f>F66+G66+K68+L67</f>
        <v>380000</v>
      </c>
      <c r="F66" s="1324"/>
      <c r="G66" s="1325"/>
      <c r="H66" s="1326" t="s">
        <v>24</v>
      </c>
      <c r="I66" s="944"/>
      <c r="J66" s="984"/>
      <c r="K66" s="985"/>
      <c r="L66" s="1327"/>
    </row>
    <row r="67" spans="1:12" ht="18" customHeight="1" x14ac:dyDescent="0.35">
      <c r="A67" s="821">
        <v>59</v>
      </c>
      <c r="B67" s="827"/>
      <c r="C67" s="159"/>
      <c r="D67" s="983" t="s">
        <v>252</v>
      </c>
      <c r="E67" s="1331"/>
      <c r="F67" s="1332"/>
      <c r="G67" s="1333"/>
      <c r="H67" s="1334"/>
      <c r="I67" s="1335"/>
      <c r="J67" s="1336">
        <v>380000</v>
      </c>
      <c r="K67" s="1337">
        <f t="shared" si="0"/>
        <v>380000</v>
      </c>
      <c r="L67" s="1327"/>
    </row>
    <row r="68" spans="1:12" ht="18" customHeight="1" x14ac:dyDescent="0.35">
      <c r="A68" s="821">
        <v>60</v>
      </c>
      <c r="B68" s="827"/>
      <c r="C68" s="159"/>
      <c r="D68" s="995" t="s">
        <v>921</v>
      </c>
      <c r="E68" s="1331"/>
      <c r="F68" s="1332"/>
      <c r="G68" s="1333"/>
      <c r="H68" s="1334"/>
      <c r="I68" s="1009"/>
      <c r="J68" s="986">
        <v>380000</v>
      </c>
      <c r="K68" s="1428">
        <f t="shared" si="0"/>
        <v>380000</v>
      </c>
      <c r="L68" s="1023"/>
    </row>
    <row r="69" spans="1:12" ht="18" customHeight="1" x14ac:dyDescent="0.35">
      <c r="A69" s="821">
        <v>61</v>
      </c>
      <c r="B69" s="827"/>
      <c r="C69" s="159"/>
      <c r="D69" s="994" t="s">
        <v>973</v>
      </c>
      <c r="E69" s="1032"/>
      <c r="F69" s="1338"/>
      <c r="G69" s="1339"/>
      <c r="H69" s="1340"/>
      <c r="I69" s="1192"/>
      <c r="J69" s="949">
        <v>112083</v>
      </c>
      <c r="K69" s="922">
        <f>SUM(E69:J69)</f>
        <v>112083</v>
      </c>
      <c r="L69" s="1023"/>
    </row>
    <row r="70" spans="1:12" ht="34.5" customHeight="1" x14ac:dyDescent="0.3">
      <c r="A70" s="821">
        <v>62</v>
      </c>
      <c r="B70" s="827"/>
      <c r="C70" s="143">
        <v>50</v>
      </c>
      <c r="D70" s="830" t="s">
        <v>561</v>
      </c>
      <c r="E70" s="1019">
        <f>F70+G70+K72+L71</f>
        <v>18000</v>
      </c>
      <c r="F70" s="1324"/>
      <c r="G70" s="1325"/>
      <c r="H70" s="1326" t="s">
        <v>23</v>
      </c>
      <c r="I70" s="984"/>
      <c r="J70" s="984"/>
      <c r="K70" s="985"/>
      <c r="L70" s="1023"/>
    </row>
    <row r="71" spans="1:12" ht="18" customHeight="1" x14ac:dyDescent="0.35">
      <c r="A71" s="821">
        <v>63</v>
      </c>
      <c r="B71" s="827"/>
      <c r="C71" s="159"/>
      <c r="D71" s="983" t="s">
        <v>252</v>
      </c>
      <c r="E71" s="1331"/>
      <c r="F71" s="1332"/>
      <c r="G71" s="1333"/>
      <c r="H71" s="1334"/>
      <c r="I71" s="1335"/>
      <c r="J71" s="1336">
        <v>18000</v>
      </c>
      <c r="K71" s="1337">
        <f t="shared" ref="K71:K72" si="1">SUM(I71:J71)</f>
        <v>18000</v>
      </c>
      <c r="L71" s="1023"/>
    </row>
    <row r="72" spans="1:12" ht="18" customHeight="1" x14ac:dyDescent="0.35">
      <c r="A72" s="821">
        <v>64</v>
      </c>
      <c r="B72" s="827"/>
      <c r="C72" s="159"/>
      <c r="D72" s="995" t="s">
        <v>921</v>
      </c>
      <c r="E72" s="1331"/>
      <c r="F72" s="1332"/>
      <c r="G72" s="1333"/>
      <c r="H72" s="1334"/>
      <c r="I72" s="1009"/>
      <c r="J72" s="986">
        <v>18000</v>
      </c>
      <c r="K72" s="1428">
        <f t="shared" si="1"/>
        <v>18000</v>
      </c>
      <c r="L72" s="1023"/>
    </row>
    <row r="73" spans="1:12" ht="18" customHeight="1" x14ac:dyDescent="0.35">
      <c r="A73" s="821">
        <v>65</v>
      </c>
      <c r="B73" s="827"/>
      <c r="C73" s="159"/>
      <c r="D73" s="994" t="s">
        <v>973</v>
      </c>
      <c r="E73" s="1032"/>
      <c r="F73" s="1338"/>
      <c r="G73" s="1339"/>
      <c r="H73" s="1340"/>
      <c r="I73" s="1192"/>
      <c r="J73" s="949">
        <v>17972</v>
      </c>
      <c r="K73" s="922">
        <f>SUM(E73:J73)</f>
        <v>17972</v>
      </c>
      <c r="L73" s="1023"/>
    </row>
    <row r="74" spans="1:12" ht="22.5" customHeight="1" x14ac:dyDescent="0.35">
      <c r="A74" s="821">
        <v>66</v>
      </c>
      <c r="B74" s="827"/>
      <c r="C74" s="159"/>
      <c r="D74" s="1537" t="s">
        <v>407</v>
      </c>
      <c r="E74" s="1019"/>
      <c r="F74" s="1324"/>
      <c r="G74" s="1325"/>
      <c r="H74" s="1326" t="s">
        <v>23</v>
      </c>
      <c r="I74" s="944"/>
      <c r="J74" s="984"/>
      <c r="K74" s="985"/>
      <c r="L74" s="1327"/>
    </row>
    <row r="75" spans="1:12" ht="20.100000000000001" customHeight="1" x14ac:dyDescent="0.3">
      <c r="A75" s="821">
        <v>67</v>
      </c>
      <c r="B75" s="827"/>
      <c r="C75" s="159"/>
      <c r="D75" s="1538" t="s">
        <v>575</v>
      </c>
      <c r="E75" s="1019"/>
      <c r="F75" s="1324"/>
      <c r="G75" s="1325"/>
      <c r="H75" s="1326"/>
      <c r="I75" s="944"/>
      <c r="J75" s="984"/>
      <c r="K75" s="985"/>
      <c r="L75" s="1327"/>
    </row>
    <row r="76" spans="1:12" ht="19.5" customHeight="1" x14ac:dyDescent="0.3">
      <c r="A76" s="821">
        <v>68</v>
      </c>
      <c r="B76" s="827"/>
      <c r="C76" s="159">
        <v>31</v>
      </c>
      <c r="D76" s="1539" t="s">
        <v>574</v>
      </c>
      <c r="E76" s="1019">
        <f>F76+G76+K78+L77</f>
        <v>19800</v>
      </c>
      <c r="F76" s="1324"/>
      <c r="G76" s="1325"/>
      <c r="H76" s="1326"/>
      <c r="I76" s="944"/>
      <c r="J76" s="984"/>
      <c r="K76" s="985"/>
      <c r="L76" s="1327"/>
    </row>
    <row r="77" spans="1:12" ht="18" customHeight="1" x14ac:dyDescent="0.35">
      <c r="A77" s="821">
        <v>69</v>
      </c>
      <c r="B77" s="827"/>
      <c r="C77" s="159"/>
      <c r="D77" s="983" t="s">
        <v>252</v>
      </c>
      <c r="E77" s="1331"/>
      <c r="F77" s="1332"/>
      <c r="G77" s="1333"/>
      <c r="H77" s="1334"/>
      <c r="I77" s="1335"/>
      <c r="J77" s="1336">
        <v>19800</v>
      </c>
      <c r="K77" s="1337">
        <f t="shared" si="0"/>
        <v>19800</v>
      </c>
      <c r="L77" s="1327"/>
    </row>
    <row r="78" spans="1:12" ht="18" customHeight="1" x14ac:dyDescent="0.35">
      <c r="A78" s="821">
        <v>70</v>
      </c>
      <c r="B78" s="827"/>
      <c r="C78" s="159"/>
      <c r="D78" s="995" t="s">
        <v>921</v>
      </c>
      <c r="E78" s="1331"/>
      <c r="F78" s="1332"/>
      <c r="G78" s="1333"/>
      <c r="H78" s="1334"/>
      <c r="I78" s="1335"/>
      <c r="J78" s="986">
        <v>19800</v>
      </c>
      <c r="K78" s="1428">
        <f t="shared" si="0"/>
        <v>19800</v>
      </c>
      <c r="L78" s="1327"/>
    </row>
    <row r="79" spans="1:12" ht="18" customHeight="1" x14ac:dyDescent="0.35">
      <c r="A79" s="821">
        <v>71</v>
      </c>
      <c r="B79" s="827"/>
      <c r="C79" s="159"/>
      <c r="D79" s="994" t="s">
        <v>973</v>
      </c>
      <c r="E79" s="1032"/>
      <c r="F79" s="1338"/>
      <c r="G79" s="1339"/>
      <c r="H79" s="1340"/>
      <c r="I79" s="1192"/>
      <c r="J79" s="949">
        <v>0</v>
      </c>
      <c r="K79" s="922">
        <f>SUM(E79:J79)</f>
        <v>0</v>
      </c>
      <c r="L79" s="1327"/>
    </row>
    <row r="80" spans="1:12" ht="22.5" customHeight="1" x14ac:dyDescent="0.35">
      <c r="A80" s="821">
        <v>72</v>
      </c>
      <c r="B80" s="827"/>
      <c r="C80" s="159"/>
      <c r="D80" s="853" t="s">
        <v>255</v>
      </c>
      <c r="E80" s="1019"/>
      <c r="F80" s="1324"/>
      <c r="G80" s="1325"/>
      <c r="H80" s="1326" t="s">
        <v>23</v>
      </c>
      <c r="I80" s="944"/>
      <c r="J80" s="984"/>
      <c r="K80" s="985"/>
      <c r="L80" s="1327"/>
    </row>
    <row r="81" spans="1:12" ht="19.5" customHeight="1" x14ac:dyDescent="0.3">
      <c r="A81" s="821">
        <v>73</v>
      </c>
      <c r="B81" s="827"/>
      <c r="C81" s="159">
        <v>57</v>
      </c>
      <c r="D81" s="1539" t="s">
        <v>572</v>
      </c>
      <c r="E81" s="1019">
        <f>F81+G81+K83+L82</f>
        <v>14000</v>
      </c>
      <c r="F81" s="1324"/>
      <c r="G81" s="1325"/>
      <c r="H81" s="1326"/>
      <c r="I81" s="944"/>
      <c r="J81" s="984"/>
      <c r="K81" s="985"/>
      <c r="L81" s="1327"/>
    </row>
    <row r="82" spans="1:12" ht="18" customHeight="1" x14ac:dyDescent="0.35">
      <c r="A82" s="821">
        <v>74</v>
      </c>
      <c r="B82" s="827"/>
      <c r="C82" s="159"/>
      <c r="D82" s="983" t="s">
        <v>252</v>
      </c>
      <c r="E82" s="1331"/>
      <c r="F82" s="1332"/>
      <c r="G82" s="1333"/>
      <c r="H82" s="1334"/>
      <c r="I82" s="1335"/>
      <c r="J82" s="1336">
        <v>14000</v>
      </c>
      <c r="K82" s="1337">
        <f t="shared" si="0"/>
        <v>14000</v>
      </c>
      <c r="L82" s="1327"/>
    </row>
    <row r="83" spans="1:12" ht="18" customHeight="1" x14ac:dyDescent="0.35">
      <c r="A83" s="821">
        <v>75</v>
      </c>
      <c r="B83" s="827"/>
      <c r="C83" s="159"/>
      <c r="D83" s="995" t="s">
        <v>921</v>
      </c>
      <c r="E83" s="1331"/>
      <c r="F83" s="1332"/>
      <c r="G83" s="1333"/>
      <c r="H83" s="1334"/>
      <c r="I83" s="1009"/>
      <c r="J83" s="986">
        <v>14000</v>
      </c>
      <c r="K83" s="1428">
        <f t="shared" si="0"/>
        <v>14000</v>
      </c>
      <c r="L83" s="1327"/>
    </row>
    <row r="84" spans="1:12" ht="18" customHeight="1" x14ac:dyDescent="0.35">
      <c r="A84" s="821">
        <v>76</v>
      </c>
      <c r="B84" s="827"/>
      <c r="C84" s="159"/>
      <c r="D84" s="994" t="s">
        <v>973</v>
      </c>
      <c r="E84" s="1032"/>
      <c r="F84" s="1338"/>
      <c r="G84" s="1339"/>
      <c r="H84" s="1340"/>
      <c r="I84" s="1192"/>
      <c r="J84" s="949">
        <v>0</v>
      </c>
      <c r="K84" s="922">
        <f>SUM(E84:J84)</f>
        <v>0</v>
      </c>
      <c r="L84" s="1327"/>
    </row>
    <row r="85" spans="1:12" ht="22.5" customHeight="1" x14ac:dyDescent="0.35">
      <c r="A85" s="821">
        <v>77</v>
      </c>
      <c r="B85" s="827"/>
      <c r="C85" s="159"/>
      <c r="D85" s="853" t="s">
        <v>254</v>
      </c>
      <c r="E85" s="1019"/>
      <c r="F85" s="1324"/>
      <c r="G85" s="1325"/>
      <c r="H85" s="1326" t="s">
        <v>23</v>
      </c>
      <c r="I85" s="944"/>
      <c r="J85" s="984"/>
      <c r="K85" s="985"/>
      <c r="L85" s="1327"/>
    </row>
    <row r="86" spans="1:12" ht="34.5" customHeight="1" x14ac:dyDescent="0.3">
      <c r="A86" s="821">
        <v>78</v>
      </c>
      <c r="B86" s="827"/>
      <c r="C86" s="143">
        <v>20</v>
      </c>
      <c r="D86" s="1539" t="s">
        <v>771</v>
      </c>
      <c r="E86" s="1019">
        <f>F86+G86+K88+L87</f>
        <v>8400</v>
      </c>
      <c r="F86" s="1324"/>
      <c r="G86" s="1325"/>
      <c r="H86" s="1326"/>
      <c r="I86" s="944"/>
      <c r="J86" s="984"/>
      <c r="K86" s="985"/>
      <c r="L86" s="1327"/>
    </row>
    <row r="87" spans="1:12" ht="18" customHeight="1" x14ac:dyDescent="0.35">
      <c r="A87" s="821">
        <v>79</v>
      </c>
      <c r="B87" s="827"/>
      <c r="C87" s="159"/>
      <c r="D87" s="983" t="s">
        <v>252</v>
      </c>
      <c r="E87" s="1331"/>
      <c r="F87" s="1332"/>
      <c r="G87" s="1333"/>
      <c r="H87" s="1334"/>
      <c r="I87" s="1335"/>
      <c r="J87" s="1336">
        <f>2400+4500+1500</f>
        <v>8400</v>
      </c>
      <c r="K87" s="1337">
        <f t="shared" si="0"/>
        <v>8400</v>
      </c>
      <c r="L87" s="1327"/>
    </row>
    <row r="88" spans="1:12" ht="18" customHeight="1" x14ac:dyDescent="0.35">
      <c r="A88" s="821">
        <v>80</v>
      </c>
      <c r="B88" s="827"/>
      <c r="C88" s="159"/>
      <c r="D88" s="995" t="s">
        <v>921</v>
      </c>
      <c r="E88" s="1331"/>
      <c r="F88" s="1332"/>
      <c r="G88" s="1333"/>
      <c r="H88" s="1334"/>
      <c r="I88" s="1009"/>
      <c r="J88" s="986">
        <v>8400</v>
      </c>
      <c r="K88" s="1428">
        <f t="shared" si="0"/>
        <v>8400</v>
      </c>
      <c r="L88" s="1327"/>
    </row>
    <row r="89" spans="1:12" ht="18" customHeight="1" x14ac:dyDescent="0.35">
      <c r="A89" s="821">
        <v>81</v>
      </c>
      <c r="B89" s="827"/>
      <c r="C89" s="159"/>
      <c r="D89" s="994" t="s">
        <v>973</v>
      </c>
      <c r="E89" s="1032"/>
      <c r="F89" s="1338"/>
      <c r="G89" s="1339"/>
      <c r="H89" s="1340"/>
      <c r="I89" s="1192"/>
      <c r="J89" s="949">
        <v>0</v>
      </c>
      <c r="K89" s="922">
        <f>SUM(E89:J89)</f>
        <v>0</v>
      </c>
      <c r="L89" s="1327"/>
    </row>
    <row r="90" spans="1:12" ht="22.5" customHeight="1" x14ac:dyDescent="0.35">
      <c r="A90" s="821">
        <v>82</v>
      </c>
      <c r="B90" s="827"/>
      <c r="C90" s="159"/>
      <c r="D90" s="1540" t="s">
        <v>408</v>
      </c>
      <c r="E90" s="1019"/>
      <c r="F90" s="1324"/>
      <c r="G90" s="1325"/>
      <c r="H90" s="1326" t="s">
        <v>23</v>
      </c>
      <c r="I90" s="944"/>
      <c r="J90" s="984"/>
      <c r="K90" s="985"/>
      <c r="L90" s="1327"/>
    </row>
    <row r="91" spans="1:12" ht="22.5" customHeight="1" x14ac:dyDescent="0.3">
      <c r="A91" s="821">
        <v>83</v>
      </c>
      <c r="B91" s="827"/>
      <c r="C91" s="159"/>
      <c r="D91" s="1541" t="s">
        <v>274</v>
      </c>
      <c r="E91" s="1019"/>
      <c r="F91" s="1324"/>
      <c r="G91" s="1325"/>
      <c r="H91" s="1326"/>
      <c r="I91" s="944"/>
      <c r="J91" s="984"/>
      <c r="K91" s="985"/>
      <c r="L91" s="1327"/>
    </row>
    <row r="92" spans="1:12" ht="20.100000000000001" customHeight="1" x14ac:dyDescent="0.3">
      <c r="A92" s="821">
        <v>84</v>
      </c>
      <c r="B92" s="827"/>
      <c r="C92" s="159"/>
      <c r="D92" s="1542" t="s">
        <v>576</v>
      </c>
      <c r="E92" s="1019"/>
      <c r="F92" s="1324"/>
      <c r="G92" s="1325"/>
      <c r="H92" s="1326"/>
      <c r="I92" s="944"/>
      <c r="J92" s="984"/>
      <c r="K92" s="985"/>
      <c r="L92" s="1327"/>
    </row>
    <row r="93" spans="1:12" ht="19.5" customHeight="1" x14ac:dyDescent="0.3">
      <c r="A93" s="821">
        <v>85</v>
      </c>
      <c r="B93" s="827"/>
      <c r="C93" s="159">
        <v>58</v>
      </c>
      <c r="D93" s="1539" t="s">
        <v>577</v>
      </c>
      <c r="E93" s="1019">
        <f>F93+G93+K95+L94</f>
        <v>1100</v>
      </c>
      <c r="F93" s="1324"/>
      <c r="G93" s="1325"/>
      <c r="H93" s="1326"/>
      <c r="I93" s="944"/>
      <c r="J93" s="984"/>
      <c r="K93" s="985"/>
      <c r="L93" s="1327"/>
    </row>
    <row r="94" spans="1:12" ht="18" customHeight="1" x14ac:dyDescent="0.35">
      <c r="A94" s="821">
        <v>86</v>
      </c>
      <c r="B94" s="827"/>
      <c r="C94" s="159"/>
      <c r="D94" s="983" t="s">
        <v>252</v>
      </c>
      <c r="E94" s="1331"/>
      <c r="F94" s="1332"/>
      <c r="G94" s="1333"/>
      <c r="H94" s="1334"/>
      <c r="I94" s="1335"/>
      <c r="J94" s="1336">
        <v>1100</v>
      </c>
      <c r="K94" s="1337">
        <f t="shared" si="0"/>
        <v>1100</v>
      </c>
      <c r="L94" s="1327"/>
    </row>
    <row r="95" spans="1:12" ht="18" customHeight="1" x14ac:dyDescent="0.35">
      <c r="A95" s="821">
        <v>87</v>
      </c>
      <c r="B95" s="827"/>
      <c r="C95" s="159"/>
      <c r="D95" s="995" t="s">
        <v>921</v>
      </c>
      <c r="E95" s="1331"/>
      <c r="F95" s="1332"/>
      <c r="G95" s="1333"/>
      <c r="H95" s="1334"/>
      <c r="I95" s="1009"/>
      <c r="J95" s="986">
        <v>1100</v>
      </c>
      <c r="K95" s="1428">
        <f t="shared" si="0"/>
        <v>1100</v>
      </c>
      <c r="L95" s="1327"/>
    </row>
    <row r="96" spans="1:12" ht="18" customHeight="1" x14ac:dyDescent="0.35">
      <c r="A96" s="821">
        <v>88</v>
      </c>
      <c r="B96" s="827"/>
      <c r="C96" s="159"/>
      <c r="D96" s="994" t="s">
        <v>973</v>
      </c>
      <c r="E96" s="1032"/>
      <c r="F96" s="1338"/>
      <c r="G96" s="1339"/>
      <c r="H96" s="1340"/>
      <c r="I96" s="1192"/>
      <c r="J96" s="949">
        <v>0</v>
      </c>
      <c r="K96" s="922">
        <f>SUM(E96:J96)</f>
        <v>0</v>
      </c>
      <c r="L96" s="1327"/>
    </row>
    <row r="97" spans="1:12" ht="19.5" customHeight="1" x14ac:dyDescent="0.3">
      <c r="A97" s="821">
        <v>89</v>
      </c>
      <c r="B97" s="827"/>
      <c r="C97" s="159">
        <v>59</v>
      </c>
      <c r="D97" s="1539" t="s">
        <v>578</v>
      </c>
      <c r="E97" s="1019">
        <f>F97+G97+K99+L98</f>
        <v>3000</v>
      </c>
      <c r="F97" s="1324"/>
      <c r="G97" s="1325"/>
      <c r="H97" s="1326"/>
      <c r="I97" s="944"/>
      <c r="J97" s="984"/>
      <c r="K97" s="985"/>
      <c r="L97" s="1327"/>
    </row>
    <row r="98" spans="1:12" ht="18" customHeight="1" x14ac:dyDescent="0.35">
      <c r="A98" s="821">
        <v>90</v>
      </c>
      <c r="B98" s="827"/>
      <c r="C98" s="159"/>
      <c r="D98" s="983" t="s">
        <v>252</v>
      </c>
      <c r="E98" s="1331"/>
      <c r="F98" s="1332"/>
      <c r="G98" s="1333"/>
      <c r="H98" s="1334"/>
      <c r="I98" s="1335"/>
      <c r="J98" s="1336">
        <v>3000</v>
      </c>
      <c r="K98" s="1337">
        <f t="shared" si="0"/>
        <v>3000</v>
      </c>
      <c r="L98" s="1327"/>
    </row>
    <row r="99" spans="1:12" ht="18" customHeight="1" x14ac:dyDescent="0.35">
      <c r="A99" s="821">
        <v>91</v>
      </c>
      <c r="B99" s="827"/>
      <c r="C99" s="159"/>
      <c r="D99" s="995" t="s">
        <v>921</v>
      </c>
      <c r="E99" s="1331"/>
      <c r="F99" s="1332"/>
      <c r="G99" s="1333"/>
      <c r="H99" s="1334"/>
      <c r="I99" s="1009"/>
      <c r="J99" s="986">
        <v>3000</v>
      </c>
      <c r="K99" s="1428">
        <f t="shared" si="0"/>
        <v>3000</v>
      </c>
      <c r="L99" s="1327"/>
    </row>
    <row r="100" spans="1:12" ht="18" customHeight="1" x14ac:dyDescent="0.35">
      <c r="A100" s="821">
        <v>92</v>
      </c>
      <c r="B100" s="827"/>
      <c r="C100" s="159"/>
      <c r="D100" s="994" t="s">
        <v>973</v>
      </c>
      <c r="E100" s="1032"/>
      <c r="F100" s="1338"/>
      <c r="G100" s="1339"/>
      <c r="H100" s="1340"/>
      <c r="I100" s="1192"/>
      <c r="J100" s="949">
        <v>0</v>
      </c>
      <c r="K100" s="922">
        <f>SUM(E100:J100)</f>
        <v>0</v>
      </c>
      <c r="L100" s="1327"/>
    </row>
    <row r="101" spans="1:12" ht="33.75" customHeight="1" x14ac:dyDescent="0.3">
      <c r="A101" s="821">
        <v>93</v>
      </c>
      <c r="B101" s="827"/>
      <c r="C101" s="143">
        <v>49</v>
      </c>
      <c r="D101" s="1539" t="s">
        <v>770</v>
      </c>
      <c r="E101" s="1019">
        <f>F101+G101+K103+L102</f>
        <v>3150</v>
      </c>
      <c r="F101" s="1324"/>
      <c r="G101" s="1325"/>
      <c r="H101" s="1326"/>
      <c r="I101" s="944"/>
      <c r="J101" s="984"/>
      <c r="K101" s="985"/>
      <c r="L101" s="1327"/>
    </row>
    <row r="102" spans="1:12" ht="18" customHeight="1" x14ac:dyDescent="0.35">
      <c r="A102" s="821">
        <v>94</v>
      </c>
      <c r="B102" s="827"/>
      <c r="C102" s="159"/>
      <c r="D102" s="983" t="s">
        <v>252</v>
      </c>
      <c r="E102" s="1331"/>
      <c r="F102" s="1332"/>
      <c r="G102" s="1333"/>
      <c r="H102" s="1334"/>
      <c r="I102" s="1335"/>
      <c r="J102" s="1336">
        <v>3150</v>
      </c>
      <c r="K102" s="1337">
        <f t="shared" si="0"/>
        <v>3150</v>
      </c>
      <c r="L102" s="1327"/>
    </row>
    <row r="103" spans="1:12" ht="18" customHeight="1" x14ac:dyDescent="0.35">
      <c r="A103" s="821">
        <v>95</v>
      </c>
      <c r="B103" s="827"/>
      <c r="C103" s="159"/>
      <c r="D103" s="995" t="s">
        <v>921</v>
      </c>
      <c r="E103" s="1331"/>
      <c r="F103" s="1332"/>
      <c r="G103" s="1333"/>
      <c r="H103" s="1334"/>
      <c r="I103" s="1009"/>
      <c r="J103" s="986">
        <v>3150</v>
      </c>
      <c r="K103" s="1428">
        <f t="shared" si="0"/>
        <v>3150</v>
      </c>
      <c r="L103" s="1327"/>
    </row>
    <row r="104" spans="1:12" ht="18" customHeight="1" x14ac:dyDescent="0.35">
      <c r="A104" s="821">
        <v>96</v>
      </c>
      <c r="B104" s="827"/>
      <c r="C104" s="159"/>
      <c r="D104" s="994" t="s">
        <v>973</v>
      </c>
      <c r="E104" s="1032"/>
      <c r="F104" s="1338"/>
      <c r="G104" s="1339"/>
      <c r="H104" s="1340"/>
      <c r="I104" s="1192"/>
      <c r="J104" s="949">
        <v>3041</v>
      </c>
      <c r="K104" s="922">
        <f>SUM(E104:J104)</f>
        <v>3041</v>
      </c>
      <c r="L104" s="1327"/>
    </row>
    <row r="105" spans="1:12" ht="18" customHeight="1" x14ac:dyDescent="0.3">
      <c r="A105" s="821">
        <v>97</v>
      </c>
      <c r="B105" s="827"/>
      <c r="C105" s="159"/>
      <c r="D105" s="1542" t="s">
        <v>297</v>
      </c>
      <c r="E105" s="1019"/>
      <c r="F105" s="1324"/>
      <c r="G105" s="1325"/>
      <c r="H105" s="1326"/>
      <c r="I105" s="944"/>
      <c r="J105" s="984"/>
      <c r="K105" s="985"/>
      <c r="L105" s="1327"/>
    </row>
    <row r="106" spans="1:12" ht="19.5" customHeight="1" x14ac:dyDescent="0.3">
      <c r="A106" s="821">
        <v>98</v>
      </c>
      <c r="B106" s="827"/>
      <c r="C106" s="159">
        <v>60</v>
      </c>
      <c r="D106" s="1539" t="s">
        <v>579</v>
      </c>
      <c r="E106" s="1019">
        <f>F106+G106+K108+L107</f>
        <v>8500</v>
      </c>
      <c r="F106" s="1324"/>
      <c r="G106" s="1325"/>
      <c r="H106" s="1326"/>
      <c r="I106" s="944"/>
      <c r="J106" s="984"/>
      <c r="K106" s="985"/>
      <c r="L106" s="1327"/>
    </row>
    <row r="107" spans="1:12" ht="18" customHeight="1" x14ac:dyDescent="0.35">
      <c r="A107" s="821">
        <v>99</v>
      </c>
      <c r="B107" s="827"/>
      <c r="C107" s="159"/>
      <c r="D107" s="983" t="s">
        <v>252</v>
      </c>
      <c r="E107" s="1331"/>
      <c r="F107" s="1332"/>
      <c r="G107" s="1333"/>
      <c r="H107" s="1334"/>
      <c r="I107" s="1335"/>
      <c r="J107" s="1336">
        <v>8500</v>
      </c>
      <c r="K107" s="1337">
        <f t="shared" si="0"/>
        <v>8500</v>
      </c>
      <c r="L107" s="1327"/>
    </row>
    <row r="108" spans="1:12" ht="18" customHeight="1" x14ac:dyDescent="0.35">
      <c r="A108" s="821">
        <v>100</v>
      </c>
      <c r="B108" s="827"/>
      <c r="C108" s="159"/>
      <c r="D108" s="995" t="s">
        <v>921</v>
      </c>
      <c r="E108" s="1331"/>
      <c r="F108" s="1332"/>
      <c r="G108" s="1333"/>
      <c r="H108" s="1334"/>
      <c r="I108" s="1009"/>
      <c r="J108" s="986">
        <v>8500</v>
      </c>
      <c r="K108" s="1428">
        <f t="shared" si="0"/>
        <v>8500</v>
      </c>
      <c r="L108" s="1327"/>
    </row>
    <row r="109" spans="1:12" ht="18" customHeight="1" x14ac:dyDescent="0.35">
      <c r="A109" s="821">
        <v>101</v>
      </c>
      <c r="B109" s="827"/>
      <c r="C109" s="159"/>
      <c r="D109" s="994" t="s">
        <v>973</v>
      </c>
      <c r="E109" s="1032"/>
      <c r="F109" s="1338"/>
      <c r="G109" s="1339"/>
      <c r="H109" s="1340"/>
      <c r="I109" s="1192"/>
      <c r="J109" s="949">
        <v>0</v>
      </c>
      <c r="K109" s="922">
        <f>SUM(E109:J109)</f>
        <v>0</v>
      </c>
      <c r="L109" s="1327"/>
    </row>
    <row r="110" spans="1:12" ht="19.5" customHeight="1" x14ac:dyDescent="0.3">
      <c r="A110" s="821">
        <v>102</v>
      </c>
      <c r="B110" s="827"/>
      <c r="C110" s="159">
        <v>61</v>
      </c>
      <c r="D110" s="1539" t="s">
        <v>797</v>
      </c>
      <c r="E110" s="1019">
        <f>F110+G110+K112+L111</f>
        <v>34500</v>
      </c>
      <c r="F110" s="1324"/>
      <c r="G110" s="1325"/>
      <c r="H110" s="1326"/>
      <c r="I110" s="944"/>
      <c r="J110" s="984"/>
      <c r="K110" s="985"/>
      <c r="L110" s="1327"/>
    </row>
    <row r="111" spans="1:12" ht="18" customHeight="1" x14ac:dyDescent="0.35">
      <c r="A111" s="821">
        <v>103</v>
      </c>
      <c r="B111" s="827"/>
      <c r="C111" s="159"/>
      <c r="D111" s="983" t="s">
        <v>252</v>
      </c>
      <c r="E111" s="1331"/>
      <c r="F111" s="1332"/>
      <c r="G111" s="1333"/>
      <c r="H111" s="1334"/>
      <c r="I111" s="1335"/>
      <c r="J111" s="1336">
        <v>34500</v>
      </c>
      <c r="K111" s="1337">
        <f t="shared" si="0"/>
        <v>34500</v>
      </c>
      <c r="L111" s="1327"/>
    </row>
    <row r="112" spans="1:12" ht="18" customHeight="1" x14ac:dyDescent="0.35">
      <c r="A112" s="821">
        <v>104</v>
      </c>
      <c r="B112" s="827"/>
      <c r="C112" s="159"/>
      <c r="D112" s="995" t="s">
        <v>921</v>
      </c>
      <c r="E112" s="1331"/>
      <c r="F112" s="1332"/>
      <c r="G112" s="1333"/>
      <c r="H112" s="1334"/>
      <c r="I112" s="1009"/>
      <c r="J112" s="986">
        <v>34500</v>
      </c>
      <c r="K112" s="1428">
        <f t="shared" si="0"/>
        <v>34500</v>
      </c>
      <c r="L112" s="1327"/>
    </row>
    <row r="113" spans="1:12" ht="18" customHeight="1" x14ac:dyDescent="0.35">
      <c r="A113" s="821">
        <v>105</v>
      </c>
      <c r="B113" s="827"/>
      <c r="C113" s="159"/>
      <c r="D113" s="994" t="s">
        <v>973</v>
      </c>
      <c r="E113" s="1032"/>
      <c r="F113" s="1338"/>
      <c r="G113" s="1339"/>
      <c r="H113" s="1340"/>
      <c r="I113" s="1192"/>
      <c r="J113" s="949">
        <v>0</v>
      </c>
      <c r="K113" s="922">
        <f>SUM(E113:J113)</f>
        <v>0</v>
      </c>
      <c r="L113" s="1327"/>
    </row>
    <row r="114" spans="1:12" ht="19.5" customHeight="1" x14ac:dyDescent="0.3">
      <c r="A114" s="821">
        <v>106</v>
      </c>
      <c r="B114" s="827"/>
      <c r="C114" s="159">
        <v>62</v>
      </c>
      <c r="D114" s="1539" t="s">
        <v>580</v>
      </c>
      <c r="E114" s="1019">
        <f>F114+G114+K116+L115</f>
        <v>5000</v>
      </c>
      <c r="F114" s="1324"/>
      <c r="G114" s="1325"/>
      <c r="H114" s="1326"/>
      <c r="I114" s="944"/>
      <c r="J114" s="984"/>
      <c r="K114" s="985"/>
      <c r="L114" s="1327"/>
    </row>
    <row r="115" spans="1:12" ht="18" customHeight="1" x14ac:dyDescent="0.35">
      <c r="A115" s="821">
        <v>107</v>
      </c>
      <c r="B115" s="827"/>
      <c r="C115" s="159"/>
      <c r="D115" s="983" t="s">
        <v>252</v>
      </c>
      <c r="E115" s="1331"/>
      <c r="F115" s="1332"/>
      <c r="G115" s="1333"/>
      <c r="H115" s="1334"/>
      <c r="I115" s="1335"/>
      <c r="J115" s="1336">
        <v>5000</v>
      </c>
      <c r="K115" s="1337">
        <f t="shared" si="0"/>
        <v>5000</v>
      </c>
      <c r="L115" s="1327"/>
    </row>
    <row r="116" spans="1:12" ht="18" customHeight="1" x14ac:dyDescent="0.35">
      <c r="A116" s="821">
        <v>108</v>
      </c>
      <c r="B116" s="827"/>
      <c r="C116" s="159"/>
      <c r="D116" s="995" t="s">
        <v>921</v>
      </c>
      <c r="E116" s="1331"/>
      <c r="F116" s="1332"/>
      <c r="G116" s="1333"/>
      <c r="H116" s="1334"/>
      <c r="I116" s="1009"/>
      <c r="J116" s="986">
        <v>5000</v>
      </c>
      <c r="K116" s="1428">
        <f t="shared" si="0"/>
        <v>5000</v>
      </c>
      <c r="L116" s="1327"/>
    </row>
    <row r="117" spans="1:12" ht="18" customHeight="1" x14ac:dyDescent="0.35">
      <c r="A117" s="821">
        <v>109</v>
      </c>
      <c r="B117" s="827"/>
      <c r="C117" s="159"/>
      <c r="D117" s="994" t="s">
        <v>973</v>
      </c>
      <c r="E117" s="1032"/>
      <c r="F117" s="1338"/>
      <c r="G117" s="1339"/>
      <c r="H117" s="1340"/>
      <c r="I117" s="1192"/>
      <c r="J117" s="949">
        <v>0</v>
      </c>
      <c r="K117" s="922">
        <f>SUM(E117:J117)</f>
        <v>0</v>
      </c>
      <c r="L117" s="1327"/>
    </row>
    <row r="118" spans="1:12" ht="18" customHeight="1" x14ac:dyDescent="0.3">
      <c r="A118" s="821">
        <v>110</v>
      </c>
      <c r="B118" s="827"/>
      <c r="C118" s="159"/>
      <c r="D118" s="1542" t="s">
        <v>581</v>
      </c>
      <c r="E118" s="1019"/>
      <c r="F118" s="1324"/>
      <c r="G118" s="1325"/>
      <c r="H118" s="1326"/>
      <c r="I118" s="944"/>
      <c r="J118" s="984"/>
      <c r="K118" s="985"/>
      <c r="L118" s="1327"/>
    </row>
    <row r="119" spans="1:12" ht="19.5" customHeight="1" x14ac:dyDescent="0.3">
      <c r="A119" s="821">
        <v>111</v>
      </c>
      <c r="B119" s="827"/>
      <c r="C119" s="159">
        <v>63</v>
      </c>
      <c r="D119" s="1539" t="s">
        <v>582</v>
      </c>
      <c r="E119" s="1019">
        <f>F119+G119+K121+L120</f>
        <v>16500</v>
      </c>
      <c r="F119" s="1324"/>
      <c r="G119" s="1325"/>
      <c r="H119" s="1326"/>
      <c r="I119" s="944"/>
      <c r="J119" s="984"/>
      <c r="K119" s="985"/>
      <c r="L119" s="1327"/>
    </row>
    <row r="120" spans="1:12" ht="18" customHeight="1" x14ac:dyDescent="0.35">
      <c r="A120" s="821">
        <v>112</v>
      </c>
      <c r="B120" s="827"/>
      <c r="C120" s="159"/>
      <c r="D120" s="983" t="s">
        <v>252</v>
      </c>
      <c r="E120" s="1331"/>
      <c r="F120" s="1332"/>
      <c r="G120" s="1333"/>
      <c r="H120" s="1334"/>
      <c r="I120" s="1335"/>
      <c r="J120" s="1336">
        <v>16500</v>
      </c>
      <c r="K120" s="1337">
        <f t="shared" si="0"/>
        <v>16500</v>
      </c>
      <c r="L120" s="1327"/>
    </row>
    <row r="121" spans="1:12" ht="18" customHeight="1" x14ac:dyDescent="0.35">
      <c r="A121" s="821">
        <v>113</v>
      </c>
      <c r="B121" s="827"/>
      <c r="C121" s="159"/>
      <c r="D121" s="995" t="s">
        <v>921</v>
      </c>
      <c r="E121" s="1331"/>
      <c r="F121" s="1332"/>
      <c r="G121" s="1333"/>
      <c r="H121" s="1334"/>
      <c r="I121" s="1009"/>
      <c r="J121" s="986">
        <v>16500</v>
      </c>
      <c r="K121" s="1428">
        <f t="shared" si="0"/>
        <v>16500</v>
      </c>
      <c r="L121" s="1327"/>
    </row>
    <row r="122" spans="1:12" ht="18" customHeight="1" x14ac:dyDescent="0.35">
      <c r="A122" s="821">
        <v>114</v>
      </c>
      <c r="B122" s="827"/>
      <c r="C122" s="159"/>
      <c r="D122" s="994" t="s">
        <v>973</v>
      </c>
      <c r="E122" s="1032"/>
      <c r="F122" s="1338"/>
      <c r="G122" s="1339"/>
      <c r="H122" s="1340"/>
      <c r="I122" s="1192"/>
      <c r="J122" s="949">
        <v>0</v>
      </c>
      <c r="K122" s="922">
        <f>SUM(E122:J122)</f>
        <v>0</v>
      </c>
      <c r="L122" s="1327"/>
    </row>
    <row r="123" spans="1:12" ht="22.5" customHeight="1" x14ac:dyDescent="0.35">
      <c r="A123" s="821">
        <v>115</v>
      </c>
      <c r="B123" s="827"/>
      <c r="C123" s="159"/>
      <c r="D123" s="1540" t="s">
        <v>583</v>
      </c>
      <c r="E123" s="1019"/>
      <c r="F123" s="1324"/>
      <c r="G123" s="1325"/>
      <c r="H123" s="1326" t="s">
        <v>23</v>
      </c>
      <c r="I123" s="944"/>
      <c r="J123" s="984"/>
      <c r="K123" s="985"/>
      <c r="L123" s="1327"/>
    </row>
    <row r="124" spans="1:12" ht="19.5" customHeight="1" x14ac:dyDescent="0.3">
      <c r="A124" s="821">
        <v>116</v>
      </c>
      <c r="B124" s="827"/>
      <c r="C124" s="159">
        <v>64</v>
      </c>
      <c r="D124" s="1539" t="s">
        <v>584</v>
      </c>
      <c r="E124" s="1019">
        <f>F124+G124+K126+L125</f>
        <v>10500</v>
      </c>
      <c r="F124" s="1324"/>
      <c r="G124" s="1325"/>
      <c r="H124" s="1326"/>
      <c r="I124" s="944"/>
      <c r="J124" s="984"/>
      <c r="K124" s="985"/>
      <c r="L124" s="1327"/>
    </row>
    <row r="125" spans="1:12" ht="18" customHeight="1" x14ac:dyDescent="0.35">
      <c r="A125" s="821">
        <v>117</v>
      </c>
      <c r="B125" s="827"/>
      <c r="C125" s="159"/>
      <c r="D125" s="983" t="s">
        <v>252</v>
      </c>
      <c r="E125" s="1331"/>
      <c r="F125" s="1332"/>
      <c r="G125" s="1333"/>
      <c r="H125" s="1334"/>
      <c r="I125" s="1335"/>
      <c r="J125" s="1336">
        <f>8500+2000</f>
        <v>10500</v>
      </c>
      <c r="K125" s="1337">
        <f t="shared" si="0"/>
        <v>10500</v>
      </c>
      <c r="L125" s="1327"/>
    </row>
    <row r="126" spans="1:12" ht="18" customHeight="1" x14ac:dyDescent="0.35">
      <c r="A126" s="821">
        <v>118</v>
      </c>
      <c r="B126" s="827"/>
      <c r="C126" s="159"/>
      <c r="D126" s="995" t="s">
        <v>921</v>
      </c>
      <c r="E126" s="1331"/>
      <c r="F126" s="1332"/>
      <c r="G126" s="1333"/>
      <c r="H126" s="1334"/>
      <c r="I126" s="1009"/>
      <c r="J126" s="986">
        <v>10500</v>
      </c>
      <c r="K126" s="1428">
        <f t="shared" si="0"/>
        <v>10500</v>
      </c>
      <c r="L126" s="1327"/>
    </row>
    <row r="127" spans="1:12" ht="18" customHeight="1" x14ac:dyDescent="0.35">
      <c r="A127" s="821">
        <v>119</v>
      </c>
      <c r="B127" s="827"/>
      <c r="C127" s="159"/>
      <c r="D127" s="994" t="s">
        <v>973</v>
      </c>
      <c r="E127" s="1032"/>
      <c r="F127" s="1338"/>
      <c r="G127" s="1339"/>
      <c r="H127" s="1340"/>
      <c r="I127" s="1192"/>
      <c r="J127" s="949">
        <v>0</v>
      </c>
      <c r="K127" s="922">
        <f>SUM(E127:J127)</f>
        <v>0</v>
      </c>
      <c r="L127" s="1327"/>
    </row>
    <row r="128" spans="1:12" ht="19.5" customHeight="1" x14ac:dyDescent="0.3">
      <c r="A128" s="821">
        <v>120</v>
      </c>
      <c r="B128" s="827"/>
      <c r="C128" s="159">
        <v>65</v>
      </c>
      <c r="D128" s="1539" t="s">
        <v>585</v>
      </c>
      <c r="E128" s="1019">
        <f>F128+G128+K130+L129</f>
        <v>4000</v>
      </c>
      <c r="F128" s="1324"/>
      <c r="G128" s="1325"/>
      <c r="H128" s="1326"/>
      <c r="I128" s="944"/>
      <c r="J128" s="984"/>
      <c r="K128" s="985"/>
      <c r="L128" s="1327"/>
    </row>
    <row r="129" spans="1:12" ht="18" customHeight="1" x14ac:dyDescent="0.35">
      <c r="A129" s="821">
        <v>121</v>
      </c>
      <c r="B129" s="827"/>
      <c r="C129" s="159"/>
      <c r="D129" s="983" t="s">
        <v>252</v>
      </c>
      <c r="E129" s="1331"/>
      <c r="F129" s="1332"/>
      <c r="G129" s="1333"/>
      <c r="H129" s="1334"/>
      <c r="I129" s="1335"/>
      <c r="J129" s="1336">
        <v>4000</v>
      </c>
      <c r="K129" s="1337">
        <f t="shared" si="0"/>
        <v>4000</v>
      </c>
      <c r="L129" s="1327"/>
    </row>
    <row r="130" spans="1:12" ht="18" customHeight="1" x14ac:dyDescent="0.35">
      <c r="A130" s="821">
        <v>122</v>
      </c>
      <c r="B130" s="827"/>
      <c r="C130" s="159"/>
      <c r="D130" s="995" t="s">
        <v>921</v>
      </c>
      <c r="E130" s="1331"/>
      <c r="F130" s="1332"/>
      <c r="G130" s="1333"/>
      <c r="H130" s="1334"/>
      <c r="I130" s="1009"/>
      <c r="J130" s="986">
        <v>4000</v>
      </c>
      <c r="K130" s="1428">
        <f t="shared" si="0"/>
        <v>4000</v>
      </c>
      <c r="L130" s="1327"/>
    </row>
    <row r="131" spans="1:12" ht="18" customHeight="1" x14ac:dyDescent="0.35">
      <c r="A131" s="821">
        <v>123</v>
      </c>
      <c r="B131" s="827"/>
      <c r="C131" s="159"/>
      <c r="D131" s="994" t="s">
        <v>973</v>
      </c>
      <c r="E131" s="1032"/>
      <c r="F131" s="1338"/>
      <c r="G131" s="1339"/>
      <c r="H131" s="1340"/>
      <c r="I131" s="1192"/>
      <c r="J131" s="949">
        <v>0</v>
      </c>
      <c r="K131" s="922">
        <f>SUM(E131:J131)</f>
        <v>0</v>
      </c>
      <c r="L131" s="1327"/>
    </row>
    <row r="132" spans="1:12" ht="19.5" customHeight="1" x14ac:dyDescent="0.3">
      <c r="A132" s="821">
        <v>124</v>
      </c>
      <c r="B132" s="827"/>
      <c r="C132" s="159">
        <v>66</v>
      </c>
      <c r="D132" s="1539" t="s">
        <v>798</v>
      </c>
      <c r="E132" s="1019">
        <f>F132+G132+K134+L133</f>
        <v>4200</v>
      </c>
      <c r="F132" s="1324"/>
      <c r="G132" s="1325"/>
      <c r="H132" s="1326"/>
      <c r="I132" s="944"/>
      <c r="J132" s="984"/>
      <c r="K132" s="985"/>
      <c r="L132" s="1327"/>
    </row>
    <row r="133" spans="1:12" ht="18" customHeight="1" x14ac:dyDescent="0.35">
      <c r="A133" s="821">
        <v>125</v>
      </c>
      <c r="B133" s="827"/>
      <c r="C133" s="159"/>
      <c r="D133" s="983" t="s">
        <v>252</v>
      </c>
      <c r="E133" s="1331"/>
      <c r="F133" s="1332"/>
      <c r="G133" s="1333"/>
      <c r="H133" s="1334"/>
      <c r="I133" s="1335"/>
      <c r="J133" s="1336">
        <f>6200-2000</f>
        <v>4200</v>
      </c>
      <c r="K133" s="1337">
        <f t="shared" si="0"/>
        <v>4200</v>
      </c>
      <c r="L133" s="1327"/>
    </row>
    <row r="134" spans="1:12" ht="18" customHeight="1" x14ac:dyDescent="0.35">
      <c r="A134" s="821">
        <v>126</v>
      </c>
      <c r="B134" s="827"/>
      <c r="C134" s="159"/>
      <c r="D134" s="995" t="s">
        <v>921</v>
      </c>
      <c r="E134" s="1331"/>
      <c r="F134" s="1332"/>
      <c r="G134" s="1333"/>
      <c r="H134" s="1334"/>
      <c r="I134" s="1009"/>
      <c r="J134" s="986">
        <v>4200</v>
      </c>
      <c r="K134" s="1428">
        <f t="shared" si="0"/>
        <v>4200</v>
      </c>
      <c r="L134" s="1327"/>
    </row>
    <row r="135" spans="1:12" ht="18" customHeight="1" x14ac:dyDescent="0.35">
      <c r="A135" s="821">
        <v>127</v>
      </c>
      <c r="B135" s="827"/>
      <c r="C135" s="159"/>
      <c r="D135" s="994" t="s">
        <v>973</v>
      </c>
      <c r="E135" s="1032"/>
      <c r="F135" s="1338"/>
      <c r="G135" s="1339"/>
      <c r="H135" s="1340"/>
      <c r="I135" s="1192"/>
      <c r="J135" s="949">
        <v>0</v>
      </c>
      <c r="K135" s="922">
        <f>SUM(E135:J135)</f>
        <v>0</v>
      </c>
      <c r="L135" s="1327"/>
    </row>
    <row r="136" spans="1:12" ht="19.5" customHeight="1" x14ac:dyDescent="0.3">
      <c r="A136" s="821">
        <v>128</v>
      </c>
      <c r="B136" s="827"/>
      <c r="C136" s="159">
        <v>67</v>
      </c>
      <c r="D136" s="1539" t="s">
        <v>804</v>
      </c>
      <c r="E136" s="1019">
        <f>F136+G136+K138+L137</f>
        <v>41000</v>
      </c>
      <c r="F136" s="1324"/>
      <c r="G136" s="1325"/>
      <c r="H136" s="1326"/>
      <c r="I136" s="944"/>
      <c r="J136" s="984"/>
      <c r="K136" s="985"/>
      <c r="L136" s="1327"/>
    </row>
    <row r="137" spans="1:12" ht="18" customHeight="1" x14ac:dyDescent="0.35">
      <c r="A137" s="821">
        <v>129</v>
      </c>
      <c r="B137" s="827"/>
      <c r="C137" s="159"/>
      <c r="D137" s="983" t="s">
        <v>252</v>
      </c>
      <c r="E137" s="1331"/>
      <c r="F137" s="1332"/>
      <c r="G137" s="1333"/>
      <c r="H137" s="1334"/>
      <c r="I137" s="1335"/>
      <c r="J137" s="1336">
        <v>41000</v>
      </c>
      <c r="K137" s="1337">
        <f t="shared" si="0"/>
        <v>41000</v>
      </c>
      <c r="L137" s="1327"/>
    </row>
    <row r="138" spans="1:12" ht="18" customHeight="1" x14ac:dyDescent="0.35">
      <c r="A138" s="821">
        <v>130</v>
      </c>
      <c r="B138" s="827"/>
      <c r="C138" s="159"/>
      <c r="D138" s="995" t="s">
        <v>921</v>
      </c>
      <c r="E138" s="1331"/>
      <c r="F138" s="1332"/>
      <c r="G138" s="1333"/>
      <c r="H138" s="1334"/>
      <c r="I138" s="1009"/>
      <c r="J138" s="986">
        <v>41000</v>
      </c>
      <c r="K138" s="1428">
        <f t="shared" si="0"/>
        <v>41000</v>
      </c>
      <c r="L138" s="1327"/>
    </row>
    <row r="139" spans="1:12" ht="18" customHeight="1" x14ac:dyDescent="0.35">
      <c r="A139" s="821">
        <v>131</v>
      </c>
      <c r="B139" s="827"/>
      <c r="C139" s="159"/>
      <c r="D139" s="994" t="s">
        <v>973</v>
      </c>
      <c r="E139" s="1032"/>
      <c r="F139" s="1338"/>
      <c r="G139" s="1339"/>
      <c r="H139" s="1340"/>
      <c r="I139" s="1192"/>
      <c r="J139" s="949">
        <v>0</v>
      </c>
      <c r="K139" s="922">
        <f>SUM(E139:J139)</f>
        <v>0</v>
      </c>
      <c r="L139" s="1327"/>
    </row>
    <row r="140" spans="1:12" ht="22.5" customHeight="1" x14ac:dyDescent="0.35">
      <c r="A140" s="821">
        <v>132</v>
      </c>
      <c r="B140" s="827"/>
      <c r="C140" s="159"/>
      <c r="D140" s="1540" t="s">
        <v>310</v>
      </c>
      <c r="E140" s="1019"/>
      <c r="F140" s="1324"/>
      <c r="G140" s="1325"/>
      <c r="H140" s="1326" t="s">
        <v>23</v>
      </c>
      <c r="I140" s="944"/>
      <c r="J140" s="984"/>
      <c r="K140" s="985"/>
      <c r="L140" s="1327"/>
    </row>
    <row r="141" spans="1:12" ht="19.5" customHeight="1" x14ac:dyDescent="0.3">
      <c r="A141" s="821">
        <v>133</v>
      </c>
      <c r="B141" s="827"/>
      <c r="C141" s="159">
        <v>12</v>
      </c>
      <c r="D141" s="1539" t="s">
        <v>409</v>
      </c>
      <c r="E141" s="1019">
        <f>F141+G141+K143+L142</f>
        <v>23000</v>
      </c>
      <c r="F141" s="1324">
        <v>5000</v>
      </c>
      <c r="G141" s="1325"/>
      <c r="H141" s="1326"/>
      <c r="I141" s="944"/>
      <c r="J141" s="984"/>
      <c r="K141" s="985"/>
      <c r="L141" s="1327"/>
    </row>
    <row r="142" spans="1:12" ht="18" customHeight="1" x14ac:dyDescent="0.35">
      <c r="A142" s="821">
        <v>134</v>
      </c>
      <c r="B142" s="827"/>
      <c r="C142" s="159"/>
      <c r="D142" s="983" t="s">
        <v>252</v>
      </c>
      <c r="E142" s="1331"/>
      <c r="F142" s="1332"/>
      <c r="G142" s="1333"/>
      <c r="H142" s="1334"/>
      <c r="I142" s="1335"/>
      <c r="J142" s="1336">
        <v>18000</v>
      </c>
      <c r="K142" s="1337">
        <f t="shared" si="0"/>
        <v>18000</v>
      </c>
      <c r="L142" s="1327"/>
    </row>
    <row r="143" spans="1:12" ht="18" customHeight="1" x14ac:dyDescent="0.35">
      <c r="A143" s="821">
        <v>135</v>
      </c>
      <c r="B143" s="827"/>
      <c r="C143" s="159"/>
      <c r="D143" s="995" t="s">
        <v>921</v>
      </c>
      <c r="E143" s="1331"/>
      <c r="F143" s="1332"/>
      <c r="G143" s="1333"/>
      <c r="H143" s="1334"/>
      <c r="I143" s="1009"/>
      <c r="J143" s="986">
        <v>18000</v>
      </c>
      <c r="K143" s="1428">
        <f t="shared" si="0"/>
        <v>18000</v>
      </c>
      <c r="L143" s="1327"/>
    </row>
    <row r="144" spans="1:12" ht="18" customHeight="1" x14ac:dyDescent="0.35">
      <c r="A144" s="821">
        <v>136</v>
      </c>
      <c r="B144" s="827"/>
      <c r="C144" s="159"/>
      <c r="D144" s="994" t="s">
        <v>973</v>
      </c>
      <c r="E144" s="1032"/>
      <c r="F144" s="1338"/>
      <c r="G144" s="1339"/>
      <c r="H144" s="1340"/>
      <c r="I144" s="1192"/>
      <c r="J144" s="949">
        <v>76</v>
      </c>
      <c r="K144" s="922">
        <f>SUM(E144:J144)</f>
        <v>76</v>
      </c>
      <c r="L144" s="1327"/>
    </row>
    <row r="145" spans="1:12" ht="18" customHeight="1" x14ac:dyDescent="0.3">
      <c r="A145" s="821">
        <v>137</v>
      </c>
      <c r="B145" s="827"/>
      <c r="C145" s="159"/>
      <c r="D145" s="1542" t="s">
        <v>557</v>
      </c>
      <c r="E145" s="1019"/>
      <c r="F145" s="1324"/>
      <c r="G145" s="1325"/>
      <c r="H145" s="1326"/>
      <c r="I145" s="944"/>
      <c r="J145" s="984"/>
      <c r="K145" s="985"/>
      <c r="L145" s="1327"/>
    </row>
    <row r="146" spans="1:12" ht="19.5" customHeight="1" x14ac:dyDescent="0.3">
      <c r="A146" s="821">
        <v>138</v>
      </c>
      <c r="B146" s="827"/>
      <c r="C146" s="159">
        <v>68</v>
      </c>
      <c r="D146" s="1543" t="s">
        <v>833</v>
      </c>
      <c r="E146" s="1019">
        <f>F146+G146+K148+L147</f>
        <v>3000</v>
      </c>
      <c r="F146" s="1324"/>
      <c r="G146" s="1325"/>
      <c r="H146" s="1326"/>
      <c r="I146" s="944"/>
      <c r="J146" s="984"/>
      <c r="K146" s="985"/>
      <c r="L146" s="1327"/>
    </row>
    <row r="147" spans="1:12" ht="18" customHeight="1" x14ac:dyDescent="0.35">
      <c r="A147" s="821">
        <v>139</v>
      </c>
      <c r="B147" s="827"/>
      <c r="C147" s="159"/>
      <c r="D147" s="983" t="s">
        <v>252</v>
      </c>
      <c r="E147" s="1331"/>
      <c r="F147" s="1332"/>
      <c r="G147" s="1333"/>
      <c r="H147" s="1334"/>
      <c r="I147" s="1335"/>
      <c r="J147" s="1336">
        <v>3000</v>
      </c>
      <c r="K147" s="1337">
        <f t="shared" si="0"/>
        <v>3000</v>
      </c>
      <c r="L147" s="1327"/>
    </row>
    <row r="148" spans="1:12" ht="18" customHeight="1" x14ac:dyDescent="0.35">
      <c r="A148" s="821">
        <v>140</v>
      </c>
      <c r="B148" s="827"/>
      <c r="C148" s="159"/>
      <c r="D148" s="995" t="s">
        <v>921</v>
      </c>
      <c r="E148" s="1331"/>
      <c r="F148" s="1332"/>
      <c r="G148" s="1333"/>
      <c r="H148" s="1334"/>
      <c r="I148" s="1009"/>
      <c r="J148" s="986">
        <v>3000</v>
      </c>
      <c r="K148" s="1428">
        <f t="shared" si="0"/>
        <v>3000</v>
      </c>
      <c r="L148" s="1327"/>
    </row>
    <row r="149" spans="1:12" ht="18" customHeight="1" x14ac:dyDescent="0.35">
      <c r="A149" s="821">
        <v>141</v>
      </c>
      <c r="B149" s="827"/>
      <c r="C149" s="159"/>
      <c r="D149" s="994" t="s">
        <v>973</v>
      </c>
      <c r="E149" s="1032"/>
      <c r="F149" s="1338"/>
      <c r="G149" s="1339"/>
      <c r="H149" s="1340"/>
      <c r="I149" s="1192"/>
      <c r="J149" s="949">
        <v>0</v>
      </c>
      <c r="K149" s="922">
        <f>SUM(E149:J149)</f>
        <v>0</v>
      </c>
      <c r="L149" s="1327"/>
    </row>
    <row r="150" spans="1:12" ht="18" customHeight="1" x14ac:dyDescent="0.3">
      <c r="A150" s="821">
        <v>142</v>
      </c>
      <c r="B150" s="827"/>
      <c r="C150" s="159"/>
      <c r="D150" s="1542" t="s">
        <v>558</v>
      </c>
      <c r="E150" s="1019"/>
      <c r="F150" s="1324"/>
      <c r="G150" s="1325"/>
      <c r="H150" s="1326"/>
      <c r="I150" s="944"/>
      <c r="J150" s="984"/>
      <c r="K150" s="985"/>
      <c r="L150" s="1327"/>
    </row>
    <row r="151" spans="1:12" ht="19.5" customHeight="1" x14ac:dyDescent="0.3">
      <c r="A151" s="821">
        <v>143</v>
      </c>
      <c r="B151" s="827"/>
      <c r="C151" s="159">
        <v>69</v>
      </c>
      <c r="D151" s="1543" t="s">
        <v>559</v>
      </c>
      <c r="E151" s="1019">
        <f>F151+G151+K153+L152</f>
        <v>10500</v>
      </c>
      <c r="F151" s="1324"/>
      <c r="G151" s="1325"/>
      <c r="H151" s="1326"/>
      <c r="I151" s="944"/>
      <c r="J151" s="984"/>
      <c r="K151" s="985"/>
      <c r="L151" s="1327"/>
    </row>
    <row r="152" spans="1:12" ht="18" customHeight="1" x14ac:dyDescent="0.35">
      <c r="A152" s="821">
        <v>144</v>
      </c>
      <c r="B152" s="827"/>
      <c r="C152" s="159"/>
      <c r="D152" s="983" t="s">
        <v>252</v>
      </c>
      <c r="E152" s="1331"/>
      <c r="F152" s="1332"/>
      <c r="G152" s="1333"/>
      <c r="H152" s="1334"/>
      <c r="I152" s="1335"/>
      <c r="J152" s="1336">
        <v>10500</v>
      </c>
      <c r="K152" s="1337">
        <f t="shared" si="0"/>
        <v>10500</v>
      </c>
      <c r="L152" s="1327"/>
    </row>
    <row r="153" spans="1:12" ht="18" customHeight="1" x14ac:dyDescent="0.35">
      <c r="A153" s="821">
        <v>145</v>
      </c>
      <c r="B153" s="827"/>
      <c r="C153" s="159"/>
      <c r="D153" s="995" t="s">
        <v>921</v>
      </c>
      <c r="E153" s="1331"/>
      <c r="F153" s="1332"/>
      <c r="G153" s="1333"/>
      <c r="H153" s="1334"/>
      <c r="I153" s="1009"/>
      <c r="J153" s="986">
        <v>10500</v>
      </c>
      <c r="K153" s="1428">
        <f t="shared" si="0"/>
        <v>10500</v>
      </c>
      <c r="L153" s="1327"/>
    </row>
    <row r="154" spans="1:12" ht="18" customHeight="1" x14ac:dyDescent="0.35">
      <c r="A154" s="821">
        <v>146</v>
      </c>
      <c r="B154" s="827"/>
      <c r="C154" s="159"/>
      <c r="D154" s="994" t="s">
        <v>973</v>
      </c>
      <c r="E154" s="1032"/>
      <c r="F154" s="1338"/>
      <c r="G154" s="1339"/>
      <c r="H154" s="1340"/>
      <c r="I154" s="1192"/>
      <c r="J154" s="949">
        <v>0</v>
      </c>
      <c r="K154" s="922">
        <f>SUM(E154:J154)</f>
        <v>0</v>
      </c>
      <c r="L154" s="1327"/>
    </row>
    <row r="155" spans="1:12" ht="19.5" customHeight="1" x14ac:dyDescent="0.3">
      <c r="A155" s="821">
        <v>147</v>
      </c>
      <c r="B155" s="827"/>
      <c r="C155" s="159">
        <v>51</v>
      </c>
      <c r="D155" s="1543" t="s">
        <v>560</v>
      </c>
      <c r="E155" s="1019">
        <f>F155+G155+K157+L156</f>
        <v>2564</v>
      </c>
      <c r="F155" s="1324"/>
      <c r="G155" s="1325"/>
      <c r="H155" s="1326"/>
      <c r="I155" s="944"/>
      <c r="J155" s="984"/>
      <c r="K155" s="985"/>
      <c r="L155" s="1327"/>
    </row>
    <row r="156" spans="1:12" ht="18" customHeight="1" x14ac:dyDescent="0.35">
      <c r="A156" s="821">
        <v>148</v>
      </c>
      <c r="B156" s="827"/>
      <c r="C156" s="159"/>
      <c r="D156" s="983" t="s">
        <v>252</v>
      </c>
      <c r="E156" s="1331"/>
      <c r="F156" s="1332"/>
      <c r="G156" s="1333"/>
      <c r="H156" s="1334"/>
      <c r="I156" s="1335"/>
      <c r="J156" s="1336">
        <v>2564</v>
      </c>
      <c r="K156" s="1337">
        <f t="shared" si="0"/>
        <v>2564</v>
      </c>
      <c r="L156" s="1327"/>
    </row>
    <row r="157" spans="1:12" ht="18" customHeight="1" x14ac:dyDescent="0.35">
      <c r="A157" s="821">
        <v>149</v>
      </c>
      <c r="B157" s="827"/>
      <c r="C157" s="159"/>
      <c r="D157" s="995" t="s">
        <v>921</v>
      </c>
      <c r="E157" s="1331"/>
      <c r="F157" s="1332"/>
      <c r="G157" s="1333"/>
      <c r="H157" s="1334"/>
      <c r="I157" s="1009"/>
      <c r="J157" s="986">
        <v>2564</v>
      </c>
      <c r="K157" s="1428">
        <f t="shared" si="0"/>
        <v>2564</v>
      </c>
      <c r="L157" s="1023"/>
    </row>
    <row r="158" spans="1:12" ht="18" customHeight="1" x14ac:dyDescent="0.35">
      <c r="A158" s="821">
        <v>150</v>
      </c>
      <c r="B158" s="827"/>
      <c r="C158" s="159"/>
      <c r="D158" s="994" t="s">
        <v>973</v>
      </c>
      <c r="E158" s="1032"/>
      <c r="F158" s="1338"/>
      <c r="G158" s="1339"/>
      <c r="H158" s="1340"/>
      <c r="I158" s="1192"/>
      <c r="J158" s="949">
        <v>2564</v>
      </c>
      <c r="K158" s="922">
        <f>SUM(E158:J158)</f>
        <v>2564</v>
      </c>
      <c r="L158" s="1023"/>
    </row>
    <row r="159" spans="1:12" ht="22.5" customHeight="1" x14ac:dyDescent="0.35">
      <c r="A159" s="821">
        <v>151</v>
      </c>
      <c r="B159" s="827"/>
      <c r="C159" s="159"/>
      <c r="D159" s="1544" t="s">
        <v>944</v>
      </c>
      <c r="E159" s="1019"/>
      <c r="F159" s="1324"/>
      <c r="G159" s="1325"/>
      <c r="H159" s="1326" t="s">
        <v>23</v>
      </c>
      <c r="I159" s="984"/>
      <c r="J159" s="984"/>
      <c r="K159" s="987"/>
      <c r="L159" s="1023"/>
    </row>
    <row r="160" spans="1:12" ht="19.5" customHeight="1" x14ac:dyDescent="0.3">
      <c r="A160" s="821">
        <v>152</v>
      </c>
      <c r="B160" s="827"/>
      <c r="C160" s="159">
        <v>43</v>
      </c>
      <c r="D160" s="1543" t="s">
        <v>563</v>
      </c>
      <c r="E160" s="1019">
        <f>F160+G160+K162+L161</f>
        <v>25065</v>
      </c>
      <c r="F160" s="1324"/>
      <c r="G160" s="1325"/>
      <c r="H160" s="1326"/>
      <c r="I160" s="984"/>
      <c r="J160" s="984"/>
      <c r="K160" s="987"/>
      <c r="L160" s="1023"/>
    </row>
    <row r="161" spans="1:12" ht="18" customHeight="1" x14ac:dyDescent="0.35">
      <c r="A161" s="821">
        <v>153</v>
      </c>
      <c r="B161" s="827"/>
      <c r="C161" s="159"/>
      <c r="D161" s="983" t="s">
        <v>252</v>
      </c>
      <c r="E161" s="1331"/>
      <c r="F161" s="1332"/>
      <c r="G161" s="1333"/>
      <c r="H161" s="1334"/>
      <c r="I161" s="1335"/>
      <c r="J161" s="1336">
        <v>25065</v>
      </c>
      <c r="K161" s="1337">
        <f>SUM(I161:J161)</f>
        <v>25065</v>
      </c>
      <c r="L161" s="1023"/>
    </row>
    <row r="162" spans="1:12" ht="18" customHeight="1" x14ac:dyDescent="0.35">
      <c r="A162" s="821">
        <v>154</v>
      </c>
      <c r="B162" s="827"/>
      <c r="C162" s="159"/>
      <c r="D162" s="995" t="s">
        <v>921</v>
      </c>
      <c r="E162" s="1331"/>
      <c r="F162" s="1332"/>
      <c r="G162" s="1333"/>
      <c r="H162" s="1334"/>
      <c r="I162" s="1009"/>
      <c r="J162" s="986">
        <v>25065</v>
      </c>
      <c r="K162" s="1428">
        <f>SUM(I162:J162)</f>
        <v>25065</v>
      </c>
      <c r="L162" s="1023"/>
    </row>
    <row r="163" spans="1:12" ht="18" customHeight="1" x14ac:dyDescent="0.35">
      <c r="A163" s="821">
        <v>155</v>
      </c>
      <c r="B163" s="827"/>
      <c r="C163" s="159"/>
      <c r="D163" s="994" t="s">
        <v>973</v>
      </c>
      <c r="E163" s="1032"/>
      <c r="F163" s="1338"/>
      <c r="G163" s="1339"/>
      <c r="H163" s="1340"/>
      <c r="I163" s="1192"/>
      <c r="J163" s="949">
        <v>0</v>
      </c>
      <c r="K163" s="922">
        <f>SUM(E163:J163)</f>
        <v>0</v>
      </c>
      <c r="L163" s="1023"/>
    </row>
    <row r="164" spans="1:12" ht="19.5" customHeight="1" x14ac:dyDescent="0.3">
      <c r="A164" s="821">
        <v>156</v>
      </c>
      <c r="B164" s="827"/>
      <c r="C164" s="159">
        <v>48</v>
      </c>
      <c r="D164" s="1543" t="s">
        <v>562</v>
      </c>
      <c r="E164" s="1019">
        <f>F164+G164+K166+L165</f>
        <v>5500</v>
      </c>
      <c r="F164" s="1324"/>
      <c r="G164" s="1325"/>
      <c r="H164" s="1326" t="s">
        <v>23</v>
      </c>
      <c r="I164" s="984"/>
      <c r="J164" s="984"/>
      <c r="K164" s="987"/>
      <c r="L164" s="1023"/>
    </row>
    <row r="165" spans="1:12" ht="18" customHeight="1" x14ac:dyDescent="0.35">
      <c r="A165" s="821">
        <v>157</v>
      </c>
      <c r="B165" s="827"/>
      <c r="C165" s="159"/>
      <c r="D165" s="983" t="s">
        <v>252</v>
      </c>
      <c r="E165" s="1331"/>
      <c r="F165" s="1332"/>
      <c r="G165" s="1333"/>
      <c r="H165" s="1334"/>
      <c r="I165" s="1335"/>
      <c r="J165" s="1336">
        <v>5500</v>
      </c>
      <c r="K165" s="1337">
        <f>SUM(I165:J165)</f>
        <v>5500</v>
      </c>
      <c r="L165" s="1023"/>
    </row>
    <row r="166" spans="1:12" ht="18" customHeight="1" x14ac:dyDescent="0.35">
      <c r="A166" s="821">
        <v>158</v>
      </c>
      <c r="B166" s="827"/>
      <c r="C166" s="159"/>
      <c r="D166" s="995" t="s">
        <v>921</v>
      </c>
      <c r="E166" s="1331"/>
      <c r="F166" s="1332"/>
      <c r="G166" s="1333"/>
      <c r="H166" s="1334"/>
      <c r="I166" s="1009"/>
      <c r="J166" s="986">
        <v>5500</v>
      </c>
      <c r="K166" s="1428">
        <f>SUM(I166:J166)</f>
        <v>5500</v>
      </c>
      <c r="L166" s="1023"/>
    </row>
    <row r="167" spans="1:12" ht="18" customHeight="1" x14ac:dyDescent="0.35">
      <c r="A167" s="821">
        <v>159</v>
      </c>
      <c r="B167" s="827"/>
      <c r="C167" s="159"/>
      <c r="D167" s="994" t="s">
        <v>973</v>
      </c>
      <c r="E167" s="1032"/>
      <c r="F167" s="1338"/>
      <c r="G167" s="1339"/>
      <c r="H167" s="1340"/>
      <c r="I167" s="1192"/>
      <c r="J167" s="949">
        <v>0</v>
      </c>
      <c r="K167" s="922">
        <f>SUM(E167:J167)</f>
        <v>0</v>
      </c>
      <c r="L167" s="1023"/>
    </row>
    <row r="168" spans="1:12" ht="22.5" customHeight="1" x14ac:dyDescent="0.35">
      <c r="A168" s="821">
        <v>160</v>
      </c>
      <c r="B168" s="827"/>
      <c r="C168" s="159"/>
      <c r="D168" s="1545" t="s">
        <v>306</v>
      </c>
      <c r="E168" s="1019"/>
      <c r="F168" s="1324"/>
      <c r="G168" s="1325"/>
      <c r="H168" s="1326" t="s">
        <v>23</v>
      </c>
      <c r="I168" s="944"/>
      <c r="J168" s="984"/>
      <c r="K168" s="985"/>
      <c r="L168" s="1327"/>
    </row>
    <row r="169" spans="1:12" ht="19.5" customHeight="1" x14ac:dyDescent="0.3">
      <c r="A169" s="821">
        <v>161</v>
      </c>
      <c r="B169" s="827"/>
      <c r="C169" s="159">
        <v>70</v>
      </c>
      <c r="D169" s="1539" t="s">
        <v>566</v>
      </c>
      <c r="E169" s="1019"/>
      <c r="F169" s="1324"/>
      <c r="G169" s="1325"/>
      <c r="H169" s="1326"/>
      <c r="I169" s="944"/>
      <c r="J169" s="984"/>
      <c r="K169" s="985"/>
      <c r="L169" s="1327"/>
    </row>
    <row r="170" spans="1:12" ht="18" customHeight="1" x14ac:dyDescent="0.3">
      <c r="A170" s="821">
        <v>162</v>
      </c>
      <c r="B170" s="827"/>
      <c r="C170" s="159"/>
      <c r="D170" s="1543" t="s">
        <v>567</v>
      </c>
      <c r="E170" s="1019">
        <f>F170+G170+K172+L171</f>
        <v>26000</v>
      </c>
      <c r="F170" s="1324"/>
      <c r="G170" s="1325"/>
      <c r="H170" s="1326"/>
      <c r="I170" s="944"/>
      <c r="J170" s="984"/>
      <c r="K170" s="987"/>
      <c r="L170" s="1327"/>
    </row>
    <row r="171" spans="1:12" ht="18" customHeight="1" x14ac:dyDescent="0.35">
      <c r="A171" s="821">
        <v>163</v>
      </c>
      <c r="B171" s="827"/>
      <c r="C171" s="159"/>
      <c r="D171" s="983" t="s">
        <v>252</v>
      </c>
      <c r="E171" s="1331"/>
      <c r="F171" s="1332"/>
      <c r="G171" s="1333"/>
      <c r="H171" s="1334"/>
      <c r="I171" s="1335"/>
      <c r="J171" s="1336">
        <v>26000</v>
      </c>
      <c r="K171" s="1337">
        <f>SUM(I171:J171)</f>
        <v>26000</v>
      </c>
      <c r="L171" s="1327"/>
    </row>
    <row r="172" spans="1:12" ht="18" customHeight="1" x14ac:dyDescent="0.35">
      <c r="A172" s="821">
        <v>164</v>
      </c>
      <c r="B172" s="827"/>
      <c r="C172" s="159"/>
      <c r="D172" s="995" t="s">
        <v>921</v>
      </c>
      <c r="E172" s="1331"/>
      <c r="F172" s="1332"/>
      <c r="G172" s="1333"/>
      <c r="H172" s="1334"/>
      <c r="I172" s="1009"/>
      <c r="J172" s="986">
        <v>26000</v>
      </c>
      <c r="K172" s="1428">
        <f>SUM(I172:J172)</f>
        <v>26000</v>
      </c>
      <c r="L172" s="1327"/>
    </row>
    <row r="173" spans="1:12" ht="18" customHeight="1" x14ac:dyDescent="0.35">
      <c r="A173" s="821">
        <v>165</v>
      </c>
      <c r="B173" s="827"/>
      <c r="C173" s="159"/>
      <c r="D173" s="994" t="s">
        <v>973</v>
      </c>
      <c r="E173" s="1032"/>
      <c r="F173" s="1338"/>
      <c r="G173" s="1339"/>
      <c r="H173" s="1340"/>
      <c r="I173" s="1192"/>
      <c r="J173" s="949">
        <v>0</v>
      </c>
      <c r="K173" s="922">
        <f>SUM(E173:J173)</f>
        <v>0</v>
      </c>
      <c r="L173" s="1327"/>
    </row>
    <row r="174" spans="1:12" ht="19.5" customHeight="1" x14ac:dyDescent="0.3">
      <c r="A174" s="821">
        <v>166</v>
      </c>
      <c r="B174" s="827"/>
      <c r="C174" s="159">
        <v>47</v>
      </c>
      <c r="D174" s="1543" t="s">
        <v>568</v>
      </c>
      <c r="E174" s="1019">
        <f>F174+G174+K176+L175</f>
        <v>2000</v>
      </c>
      <c r="F174" s="1324"/>
      <c r="G174" s="1325"/>
      <c r="H174" s="1326"/>
      <c r="I174" s="944"/>
      <c r="J174" s="984"/>
      <c r="K174" s="985"/>
      <c r="L174" s="1327"/>
    </row>
    <row r="175" spans="1:12" ht="18" customHeight="1" x14ac:dyDescent="0.35">
      <c r="A175" s="821">
        <v>167</v>
      </c>
      <c r="B175" s="827"/>
      <c r="C175" s="159"/>
      <c r="D175" s="983" t="s">
        <v>252</v>
      </c>
      <c r="E175" s="1331"/>
      <c r="F175" s="1332"/>
      <c r="G175" s="1333"/>
      <c r="H175" s="1334"/>
      <c r="I175" s="1335"/>
      <c r="J175" s="1336">
        <v>2000</v>
      </c>
      <c r="K175" s="1337">
        <f>SUM(I175:J175)</f>
        <v>2000</v>
      </c>
      <c r="L175" s="1327"/>
    </row>
    <row r="176" spans="1:12" ht="18" customHeight="1" x14ac:dyDescent="0.35">
      <c r="A176" s="821">
        <v>168</v>
      </c>
      <c r="B176" s="827"/>
      <c r="C176" s="159"/>
      <c r="D176" s="995" t="s">
        <v>921</v>
      </c>
      <c r="E176" s="1020"/>
      <c r="F176" s="1341"/>
      <c r="G176" s="1342"/>
      <c r="H176" s="1343"/>
      <c r="I176" s="1009"/>
      <c r="J176" s="986">
        <v>2000</v>
      </c>
      <c r="K176" s="1428">
        <f>SUM(I176:J176)</f>
        <v>2000</v>
      </c>
      <c r="L176" s="1327"/>
    </row>
    <row r="177" spans="1:12" ht="18" customHeight="1" x14ac:dyDescent="0.35">
      <c r="A177" s="821">
        <v>169</v>
      </c>
      <c r="B177" s="827"/>
      <c r="C177" s="159"/>
      <c r="D177" s="994" t="s">
        <v>973</v>
      </c>
      <c r="E177" s="1032"/>
      <c r="F177" s="1338"/>
      <c r="G177" s="1339"/>
      <c r="H177" s="1340"/>
      <c r="I177" s="1192"/>
      <c r="J177" s="949">
        <v>0</v>
      </c>
      <c r="K177" s="922">
        <f>SUM(E177:J177)</f>
        <v>0</v>
      </c>
      <c r="L177" s="1327"/>
    </row>
    <row r="178" spans="1:12" ht="22.5" customHeight="1" x14ac:dyDescent="0.35">
      <c r="A178" s="821">
        <v>170</v>
      </c>
      <c r="B178" s="827"/>
      <c r="C178" s="159"/>
      <c r="D178" s="1540" t="s">
        <v>30</v>
      </c>
      <c r="E178" s="1019"/>
      <c r="F178" s="1324"/>
      <c r="G178" s="1325"/>
      <c r="H178" s="1326" t="s">
        <v>23</v>
      </c>
      <c r="I178" s="944"/>
      <c r="J178" s="984"/>
      <c r="K178" s="985"/>
      <c r="L178" s="1327"/>
    </row>
    <row r="179" spans="1:12" ht="19.5" customHeight="1" x14ac:dyDescent="0.3">
      <c r="A179" s="821">
        <v>171</v>
      </c>
      <c r="B179" s="827"/>
      <c r="C179" s="159">
        <v>71</v>
      </c>
      <c r="D179" s="1539" t="s">
        <v>565</v>
      </c>
      <c r="E179" s="1019">
        <f>F179+G179+K181+L180</f>
        <v>0</v>
      </c>
      <c r="F179" s="1324"/>
      <c r="G179" s="1325"/>
      <c r="H179" s="1326"/>
      <c r="I179" s="944"/>
      <c r="J179" s="984"/>
      <c r="K179" s="985"/>
      <c r="L179" s="1327"/>
    </row>
    <row r="180" spans="1:12" ht="18" customHeight="1" x14ac:dyDescent="0.35">
      <c r="A180" s="821">
        <v>172</v>
      </c>
      <c r="B180" s="827"/>
      <c r="C180" s="159"/>
      <c r="D180" s="983" t="s">
        <v>252</v>
      </c>
      <c r="E180" s="1331"/>
      <c r="F180" s="1332"/>
      <c r="G180" s="1333"/>
      <c r="H180" s="1334"/>
      <c r="I180" s="1335"/>
      <c r="J180" s="1336">
        <v>3500</v>
      </c>
      <c r="K180" s="1337">
        <f t="shared" si="0"/>
        <v>3500</v>
      </c>
      <c r="L180" s="1327"/>
    </row>
    <row r="181" spans="1:12" ht="18" customHeight="1" x14ac:dyDescent="0.35">
      <c r="A181" s="821">
        <v>173</v>
      </c>
      <c r="B181" s="827"/>
      <c r="C181" s="159"/>
      <c r="D181" s="995" t="s">
        <v>921</v>
      </c>
      <c r="E181" s="1331"/>
      <c r="F181" s="1332"/>
      <c r="G181" s="1333"/>
      <c r="H181" s="1334"/>
      <c r="I181" s="1009"/>
      <c r="J181" s="986">
        <v>0</v>
      </c>
      <c r="K181" s="1428">
        <f t="shared" si="0"/>
        <v>0</v>
      </c>
      <c r="L181" s="1327"/>
    </row>
    <row r="182" spans="1:12" ht="18" customHeight="1" x14ac:dyDescent="0.35">
      <c r="A182" s="821">
        <v>174</v>
      </c>
      <c r="B182" s="827"/>
      <c r="C182" s="159"/>
      <c r="D182" s="994" t="s">
        <v>972</v>
      </c>
      <c r="E182" s="1032"/>
      <c r="F182" s="1338"/>
      <c r="G182" s="1339"/>
      <c r="H182" s="1340"/>
      <c r="I182" s="1192"/>
      <c r="J182" s="949">
        <v>0</v>
      </c>
      <c r="K182" s="922">
        <f>SUM(E182:J182)</f>
        <v>0</v>
      </c>
      <c r="L182" s="1327"/>
    </row>
    <row r="183" spans="1:12" ht="19.5" customHeight="1" x14ac:dyDescent="0.35">
      <c r="A183" s="821">
        <v>175</v>
      </c>
      <c r="B183" s="827"/>
      <c r="C183" s="159">
        <v>75</v>
      </c>
      <c r="D183" s="1539" t="s">
        <v>942</v>
      </c>
      <c r="E183" s="1019">
        <f>F183+G183+K184+L184</f>
        <v>3500</v>
      </c>
      <c r="F183" s="1341"/>
      <c r="G183" s="1342"/>
      <c r="H183" s="1343"/>
      <c r="I183" s="1009"/>
      <c r="J183" s="986"/>
      <c r="K183" s="224"/>
      <c r="L183" s="1327"/>
    </row>
    <row r="184" spans="1:12" ht="19.5" customHeight="1" x14ac:dyDescent="0.35">
      <c r="A184" s="821">
        <v>176</v>
      </c>
      <c r="B184" s="827"/>
      <c r="C184" s="159"/>
      <c r="D184" s="995" t="s">
        <v>921</v>
      </c>
      <c r="E184" s="1019"/>
      <c r="F184" s="1341"/>
      <c r="G184" s="1342"/>
      <c r="H184" s="1343"/>
      <c r="I184" s="1009"/>
      <c r="J184" s="986">
        <v>3500</v>
      </c>
      <c r="K184" s="1428">
        <f t="shared" si="0"/>
        <v>3500</v>
      </c>
      <c r="L184" s="1327"/>
    </row>
    <row r="185" spans="1:12" ht="18" customHeight="1" x14ac:dyDescent="0.35">
      <c r="A185" s="821">
        <v>177</v>
      </c>
      <c r="B185" s="827"/>
      <c r="C185" s="159"/>
      <c r="D185" s="994" t="s">
        <v>972</v>
      </c>
      <c r="E185" s="1020"/>
      <c r="F185" s="1341"/>
      <c r="G185" s="1342"/>
      <c r="H185" s="1343"/>
      <c r="I185" s="1009"/>
      <c r="J185" s="949">
        <v>0</v>
      </c>
      <c r="K185" s="922">
        <f>SUM(E185:J185)</f>
        <v>0</v>
      </c>
      <c r="L185" s="1327"/>
    </row>
    <row r="186" spans="1:12" ht="22.5" customHeight="1" x14ac:dyDescent="0.35">
      <c r="A186" s="821">
        <v>178</v>
      </c>
      <c r="B186" s="827"/>
      <c r="C186" s="159"/>
      <c r="D186" s="1544" t="s">
        <v>411</v>
      </c>
      <c r="E186" s="1019"/>
      <c r="F186" s="1324"/>
      <c r="G186" s="1325"/>
      <c r="H186" s="1326" t="s">
        <v>23</v>
      </c>
      <c r="I186" s="944"/>
      <c r="J186" s="984"/>
      <c r="K186" s="985"/>
      <c r="L186" s="1327"/>
    </row>
    <row r="187" spans="1:12" ht="22.5" customHeight="1" x14ac:dyDescent="0.3">
      <c r="A187" s="821">
        <v>179</v>
      </c>
      <c r="B187" s="827"/>
      <c r="C187" s="159"/>
      <c r="D187" s="1542" t="s">
        <v>410</v>
      </c>
      <c r="E187" s="1019"/>
      <c r="F187" s="1324"/>
      <c r="G187" s="1325"/>
      <c r="H187" s="1326"/>
      <c r="I187" s="944"/>
      <c r="J187" s="984"/>
      <c r="K187" s="985"/>
      <c r="L187" s="1327"/>
    </row>
    <row r="188" spans="1:12" ht="33.75" customHeight="1" x14ac:dyDescent="0.3">
      <c r="A188" s="821">
        <v>180</v>
      </c>
      <c r="B188" s="827"/>
      <c r="C188" s="143">
        <v>44</v>
      </c>
      <c r="D188" s="1539" t="s">
        <v>795</v>
      </c>
      <c r="E188" s="1019">
        <f>F188+G188+K190+L189</f>
        <v>3800</v>
      </c>
      <c r="F188" s="1324"/>
      <c r="G188" s="1325"/>
      <c r="H188" s="1326"/>
      <c r="I188" s="944"/>
      <c r="J188" s="984"/>
      <c r="K188" s="985"/>
      <c r="L188" s="1327"/>
    </row>
    <row r="189" spans="1:12" ht="18" customHeight="1" x14ac:dyDescent="0.35">
      <c r="A189" s="821">
        <v>181</v>
      </c>
      <c r="B189" s="827"/>
      <c r="C189" s="159"/>
      <c r="D189" s="983" t="s">
        <v>252</v>
      </c>
      <c r="E189" s="1331"/>
      <c r="F189" s="1332"/>
      <c r="G189" s="1333"/>
      <c r="H189" s="1334"/>
      <c r="I189" s="1335"/>
      <c r="J189" s="1336">
        <v>3800</v>
      </c>
      <c r="K189" s="1337">
        <f t="shared" si="0"/>
        <v>3800</v>
      </c>
      <c r="L189" s="1327"/>
    </row>
    <row r="190" spans="1:12" ht="18" customHeight="1" x14ac:dyDescent="0.35">
      <c r="A190" s="821">
        <v>182</v>
      </c>
      <c r="B190" s="827"/>
      <c r="C190" s="159"/>
      <c r="D190" s="995" t="s">
        <v>921</v>
      </c>
      <c r="E190" s="1331"/>
      <c r="F190" s="1332"/>
      <c r="G190" s="1333"/>
      <c r="H190" s="1334"/>
      <c r="I190" s="1009"/>
      <c r="J190" s="986">
        <v>3800</v>
      </c>
      <c r="K190" s="1428">
        <f t="shared" si="0"/>
        <v>3800</v>
      </c>
      <c r="L190" s="1327"/>
    </row>
    <row r="191" spans="1:12" ht="18" customHeight="1" x14ac:dyDescent="0.35">
      <c r="A191" s="821">
        <v>183</v>
      </c>
      <c r="B191" s="827"/>
      <c r="C191" s="159"/>
      <c r="D191" s="994" t="s">
        <v>973</v>
      </c>
      <c r="E191" s="1032"/>
      <c r="F191" s="1338"/>
      <c r="G191" s="1339"/>
      <c r="H191" s="1340"/>
      <c r="I191" s="1192"/>
      <c r="J191" s="949">
        <v>3700</v>
      </c>
      <c r="K191" s="922">
        <f>SUM(E191:J191)</f>
        <v>3700</v>
      </c>
      <c r="L191" s="1327"/>
    </row>
    <row r="192" spans="1:12" ht="35.25" customHeight="1" x14ac:dyDescent="0.3">
      <c r="A192" s="821">
        <v>184</v>
      </c>
      <c r="B192" s="827"/>
      <c r="C192" s="143">
        <v>72</v>
      </c>
      <c r="D192" s="1539" t="s">
        <v>794</v>
      </c>
      <c r="E192" s="1019">
        <f>F192+G192+K194+L193</f>
        <v>6000</v>
      </c>
      <c r="F192" s="1324"/>
      <c r="G192" s="1325"/>
      <c r="H192" s="1326"/>
      <c r="I192" s="944"/>
      <c r="J192" s="984"/>
      <c r="K192" s="985"/>
      <c r="L192" s="1327"/>
    </row>
    <row r="193" spans="1:12" ht="18" customHeight="1" x14ac:dyDescent="0.35">
      <c r="A193" s="821">
        <v>185</v>
      </c>
      <c r="B193" s="827"/>
      <c r="C193" s="159"/>
      <c r="D193" s="983" t="s">
        <v>252</v>
      </c>
      <c r="E193" s="1331"/>
      <c r="F193" s="1332"/>
      <c r="G193" s="1333"/>
      <c r="H193" s="1334"/>
      <c r="I193" s="1335"/>
      <c r="J193" s="1336">
        <v>6000</v>
      </c>
      <c r="K193" s="1337">
        <f t="shared" si="0"/>
        <v>6000</v>
      </c>
      <c r="L193" s="1327"/>
    </row>
    <row r="194" spans="1:12" ht="18" customHeight="1" x14ac:dyDescent="0.35">
      <c r="A194" s="821">
        <v>186</v>
      </c>
      <c r="B194" s="827"/>
      <c r="C194" s="159"/>
      <c r="D194" s="995" t="s">
        <v>921</v>
      </c>
      <c r="E194" s="1331"/>
      <c r="F194" s="1332"/>
      <c r="G194" s="1333"/>
      <c r="H194" s="1334"/>
      <c r="I194" s="1009"/>
      <c r="J194" s="986">
        <v>6000</v>
      </c>
      <c r="K194" s="1428">
        <f t="shared" si="0"/>
        <v>6000</v>
      </c>
      <c r="L194" s="1327"/>
    </row>
    <row r="195" spans="1:12" ht="18" customHeight="1" x14ac:dyDescent="0.35">
      <c r="A195" s="821">
        <v>187</v>
      </c>
      <c r="B195" s="827"/>
      <c r="C195" s="159"/>
      <c r="D195" s="994" t="s">
        <v>973</v>
      </c>
      <c r="E195" s="1032"/>
      <c r="F195" s="1338"/>
      <c r="G195" s="1339"/>
      <c r="H195" s="1340"/>
      <c r="I195" s="1192"/>
      <c r="J195" s="949">
        <v>0</v>
      </c>
      <c r="K195" s="922">
        <f>SUM(E195:J195)</f>
        <v>0</v>
      </c>
      <c r="L195" s="1327"/>
    </row>
    <row r="196" spans="1:12" ht="32.25" customHeight="1" x14ac:dyDescent="0.3">
      <c r="A196" s="821">
        <v>188</v>
      </c>
      <c r="B196" s="827"/>
      <c r="C196" s="143">
        <v>73</v>
      </c>
      <c r="D196" s="1539" t="s">
        <v>564</v>
      </c>
      <c r="E196" s="1019">
        <f>F196+G196+K198+L197</f>
        <v>1500</v>
      </c>
      <c r="F196" s="1324"/>
      <c r="G196" s="1325"/>
      <c r="H196" s="1326"/>
      <c r="I196" s="944"/>
      <c r="J196" s="984"/>
      <c r="K196" s="985"/>
      <c r="L196" s="1327"/>
    </row>
    <row r="197" spans="1:12" ht="18" customHeight="1" x14ac:dyDescent="0.35">
      <c r="A197" s="821">
        <v>189</v>
      </c>
      <c r="B197" s="886"/>
      <c r="C197" s="285"/>
      <c r="D197" s="983" t="s">
        <v>252</v>
      </c>
      <c r="E197" s="1331"/>
      <c r="F197" s="1332"/>
      <c r="G197" s="1333"/>
      <c r="H197" s="1334"/>
      <c r="I197" s="1335"/>
      <c r="J197" s="1336">
        <v>1500</v>
      </c>
      <c r="K197" s="1337">
        <f t="shared" si="0"/>
        <v>1500</v>
      </c>
      <c r="L197" s="1546"/>
    </row>
    <row r="198" spans="1:12" ht="18" customHeight="1" x14ac:dyDescent="0.35">
      <c r="A198" s="821">
        <v>190</v>
      </c>
      <c r="B198" s="1547"/>
      <c r="C198" s="285"/>
      <c r="D198" s="995" t="s">
        <v>921</v>
      </c>
      <c r="E198" s="1331"/>
      <c r="F198" s="1332"/>
      <c r="G198" s="1333"/>
      <c r="H198" s="1334"/>
      <c r="I198" s="1009"/>
      <c r="J198" s="986">
        <v>1500</v>
      </c>
      <c r="K198" s="1428">
        <f t="shared" si="0"/>
        <v>1500</v>
      </c>
      <c r="L198" s="1546"/>
    </row>
    <row r="199" spans="1:12" ht="18" customHeight="1" x14ac:dyDescent="0.35">
      <c r="A199" s="821">
        <v>191</v>
      </c>
      <c r="B199" s="842"/>
      <c r="C199" s="159"/>
      <c r="D199" s="994" t="s">
        <v>973</v>
      </c>
      <c r="E199" s="1032"/>
      <c r="F199" s="1338"/>
      <c r="G199" s="1339"/>
      <c r="H199" s="1340"/>
      <c r="I199" s="1192"/>
      <c r="J199" s="949">
        <v>0</v>
      </c>
      <c r="K199" s="922">
        <f>SUM(E199:J199)</f>
        <v>0</v>
      </c>
      <c r="L199" s="1327"/>
    </row>
    <row r="200" spans="1:12" ht="19.5" customHeight="1" x14ac:dyDescent="0.35">
      <c r="A200" s="821">
        <v>192</v>
      </c>
      <c r="B200" s="886"/>
      <c r="C200" s="285">
        <v>74</v>
      </c>
      <c r="D200" s="1548" t="s">
        <v>911</v>
      </c>
      <c r="E200" s="1549">
        <f>F200+G200+K201</f>
        <v>300</v>
      </c>
      <c r="F200" s="1550"/>
      <c r="G200" s="1551"/>
      <c r="H200" s="1552" t="s">
        <v>23</v>
      </c>
      <c r="I200" s="1553"/>
      <c r="J200" s="1554"/>
      <c r="K200" s="1182"/>
      <c r="L200" s="1183"/>
    </row>
    <row r="201" spans="1:12" ht="19.5" customHeight="1" x14ac:dyDescent="0.35">
      <c r="A201" s="821">
        <v>193</v>
      </c>
      <c r="B201" s="886"/>
      <c r="C201" s="285"/>
      <c r="D201" s="995" t="s">
        <v>921</v>
      </c>
      <c r="E201" s="1549"/>
      <c r="F201" s="1550"/>
      <c r="G201" s="1551"/>
      <c r="H201" s="1552"/>
      <c r="I201" s="1553"/>
      <c r="J201" s="1554">
        <v>300</v>
      </c>
      <c r="K201" s="1428">
        <f t="shared" ref="K201" si="2">SUM(I201:J201)</f>
        <v>300</v>
      </c>
      <c r="L201" s="1183"/>
    </row>
    <row r="202" spans="1:12" ht="18" customHeight="1" x14ac:dyDescent="0.35">
      <c r="A202" s="821">
        <v>194</v>
      </c>
      <c r="B202" s="827"/>
      <c r="C202" s="159"/>
      <c r="D202" s="928" t="s">
        <v>973</v>
      </c>
      <c r="E202" s="1019"/>
      <c r="F202" s="1324"/>
      <c r="G202" s="1325"/>
      <c r="H202" s="1326"/>
      <c r="I202" s="984"/>
      <c r="J202" s="949">
        <v>0</v>
      </c>
      <c r="K202" s="922">
        <f>SUM(E202:J202)</f>
        <v>0</v>
      </c>
      <c r="L202" s="1023"/>
    </row>
    <row r="203" spans="1:12" ht="22.5" customHeight="1" x14ac:dyDescent="0.35">
      <c r="A203" s="821">
        <v>195</v>
      </c>
      <c r="B203" s="842"/>
      <c r="C203" s="159">
        <v>76</v>
      </c>
      <c r="D203" s="1548" t="s">
        <v>951</v>
      </c>
      <c r="E203" s="1549">
        <f>F203+G203+K204</f>
        <v>600</v>
      </c>
      <c r="F203" s="1324"/>
      <c r="G203" s="1328"/>
      <c r="H203" s="1326" t="s">
        <v>23</v>
      </c>
      <c r="I203" s="944"/>
      <c r="J203" s="986"/>
      <c r="K203" s="224"/>
      <c r="L203" s="1327"/>
    </row>
    <row r="204" spans="1:12" ht="18" customHeight="1" x14ac:dyDescent="0.35">
      <c r="A204" s="821">
        <v>196</v>
      </c>
      <c r="B204" s="842"/>
      <c r="C204" s="159"/>
      <c r="D204" s="995" t="s">
        <v>921</v>
      </c>
      <c r="E204" s="1549"/>
      <c r="F204" s="1324"/>
      <c r="G204" s="1328"/>
      <c r="H204" s="1326"/>
      <c r="I204" s="944"/>
      <c r="J204" s="986">
        <v>600</v>
      </c>
      <c r="K204" s="1428">
        <f t="shared" ref="K204" si="3">SUM(I204:J204)</f>
        <v>600</v>
      </c>
      <c r="L204" s="1327"/>
    </row>
    <row r="205" spans="1:12" ht="18" customHeight="1" x14ac:dyDescent="0.35">
      <c r="A205" s="821">
        <v>197</v>
      </c>
      <c r="B205" s="842"/>
      <c r="C205" s="159"/>
      <c r="D205" s="928" t="s">
        <v>973</v>
      </c>
      <c r="E205" s="1019"/>
      <c r="F205" s="1324"/>
      <c r="G205" s="1328"/>
      <c r="H205" s="1326"/>
      <c r="I205" s="944"/>
      <c r="J205" s="949">
        <v>0</v>
      </c>
      <c r="K205" s="922">
        <f>SUM(E205:J205)</f>
        <v>0</v>
      </c>
      <c r="L205" s="1327"/>
    </row>
    <row r="206" spans="1:12" ht="22.5" customHeight="1" x14ac:dyDescent="0.35">
      <c r="A206" s="821">
        <v>198</v>
      </c>
      <c r="B206" s="842"/>
      <c r="C206" s="159">
        <v>77</v>
      </c>
      <c r="D206" s="1548" t="s">
        <v>952</v>
      </c>
      <c r="E206" s="1549">
        <f>F206+G206+K207</f>
        <v>800</v>
      </c>
      <c r="F206" s="1324"/>
      <c r="G206" s="1328"/>
      <c r="H206" s="1326" t="s">
        <v>23</v>
      </c>
      <c r="I206" s="944"/>
      <c r="J206" s="986"/>
      <c r="K206" s="224"/>
      <c r="L206" s="1327"/>
    </row>
    <row r="207" spans="1:12" ht="18" customHeight="1" x14ac:dyDescent="0.35">
      <c r="A207" s="821">
        <v>199</v>
      </c>
      <c r="B207" s="842"/>
      <c r="C207" s="159"/>
      <c r="D207" s="995" t="s">
        <v>921</v>
      </c>
      <c r="E207" s="1549"/>
      <c r="F207" s="1324"/>
      <c r="G207" s="1328"/>
      <c r="H207" s="1326"/>
      <c r="I207" s="944"/>
      <c r="J207" s="986">
        <v>800</v>
      </c>
      <c r="K207" s="1428">
        <f t="shared" ref="K207" si="4">SUM(I207:J207)</f>
        <v>800</v>
      </c>
      <c r="L207" s="1327"/>
    </row>
    <row r="208" spans="1:12" ht="18" customHeight="1" x14ac:dyDescent="0.35">
      <c r="A208" s="821">
        <v>200</v>
      </c>
      <c r="B208" s="842"/>
      <c r="C208" s="159"/>
      <c r="D208" s="928" t="s">
        <v>973</v>
      </c>
      <c r="E208" s="1019"/>
      <c r="F208" s="1324"/>
      <c r="G208" s="1328"/>
      <c r="H208" s="1326"/>
      <c r="I208" s="944"/>
      <c r="J208" s="949">
        <v>0</v>
      </c>
      <c r="K208" s="922">
        <f>SUM(E208:J208)</f>
        <v>0</v>
      </c>
      <c r="L208" s="1327"/>
    </row>
    <row r="209" spans="1:12" ht="22.5" customHeight="1" x14ac:dyDescent="0.35">
      <c r="A209" s="821">
        <v>201</v>
      </c>
      <c r="B209" s="855"/>
      <c r="C209" s="281">
        <v>78</v>
      </c>
      <c r="D209" s="1691" t="s">
        <v>956</v>
      </c>
      <c r="E209" s="1549">
        <f>F209+G209+K210</f>
        <v>530000</v>
      </c>
      <c r="F209" s="1505"/>
      <c r="G209" s="1349"/>
      <c r="H209" s="1350" t="s">
        <v>23</v>
      </c>
      <c r="I209" s="1025"/>
      <c r="J209" s="1469"/>
      <c r="K209" s="1422"/>
      <c r="L209" s="1327"/>
    </row>
    <row r="210" spans="1:12" ht="18" customHeight="1" x14ac:dyDescent="0.35">
      <c r="A210" s="821">
        <v>202</v>
      </c>
      <c r="B210" s="855"/>
      <c r="C210" s="281"/>
      <c r="D210" s="943" t="s">
        <v>921</v>
      </c>
      <c r="E210" s="1019"/>
      <c r="F210" s="1324"/>
      <c r="G210" s="1349"/>
      <c r="H210" s="1350"/>
      <c r="I210" s="1025"/>
      <c r="J210" s="1469">
        <v>530000</v>
      </c>
      <c r="K210" s="1428">
        <f t="shared" ref="K210" si="5">SUM(I210:J210)</f>
        <v>530000</v>
      </c>
      <c r="L210" s="1327"/>
    </row>
    <row r="211" spans="1:12" ht="18" customHeight="1" x14ac:dyDescent="0.35">
      <c r="A211" s="821">
        <v>203</v>
      </c>
      <c r="B211" s="855"/>
      <c r="C211" s="281"/>
      <c r="D211" s="928" t="s">
        <v>972</v>
      </c>
      <c r="E211" s="1019"/>
      <c r="F211" s="1324"/>
      <c r="G211" s="1349"/>
      <c r="H211" s="1350"/>
      <c r="I211" s="1025"/>
      <c r="J211" s="1749">
        <v>0</v>
      </c>
      <c r="K211" s="922">
        <f>SUM(E211:J211)</f>
        <v>0</v>
      </c>
      <c r="L211" s="1327"/>
    </row>
    <row r="212" spans="1:12" ht="22.5" customHeight="1" x14ac:dyDescent="0.35">
      <c r="A212" s="821">
        <v>204</v>
      </c>
      <c r="B212" s="855"/>
      <c r="C212" s="281">
        <v>79</v>
      </c>
      <c r="D212" s="845" t="s">
        <v>931</v>
      </c>
      <c r="E212" s="1019">
        <f>F212+G212+K213</f>
        <v>3500</v>
      </c>
      <c r="F212" s="1324"/>
      <c r="G212" s="1349"/>
      <c r="H212" s="1350" t="s">
        <v>23</v>
      </c>
      <c r="I212" s="1025"/>
      <c r="J212" s="1469"/>
      <c r="K212" s="224"/>
      <c r="L212" s="1327"/>
    </row>
    <row r="213" spans="1:12" ht="18" customHeight="1" x14ac:dyDescent="0.35">
      <c r="A213" s="821">
        <v>205</v>
      </c>
      <c r="B213" s="855"/>
      <c r="C213" s="281"/>
      <c r="D213" s="943" t="s">
        <v>921</v>
      </c>
      <c r="E213" s="1019"/>
      <c r="F213" s="1324"/>
      <c r="G213" s="1349"/>
      <c r="H213" s="1350"/>
      <c r="I213" s="1025"/>
      <c r="J213" s="1469">
        <v>3500</v>
      </c>
      <c r="K213" s="1428">
        <f t="shared" ref="K213" si="6">SUM(I213:J213)</f>
        <v>3500</v>
      </c>
      <c r="L213" s="1327"/>
    </row>
    <row r="214" spans="1:12" ht="18" customHeight="1" thickBot="1" x14ac:dyDescent="0.4">
      <c r="A214" s="821">
        <v>206</v>
      </c>
      <c r="B214" s="855"/>
      <c r="C214" s="281"/>
      <c r="D214" s="994" t="s">
        <v>972</v>
      </c>
      <c r="E214" s="1497"/>
      <c r="F214" s="1352"/>
      <c r="G214" s="1349"/>
      <c r="H214" s="1350"/>
      <c r="I214" s="1025"/>
      <c r="J214" s="1749">
        <v>0</v>
      </c>
      <c r="K214" s="922">
        <f>SUM(E214:J214)</f>
        <v>0</v>
      </c>
      <c r="L214" s="1327"/>
    </row>
    <row r="215" spans="1:12" ht="25.15" customHeight="1" thickTop="1" x14ac:dyDescent="0.35">
      <c r="A215" s="821">
        <v>207</v>
      </c>
      <c r="B215" s="883"/>
      <c r="C215" s="1344"/>
      <c r="D215" s="1935" t="s">
        <v>13</v>
      </c>
      <c r="E215" s="1936"/>
      <c r="F215" s="1936"/>
      <c r="G215" s="1937"/>
      <c r="H215" s="1329"/>
      <c r="I215" s="1555"/>
      <c r="J215" s="1556"/>
      <c r="K215" s="988"/>
      <c r="L215" s="1557"/>
    </row>
    <row r="216" spans="1:12" ht="20.100000000000001" customHeight="1" x14ac:dyDescent="0.35">
      <c r="A216" s="821">
        <v>208</v>
      </c>
      <c r="B216" s="885"/>
      <c r="C216" s="1345"/>
      <c r="D216" s="983" t="s">
        <v>252</v>
      </c>
      <c r="E216" s="1331"/>
      <c r="F216" s="1332"/>
      <c r="G216" s="1333"/>
      <c r="H216" s="1334"/>
      <c r="I216" s="1335">
        <f>I197+I193+I189+I180+I175+I171+I165+I161+I156+I152+I147+I142+I137+I133+I129+I125+I120+I115+I111+I107+I102+I98+I94+I87+I82+I77+I71+I67+I63+I59+I55+I51+I47+I43+I39+I35+I31+I27+I23+I19+I15+I11</f>
        <v>0</v>
      </c>
      <c r="J216" s="1336">
        <f>J197+J193+J189+J180+J175+J171+J165+J161+J156+J152+J147+J142+J137+J133+J129+J125+J120+J115+J111+J107+J102+J98+J94+J87+J82+J77+J71+J67+J63+J59+J55+J51+J47+J43+J39+J35+J31+J27+J23+J19+J15+J11</f>
        <v>884831</v>
      </c>
      <c r="K216" s="1337">
        <f>SUM(I216:J216)</f>
        <v>884831</v>
      </c>
      <c r="L216" s="1030"/>
    </row>
    <row r="217" spans="1:12" ht="20.100000000000001" customHeight="1" x14ac:dyDescent="0.35">
      <c r="A217" s="821">
        <v>209</v>
      </c>
      <c r="B217" s="885"/>
      <c r="C217" s="1345"/>
      <c r="D217" s="995" t="s">
        <v>921</v>
      </c>
      <c r="E217" s="1331"/>
      <c r="F217" s="1332"/>
      <c r="G217" s="1333"/>
      <c r="H217" s="1334"/>
      <c r="I217" s="1009">
        <f>I198+I194+I190+I181+I176+I172+I166+I162+I157+I153+I148+I143+I138+I134+I130+I126+I121+I116+I112+I108+I103+I99+I95+I88+I83+I78+I72+I68+I64+I60+I56+I52+I48+I44+I40+I36+I32+I28+I24+I20+I16+I12+I201+I213+I210+I207+I204+I184</f>
        <v>0</v>
      </c>
      <c r="J217" s="1009">
        <f>J198+J194+J190+J181+J176+J172+J166+J162+J157+J153+J148+J143+J138+J134+J130+J126+J121+J116+J112+J108+J103+J99+J95+J88+J83+J78+J72+J68+J64+J60+J56+J52+J48+J44+J40+J36+J32+J28+J24+J20+J16+J12+J201+J213+J210+J207+J204+J184</f>
        <v>1422545</v>
      </c>
      <c r="K217" s="1428">
        <f>SUM(I217:J217)</f>
        <v>1422545</v>
      </c>
      <c r="L217" s="973"/>
    </row>
    <row r="218" spans="1:12" ht="20.100000000000001" customHeight="1" thickBot="1" x14ac:dyDescent="0.4">
      <c r="A218" s="821">
        <v>210</v>
      </c>
      <c r="B218" s="1558"/>
      <c r="C218" s="1346"/>
      <c r="D218" s="1685" t="s">
        <v>973</v>
      </c>
      <c r="E218" s="1686"/>
      <c r="F218" s="1687"/>
      <c r="G218" s="1688"/>
      <c r="H218" s="1689"/>
      <c r="I218" s="1750">
        <f>I199+I195+I191+I182+I177+I173+I167+I163+I158+I154+I149+I144+I139+I135+I131+I127+I122+I117+I113+I109+I104+I100+I96+I89+I84+I79+I73+I69+I65+I61+I57+I53+I49+I45+I41+I37+I33+I29+I25+I21+I17+I13+I202+I185+I208+I205+I214+I211</f>
        <v>0</v>
      </c>
      <c r="J218" s="1750">
        <f>J199+J195+J191+J182+J177+J173+J167+J163+J158+J154+J149+J144+J139+J135+J131+J127+J122+J117+J113+J109+J104+J100+J96+J89+J84+J79+J73+J69+J65+J61+J57+J53+J49+J45+J41+J37+J33+J29+J25+J21+J17+J13+J202+J185+J208+J205+J214+J211</f>
        <v>178493</v>
      </c>
      <c r="K218" s="1690">
        <f>SUM(E218:J218)</f>
        <v>178493</v>
      </c>
      <c r="L218" s="1031"/>
    </row>
    <row r="219" spans="1:12" ht="20.100000000000001" customHeight="1" thickTop="1" x14ac:dyDescent="0.35">
      <c r="A219" s="821">
        <v>211</v>
      </c>
      <c r="B219" s="1559"/>
      <c r="C219" s="1560"/>
      <c r="D219" s="1561" t="s">
        <v>97</v>
      </c>
      <c r="E219" s="1562"/>
      <c r="F219" s="1562"/>
      <c r="G219" s="1563"/>
      <c r="H219" s="1564"/>
      <c r="I219" s="1565"/>
      <c r="J219" s="1565"/>
      <c r="K219" s="1566"/>
      <c r="L219" s="1567"/>
    </row>
    <row r="220" spans="1:12" ht="18" customHeight="1" x14ac:dyDescent="0.35">
      <c r="A220" s="821">
        <v>212</v>
      </c>
      <c r="B220" s="885"/>
      <c r="C220" s="1345"/>
      <c r="D220" s="976" t="s">
        <v>252</v>
      </c>
      <c r="E220" s="1568"/>
      <c r="F220" s="1568"/>
      <c r="G220" s="1569"/>
      <c r="H220" s="1570"/>
      <c r="I220" s="1368">
        <f>I197+I193+I189+I180+I171+I165+I161+I156+I152+I147+I142+I137+I133+I129+I125+I120+I115+I111+I107+I102+I98+I94+I87+I82+I77+I71+I55+I35+I27+I23+I19+I15</f>
        <v>0</v>
      </c>
      <c r="J220" s="1368">
        <f>J197+J193+J189+J180+J171+J165+J161+J156+J152+J147+J142+J137+J133+J129+J125+J120+J115+J111+J107+J102+J98+J94+J87+J82+J77+J71+J55+J35+J27+J23+J19+J15+J175</f>
        <v>416078</v>
      </c>
      <c r="K220" s="1367">
        <f>SUM(I220:J220)</f>
        <v>416078</v>
      </c>
      <c r="L220" s="973"/>
    </row>
    <row r="221" spans="1:12" ht="18" customHeight="1" x14ac:dyDescent="0.35">
      <c r="A221" s="821">
        <v>213</v>
      </c>
      <c r="B221" s="885"/>
      <c r="C221" s="1345"/>
      <c r="D221" s="1003" t="s">
        <v>921</v>
      </c>
      <c r="E221" s="1568"/>
      <c r="F221" s="1568"/>
      <c r="G221" s="1569"/>
      <c r="H221" s="1570"/>
      <c r="I221" s="1017">
        <f>I198+I194+I190+I181+I172+I166+I162+I157+I153+I148+I143+I138+I134+I130+I126+I121+I116+I112+I108+I103+I99+I95+I88+I83+I78+I72+I56+I36+I28+I24+I20+I16+I201+I176+I213+I210+I207+I204+I184</f>
        <v>0</v>
      </c>
      <c r="J221" s="1017">
        <f>J198+J194+J190+J181+J172+J166+J162+J157+J153+J148+J143+J138+J134+J130+J126+J121+J116+J112+J108+J103+J99+J95+J88+J83+J78+J72+J56+J36+J28+J24+J20+J16+J201+J176+J213+J210+J207+J204+J184</f>
        <v>956278</v>
      </c>
      <c r="K221" s="1006">
        <f>SUM(I221:J221)</f>
        <v>956278</v>
      </c>
      <c r="L221" s="973"/>
    </row>
    <row r="222" spans="1:12" ht="18" customHeight="1" x14ac:dyDescent="0.35">
      <c r="A222" s="821">
        <v>214</v>
      </c>
      <c r="B222" s="885"/>
      <c r="C222" s="1345"/>
      <c r="D222" s="1002" t="s">
        <v>973</v>
      </c>
      <c r="E222" s="1571"/>
      <c r="F222" s="1571"/>
      <c r="G222" s="1572"/>
      <c r="H222" s="1573"/>
      <c r="I222" s="1005">
        <f>I199+I195+I191+I182+I177+I173+I167+I163+I158+I154+I149+I144+I139+I135+I127+I131+I122+I117+I113+I109+I104+I100+I96+I89+I84+I79+I73+I57+I37+I29+I25+I21+I17+I202+I185+I208+I205+I214+I211</f>
        <v>0</v>
      </c>
      <c r="J222" s="1005">
        <f>J199+J195+J191+J182+J177+J173+J167+J163+J158+J154+J149+J144+J139+J135+J127+J131+J122+J117+J113+J109+J104+J100+J96+J89+J84+J79+J73+J57+J37+J29+J25+J21+J17+J202+J185+J208+J205+J214+J211</f>
        <v>66410</v>
      </c>
      <c r="K222" s="1007">
        <f>SUM(E222:J222)</f>
        <v>66410</v>
      </c>
      <c r="L222" s="973"/>
    </row>
    <row r="223" spans="1:12" ht="20.100000000000001" customHeight="1" x14ac:dyDescent="0.35">
      <c r="A223" s="821">
        <v>215</v>
      </c>
      <c r="B223" s="885"/>
      <c r="C223" s="1345"/>
      <c r="D223" s="980" t="s">
        <v>98</v>
      </c>
      <c r="E223" s="982"/>
      <c r="F223" s="982"/>
      <c r="G223" s="981"/>
      <c r="H223" s="1573"/>
      <c r="I223" s="1005"/>
      <c r="J223" s="1005"/>
      <c r="K223" s="1006"/>
      <c r="L223" s="973"/>
    </row>
    <row r="224" spans="1:12" ht="18" customHeight="1" x14ac:dyDescent="0.35">
      <c r="A224" s="821">
        <v>216</v>
      </c>
      <c r="B224" s="885"/>
      <c r="C224" s="1345"/>
      <c r="D224" s="1574" t="s">
        <v>252</v>
      </c>
      <c r="E224" s="1575"/>
      <c r="F224" s="1575"/>
      <c r="G224" s="1576"/>
      <c r="H224" s="1570"/>
      <c r="I224" s="1368">
        <f t="shared" ref="I224:J226" si="7">I67+I63+I59+I51+I47+I43+I39+I31+I11</f>
        <v>0</v>
      </c>
      <c r="J224" s="1368">
        <f t="shared" si="7"/>
        <v>468753</v>
      </c>
      <c r="K224" s="1367">
        <f>SUM(I224:J224)</f>
        <v>468753</v>
      </c>
      <c r="L224" s="973"/>
    </row>
    <row r="225" spans="1:252" ht="18" customHeight="1" x14ac:dyDescent="0.35">
      <c r="A225" s="821">
        <v>217</v>
      </c>
      <c r="B225" s="885"/>
      <c r="C225" s="1345"/>
      <c r="D225" s="1003" t="s">
        <v>921</v>
      </c>
      <c r="E225" s="1575"/>
      <c r="F225" s="1575"/>
      <c r="G225" s="1576"/>
      <c r="H225" s="1570"/>
      <c r="I225" s="1017">
        <f t="shared" si="7"/>
        <v>0</v>
      </c>
      <c r="J225" s="1017">
        <f t="shared" si="7"/>
        <v>466267</v>
      </c>
      <c r="K225" s="1006">
        <f>SUM(I225:J225)</f>
        <v>466267</v>
      </c>
      <c r="L225" s="973"/>
    </row>
    <row r="226" spans="1:252" ht="18" customHeight="1" thickBot="1" x14ac:dyDescent="0.4">
      <c r="A226" s="821">
        <v>218</v>
      </c>
      <c r="B226" s="885"/>
      <c r="C226" s="1345"/>
      <c r="D226" s="1004" t="s">
        <v>973</v>
      </c>
      <c r="E226" s="1577"/>
      <c r="F226" s="1577"/>
      <c r="G226" s="1578"/>
      <c r="H226" s="1573"/>
      <c r="I226" s="1005">
        <f t="shared" si="7"/>
        <v>0</v>
      </c>
      <c r="J226" s="1005">
        <f t="shared" si="7"/>
        <v>112083</v>
      </c>
      <c r="K226" s="1007">
        <f>SUM(E226:J226)</f>
        <v>112083</v>
      </c>
      <c r="L226" s="973"/>
    </row>
    <row r="227" spans="1:252" ht="18" customHeight="1" x14ac:dyDescent="0.3">
      <c r="A227" s="821"/>
      <c r="B227" s="1580" t="s">
        <v>25</v>
      </c>
      <c r="C227" s="1581"/>
      <c r="D227" s="1580"/>
      <c r="E227" s="1582"/>
      <c r="F227" s="1583"/>
      <c r="G227" s="1582"/>
      <c r="H227" s="1584"/>
      <c r="I227" s="1585"/>
      <c r="J227" s="1585"/>
      <c r="K227" s="1585"/>
      <c r="L227" s="1586"/>
    </row>
    <row r="228" spans="1:252" ht="18" customHeight="1" x14ac:dyDescent="0.3">
      <c r="A228" s="821"/>
      <c r="B228" s="848" t="s">
        <v>26</v>
      </c>
      <c r="C228" s="1348"/>
      <c r="D228" s="848"/>
      <c r="E228" s="852"/>
      <c r="F228" s="850"/>
      <c r="G228" s="849"/>
      <c r="H228" s="851"/>
      <c r="I228" s="849"/>
      <c r="J228" s="849"/>
      <c r="K228" s="849"/>
    </row>
    <row r="229" spans="1:252" ht="18" customHeight="1" x14ac:dyDescent="0.3">
      <c r="A229" s="821"/>
      <c r="B229" s="848" t="s">
        <v>27</v>
      </c>
      <c r="C229" s="1348"/>
      <c r="D229" s="848"/>
      <c r="E229" s="852"/>
      <c r="F229" s="850"/>
      <c r="G229" s="849"/>
      <c r="H229" s="851"/>
      <c r="I229" s="849"/>
      <c r="J229" s="849"/>
      <c r="K229" s="849"/>
    </row>
    <row r="230" spans="1:252" s="206" customFormat="1" x14ac:dyDescent="0.3">
      <c r="A230" s="813"/>
      <c r="B230" s="814"/>
      <c r="C230" s="209"/>
      <c r="D230" s="815"/>
      <c r="H230" s="816"/>
      <c r="L230" s="841"/>
      <c r="M230" s="207"/>
      <c r="N230" s="207"/>
      <c r="O230" s="207"/>
      <c r="P230" s="207"/>
      <c r="Q230" s="207"/>
      <c r="R230" s="207"/>
      <c r="S230" s="207"/>
      <c r="T230" s="207"/>
      <c r="U230" s="207"/>
      <c r="V230" s="207"/>
      <c r="W230" s="207"/>
      <c r="X230" s="207"/>
      <c r="Y230" s="207"/>
      <c r="Z230" s="207"/>
      <c r="AA230" s="207"/>
      <c r="AB230" s="207"/>
      <c r="AC230" s="207"/>
      <c r="AD230" s="207"/>
      <c r="AE230" s="207"/>
      <c r="AF230" s="207"/>
      <c r="AG230" s="207"/>
      <c r="AH230" s="207"/>
      <c r="AI230" s="207"/>
      <c r="AJ230" s="207"/>
      <c r="AK230" s="207"/>
      <c r="AL230" s="207"/>
      <c r="AM230" s="207"/>
      <c r="AN230" s="207"/>
      <c r="AO230" s="207"/>
      <c r="AP230" s="207"/>
      <c r="AQ230" s="207"/>
      <c r="AR230" s="207"/>
      <c r="AS230" s="207"/>
      <c r="AT230" s="207"/>
      <c r="AU230" s="207"/>
      <c r="AV230" s="207"/>
      <c r="AW230" s="207"/>
      <c r="AX230" s="207"/>
      <c r="AY230" s="207"/>
      <c r="AZ230" s="207"/>
      <c r="BA230" s="207"/>
      <c r="BB230" s="207"/>
      <c r="BC230" s="207"/>
      <c r="BD230" s="207"/>
      <c r="BE230" s="207"/>
      <c r="BF230" s="207"/>
      <c r="BG230" s="207"/>
      <c r="BH230" s="207"/>
      <c r="BI230" s="207"/>
      <c r="BJ230" s="207"/>
      <c r="BK230" s="207"/>
      <c r="BL230" s="207"/>
      <c r="BM230" s="207"/>
      <c r="BN230" s="207"/>
      <c r="BO230" s="207"/>
      <c r="BP230" s="207"/>
      <c r="BQ230" s="207"/>
      <c r="BR230" s="207"/>
      <c r="BS230" s="207"/>
      <c r="BT230" s="207"/>
      <c r="BU230" s="207"/>
      <c r="BV230" s="207"/>
      <c r="BW230" s="207"/>
      <c r="BX230" s="207"/>
      <c r="BY230" s="207"/>
      <c r="BZ230" s="207"/>
      <c r="CA230" s="207"/>
      <c r="CB230" s="207"/>
      <c r="CC230" s="207"/>
      <c r="CD230" s="207"/>
      <c r="CE230" s="207"/>
      <c r="CF230" s="207"/>
      <c r="CG230" s="207"/>
      <c r="CH230" s="207"/>
      <c r="CI230" s="207"/>
      <c r="CJ230" s="207"/>
      <c r="CK230" s="207"/>
      <c r="CL230" s="207"/>
      <c r="CM230" s="207"/>
      <c r="CN230" s="207"/>
      <c r="CO230" s="207"/>
      <c r="CP230" s="207"/>
      <c r="CQ230" s="207"/>
      <c r="CR230" s="207"/>
      <c r="CS230" s="207"/>
      <c r="CT230" s="207"/>
      <c r="CU230" s="207"/>
      <c r="CV230" s="207"/>
      <c r="CW230" s="207"/>
      <c r="CX230" s="207"/>
      <c r="CY230" s="207"/>
      <c r="CZ230" s="207"/>
      <c r="DA230" s="207"/>
      <c r="DB230" s="207"/>
      <c r="DC230" s="207"/>
      <c r="DD230" s="207"/>
      <c r="DE230" s="207"/>
      <c r="DF230" s="207"/>
      <c r="DG230" s="207"/>
      <c r="DH230" s="207"/>
      <c r="DI230" s="207"/>
      <c r="DJ230" s="207"/>
      <c r="DK230" s="207"/>
      <c r="DL230" s="207"/>
      <c r="DM230" s="207"/>
      <c r="DN230" s="207"/>
      <c r="DO230" s="207"/>
      <c r="DP230" s="207"/>
      <c r="DQ230" s="207"/>
      <c r="DR230" s="207"/>
      <c r="DS230" s="207"/>
      <c r="DT230" s="207"/>
      <c r="DU230" s="207"/>
      <c r="DV230" s="207"/>
      <c r="DW230" s="207"/>
      <c r="DX230" s="207"/>
      <c r="DY230" s="207"/>
      <c r="DZ230" s="207"/>
      <c r="EA230" s="207"/>
      <c r="EB230" s="207"/>
      <c r="EC230" s="207"/>
      <c r="ED230" s="207"/>
      <c r="EE230" s="207"/>
      <c r="EF230" s="207"/>
      <c r="EG230" s="207"/>
      <c r="EH230" s="207"/>
      <c r="EI230" s="207"/>
      <c r="EJ230" s="207"/>
      <c r="EK230" s="207"/>
      <c r="EL230" s="207"/>
      <c r="EM230" s="207"/>
      <c r="EN230" s="207"/>
      <c r="EO230" s="207"/>
      <c r="EP230" s="207"/>
      <c r="EQ230" s="207"/>
      <c r="ER230" s="207"/>
      <c r="ES230" s="207"/>
      <c r="ET230" s="207"/>
      <c r="EU230" s="207"/>
      <c r="EV230" s="207"/>
      <c r="EW230" s="207"/>
      <c r="EX230" s="207"/>
      <c r="EY230" s="207"/>
      <c r="EZ230" s="207"/>
      <c r="FA230" s="207"/>
      <c r="FB230" s="207"/>
      <c r="FC230" s="207"/>
      <c r="FD230" s="207"/>
      <c r="FE230" s="207"/>
      <c r="FF230" s="207"/>
      <c r="FG230" s="207"/>
      <c r="FH230" s="207"/>
      <c r="FI230" s="207"/>
      <c r="FJ230" s="207"/>
      <c r="FK230" s="207"/>
      <c r="FL230" s="207"/>
      <c r="FM230" s="207"/>
      <c r="FN230" s="207"/>
      <c r="FO230" s="207"/>
      <c r="FP230" s="207"/>
      <c r="FQ230" s="207"/>
      <c r="FR230" s="207"/>
      <c r="FS230" s="207"/>
      <c r="FT230" s="207"/>
      <c r="FU230" s="207"/>
      <c r="FV230" s="207"/>
      <c r="FW230" s="207"/>
      <c r="FX230" s="207"/>
      <c r="FY230" s="207"/>
      <c r="FZ230" s="207"/>
      <c r="GA230" s="207"/>
      <c r="GB230" s="207"/>
      <c r="GC230" s="207"/>
      <c r="GD230" s="207"/>
      <c r="GE230" s="207"/>
      <c r="GF230" s="207"/>
      <c r="GG230" s="207"/>
      <c r="GH230" s="207"/>
      <c r="GI230" s="207"/>
      <c r="GJ230" s="207"/>
      <c r="GK230" s="207"/>
      <c r="GL230" s="207"/>
      <c r="GM230" s="207"/>
      <c r="GN230" s="207"/>
      <c r="GO230" s="207"/>
      <c r="GP230" s="207"/>
      <c r="GQ230" s="207"/>
      <c r="GR230" s="207"/>
      <c r="GS230" s="207"/>
      <c r="GT230" s="207"/>
      <c r="GU230" s="207"/>
      <c r="GV230" s="207"/>
      <c r="GW230" s="207"/>
      <c r="GX230" s="207"/>
      <c r="GY230" s="207"/>
      <c r="GZ230" s="207"/>
      <c r="HA230" s="207"/>
      <c r="HB230" s="207"/>
      <c r="HC230" s="207"/>
      <c r="HD230" s="207"/>
      <c r="HE230" s="207"/>
      <c r="HF230" s="207"/>
      <c r="HG230" s="207"/>
      <c r="HH230" s="207"/>
      <c r="HI230" s="207"/>
      <c r="HJ230" s="207"/>
      <c r="HK230" s="207"/>
      <c r="HL230" s="207"/>
      <c r="HM230" s="207"/>
      <c r="HN230" s="207"/>
      <c r="HO230" s="207"/>
      <c r="HP230" s="207"/>
      <c r="HQ230" s="207"/>
      <c r="HR230" s="207"/>
      <c r="HS230" s="207"/>
      <c r="HT230" s="207"/>
      <c r="HU230" s="207"/>
      <c r="HV230" s="207"/>
      <c r="HW230" s="207"/>
      <c r="HX230" s="207"/>
      <c r="HY230" s="207"/>
      <c r="HZ230" s="207"/>
      <c r="IA230" s="207"/>
      <c r="IB230" s="207"/>
      <c r="IC230" s="207"/>
      <c r="ID230" s="207"/>
      <c r="IE230" s="207"/>
      <c r="IF230" s="207"/>
      <c r="IG230" s="207"/>
      <c r="IH230" s="207"/>
      <c r="II230" s="207"/>
      <c r="IJ230" s="207"/>
      <c r="IK230" s="207"/>
      <c r="IL230" s="207"/>
      <c r="IM230" s="207"/>
      <c r="IN230" s="207"/>
      <c r="IO230" s="207"/>
      <c r="IP230" s="207"/>
      <c r="IQ230" s="207"/>
      <c r="IR230" s="207"/>
    </row>
  </sheetData>
  <mergeCells count="15">
    <mergeCell ref="D215:G215"/>
    <mergeCell ref="B1:D1"/>
    <mergeCell ref="I1:L1"/>
    <mergeCell ref="B2:L2"/>
    <mergeCell ref="B3:L3"/>
    <mergeCell ref="B6:B8"/>
    <mergeCell ref="C6:C8"/>
    <mergeCell ref="D6:D8"/>
    <mergeCell ref="E6:E8"/>
    <mergeCell ref="F6:F8"/>
    <mergeCell ref="G6:G8"/>
    <mergeCell ref="I6:K6"/>
    <mergeCell ref="H6:H8"/>
    <mergeCell ref="L6:L8"/>
    <mergeCell ref="K7:K8"/>
  </mergeCells>
  <printOptions horizontalCentered="1"/>
  <pageMargins left="0.19685039370078741" right="0.19685039370078741" top="0.59055118110236227" bottom="0.59055118110236227" header="0.51181102362204722" footer="0.51181102362204722"/>
  <pageSetup paperSize="9" scale="58" fitToHeight="0" orientation="portrait" r:id="rId1"/>
  <headerFooter>
    <oddFooter>&amp;C- &amp;P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V81"/>
  <sheetViews>
    <sheetView view="pageBreakPreview" zoomScaleNormal="100" zoomScaleSheetLayoutView="100" workbookViewId="0">
      <selection activeCell="R9" sqref="R9"/>
    </sheetView>
  </sheetViews>
  <sheetFormatPr defaultColWidth="9.28515625" defaultRowHeight="17.25" x14ac:dyDescent="0.35"/>
  <cols>
    <col min="1" max="1" width="3.7109375" style="209" customWidth="1"/>
    <col min="2" max="3" width="5.7109375" style="242" customWidth="1"/>
    <col min="4" max="4" width="62.7109375" style="142" customWidth="1"/>
    <col min="5" max="5" width="12.7109375" style="241" customWidth="1"/>
    <col min="6" max="7" width="10.7109375" style="241" customWidth="1"/>
    <col min="8" max="8" width="6.7109375" style="211" customWidth="1"/>
    <col min="9" max="14" width="14.7109375" style="241" customWidth="1"/>
    <col min="15" max="15" width="15.7109375" style="229" customWidth="1"/>
    <col min="16" max="16" width="13.7109375" style="241" customWidth="1"/>
    <col min="17" max="16384" width="9.28515625" style="142"/>
  </cols>
  <sheetData>
    <row r="1" spans="1:256" ht="18" customHeight="1" x14ac:dyDescent="0.3">
      <c r="B1" s="727" t="s">
        <v>1018</v>
      </c>
      <c r="C1" s="727"/>
      <c r="D1" s="728"/>
      <c r="E1" s="200"/>
      <c r="F1" s="200"/>
      <c r="G1" s="200"/>
      <c r="H1" s="210"/>
      <c r="I1" s="1932"/>
      <c r="J1" s="1932"/>
      <c r="K1" s="1932"/>
      <c r="L1" s="1932"/>
      <c r="M1" s="1932"/>
      <c r="N1" s="1932"/>
      <c r="O1" s="1932"/>
      <c r="P1" s="1932"/>
      <c r="Q1" s="201"/>
      <c r="R1" s="201"/>
      <c r="S1" s="201"/>
      <c r="T1" s="201"/>
      <c r="U1" s="201"/>
      <c r="V1" s="201"/>
      <c r="W1" s="201"/>
      <c r="X1" s="201"/>
      <c r="Y1" s="201"/>
      <c r="Z1" s="201"/>
      <c r="AA1" s="201"/>
      <c r="AB1" s="201"/>
      <c r="AC1" s="201"/>
      <c r="AD1" s="201"/>
      <c r="AE1" s="201"/>
      <c r="AF1" s="201"/>
      <c r="AG1" s="201"/>
      <c r="AH1" s="201"/>
      <c r="AI1" s="201"/>
      <c r="AJ1" s="201"/>
      <c r="AK1" s="201"/>
      <c r="AL1" s="201"/>
      <c r="AM1" s="201"/>
      <c r="AN1" s="201"/>
      <c r="AO1" s="201"/>
      <c r="AP1" s="201"/>
      <c r="AQ1" s="201"/>
      <c r="AR1" s="201"/>
      <c r="AS1" s="201"/>
      <c r="AT1" s="201"/>
      <c r="AU1" s="201"/>
      <c r="AV1" s="201"/>
      <c r="AW1" s="201"/>
      <c r="AX1" s="201"/>
      <c r="AY1" s="201"/>
      <c r="AZ1" s="201"/>
      <c r="BA1" s="201"/>
      <c r="BB1" s="201"/>
      <c r="BC1" s="201"/>
      <c r="BD1" s="201"/>
      <c r="BE1" s="201"/>
      <c r="BF1" s="201"/>
      <c r="BG1" s="201"/>
      <c r="BH1" s="201"/>
      <c r="BI1" s="201"/>
      <c r="BJ1" s="201"/>
      <c r="BK1" s="201"/>
      <c r="BL1" s="201"/>
      <c r="BM1" s="201"/>
      <c r="BN1" s="201"/>
      <c r="BO1" s="201"/>
      <c r="BP1" s="201"/>
      <c r="BQ1" s="201"/>
      <c r="BR1" s="201"/>
      <c r="BS1" s="201"/>
      <c r="BT1" s="201"/>
      <c r="BU1" s="201"/>
      <c r="BV1" s="201"/>
      <c r="BW1" s="201"/>
      <c r="BX1" s="201"/>
      <c r="BY1" s="201"/>
      <c r="BZ1" s="201"/>
      <c r="CA1" s="201"/>
      <c r="CB1" s="201"/>
      <c r="CC1" s="201"/>
      <c r="CD1" s="201"/>
      <c r="CE1" s="201"/>
      <c r="CF1" s="201"/>
      <c r="CG1" s="201"/>
      <c r="CH1" s="201"/>
      <c r="CI1" s="201"/>
      <c r="CJ1" s="201"/>
      <c r="CK1" s="201"/>
      <c r="CL1" s="201"/>
      <c r="CM1" s="201"/>
      <c r="CN1" s="201"/>
      <c r="CO1" s="201"/>
      <c r="CP1" s="201"/>
      <c r="CQ1" s="201"/>
      <c r="CR1" s="201"/>
      <c r="CS1" s="201"/>
      <c r="CT1" s="201"/>
      <c r="CU1" s="201"/>
      <c r="CV1" s="201"/>
      <c r="CW1" s="201"/>
      <c r="CX1" s="201"/>
      <c r="CY1" s="201"/>
      <c r="CZ1" s="201"/>
      <c r="DA1" s="201"/>
      <c r="DB1" s="201"/>
      <c r="DC1" s="201"/>
      <c r="DD1" s="201"/>
      <c r="DE1" s="201"/>
      <c r="DF1" s="201"/>
      <c r="DG1" s="201"/>
      <c r="DH1" s="201"/>
      <c r="DI1" s="201"/>
      <c r="DJ1" s="201"/>
      <c r="DK1" s="201"/>
      <c r="DL1" s="201"/>
      <c r="DM1" s="201"/>
      <c r="DN1" s="201"/>
      <c r="DO1" s="201"/>
      <c r="DP1" s="201"/>
      <c r="DQ1" s="201"/>
      <c r="DR1" s="201"/>
      <c r="DS1" s="201"/>
      <c r="DT1" s="201"/>
      <c r="DU1" s="201"/>
      <c r="DV1" s="201"/>
      <c r="DW1" s="201"/>
      <c r="DX1" s="201"/>
      <c r="DY1" s="201"/>
      <c r="DZ1" s="201"/>
      <c r="EA1" s="201"/>
      <c r="EB1" s="201"/>
      <c r="EC1" s="201"/>
      <c r="ED1" s="201"/>
      <c r="EE1" s="201"/>
      <c r="EF1" s="201"/>
      <c r="EG1" s="201"/>
      <c r="EH1" s="201"/>
      <c r="EI1" s="201"/>
      <c r="EJ1" s="201"/>
      <c r="EK1" s="201"/>
      <c r="EL1" s="201"/>
      <c r="EM1" s="201"/>
      <c r="EN1" s="201"/>
      <c r="EO1" s="201"/>
      <c r="EP1" s="201"/>
      <c r="EQ1" s="201"/>
      <c r="ER1" s="201"/>
      <c r="ES1" s="201"/>
      <c r="ET1" s="201"/>
      <c r="EU1" s="201"/>
      <c r="EV1" s="201"/>
      <c r="EW1" s="201"/>
      <c r="EX1" s="201"/>
      <c r="EY1" s="201"/>
      <c r="EZ1" s="201"/>
      <c r="FA1" s="201"/>
      <c r="FB1" s="201"/>
      <c r="FC1" s="201"/>
      <c r="FD1" s="201"/>
      <c r="FE1" s="201"/>
      <c r="FF1" s="201"/>
      <c r="FG1" s="201"/>
      <c r="FH1" s="201"/>
      <c r="FI1" s="201"/>
      <c r="FJ1" s="201"/>
      <c r="FK1" s="201"/>
      <c r="FL1" s="201"/>
      <c r="FM1" s="201"/>
      <c r="FN1" s="201"/>
      <c r="FO1" s="201"/>
      <c r="FP1" s="201"/>
      <c r="FQ1" s="201"/>
      <c r="FR1" s="201"/>
      <c r="FS1" s="201"/>
      <c r="FT1" s="201"/>
      <c r="FU1" s="201"/>
      <c r="FV1" s="201"/>
      <c r="FW1" s="201"/>
      <c r="FX1" s="201"/>
      <c r="FY1" s="201"/>
      <c r="FZ1" s="201"/>
      <c r="GA1" s="201"/>
      <c r="GB1" s="201"/>
      <c r="GC1" s="201"/>
      <c r="GD1" s="201"/>
      <c r="GE1" s="201"/>
      <c r="GF1" s="201"/>
      <c r="GG1" s="201"/>
      <c r="GH1" s="201"/>
      <c r="GI1" s="201"/>
      <c r="GJ1" s="201"/>
      <c r="GK1" s="201"/>
      <c r="GL1" s="201"/>
      <c r="GM1" s="201"/>
      <c r="GN1" s="201"/>
      <c r="GO1" s="201"/>
      <c r="GP1" s="201"/>
      <c r="GQ1" s="201"/>
      <c r="GR1" s="201"/>
      <c r="GS1" s="201"/>
      <c r="GT1" s="201"/>
      <c r="GU1" s="201"/>
      <c r="GV1" s="201"/>
      <c r="GW1" s="201"/>
      <c r="GX1" s="201"/>
      <c r="GY1" s="201"/>
      <c r="GZ1" s="201"/>
      <c r="HA1" s="201"/>
      <c r="HB1" s="201"/>
      <c r="HC1" s="201"/>
      <c r="HD1" s="201"/>
      <c r="HE1" s="201"/>
      <c r="HF1" s="201"/>
      <c r="HG1" s="201"/>
      <c r="HH1" s="201"/>
      <c r="HI1" s="201"/>
      <c r="HJ1" s="201"/>
      <c r="HK1" s="201"/>
      <c r="HL1" s="201"/>
      <c r="HM1" s="201"/>
      <c r="HN1" s="201"/>
      <c r="HO1" s="201"/>
      <c r="HP1" s="201"/>
      <c r="HQ1" s="201"/>
      <c r="HR1" s="201"/>
      <c r="HS1" s="201"/>
      <c r="HT1" s="201"/>
      <c r="HU1" s="201"/>
      <c r="HV1" s="201"/>
      <c r="HW1" s="201"/>
      <c r="HX1" s="201"/>
      <c r="HY1" s="201"/>
      <c r="HZ1" s="201"/>
      <c r="IA1" s="201"/>
      <c r="IB1" s="201"/>
      <c r="IC1" s="201"/>
      <c r="ID1" s="201"/>
      <c r="IE1" s="201"/>
      <c r="IF1" s="201"/>
      <c r="IG1" s="201"/>
      <c r="IH1" s="201"/>
      <c r="II1" s="201"/>
      <c r="IJ1" s="201"/>
      <c r="IK1" s="201"/>
      <c r="IL1" s="201"/>
      <c r="IM1" s="201"/>
      <c r="IN1" s="201"/>
      <c r="IO1" s="201"/>
      <c r="IP1" s="201"/>
    </row>
    <row r="2" spans="1:256" ht="24.75" customHeight="1" x14ac:dyDescent="0.35">
      <c r="A2" s="1933" t="s">
        <v>14</v>
      </c>
      <c r="B2" s="1933"/>
      <c r="C2" s="1933"/>
      <c r="D2" s="1933"/>
      <c r="E2" s="1933"/>
      <c r="F2" s="1933"/>
      <c r="G2" s="1933"/>
      <c r="H2" s="1933"/>
      <c r="I2" s="1933"/>
      <c r="J2" s="1933"/>
      <c r="K2" s="1933"/>
      <c r="L2" s="1933"/>
      <c r="M2" s="1933"/>
      <c r="N2" s="1933"/>
      <c r="O2" s="1933"/>
      <c r="P2" s="1933"/>
    </row>
    <row r="3" spans="1:256" ht="24.75" customHeight="1" x14ac:dyDescent="0.35">
      <c r="A3" s="1982" t="s">
        <v>1019</v>
      </c>
      <c r="B3" s="1982"/>
      <c r="C3" s="1982"/>
      <c r="D3" s="1982"/>
      <c r="E3" s="1982"/>
      <c r="F3" s="1982"/>
      <c r="G3" s="1982"/>
      <c r="H3" s="1982"/>
      <c r="I3" s="1982"/>
      <c r="J3" s="1982"/>
      <c r="K3" s="1982"/>
      <c r="L3" s="1982"/>
      <c r="M3" s="1982"/>
      <c r="N3" s="1982"/>
      <c r="O3" s="1982"/>
      <c r="P3" s="1982"/>
    </row>
    <row r="4" spans="1:256" s="207" customFormat="1" ht="18" customHeight="1" x14ac:dyDescent="0.3">
      <c r="A4" s="209"/>
      <c r="B4" s="209"/>
      <c r="C4" s="209"/>
      <c r="E4" s="206"/>
      <c r="F4" s="206"/>
      <c r="G4" s="206"/>
      <c r="H4" s="247"/>
      <c r="I4" s="206"/>
      <c r="J4" s="206"/>
      <c r="K4" s="206"/>
      <c r="L4" s="206"/>
      <c r="M4" s="206"/>
      <c r="N4" s="206"/>
      <c r="O4" s="248"/>
      <c r="P4" s="208" t="s">
        <v>0</v>
      </c>
    </row>
    <row r="5" spans="1:256" s="236" customFormat="1" ht="18" customHeight="1" thickBot="1" x14ac:dyDescent="0.35">
      <c r="A5" s="249"/>
      <c r="B5" s="250" t="s">
        <v>1</v>
      </c>
      <c r="C5" s="251" t="s">
        <v>3</v>
      </c>
      <c r="D5" s="251" t="s">
        <v>2</v>
      </c>
      <c r="E5" s="251" t="s">
        <v>4</v>
      </c>
      <c r="F5" s="251" t="s">
        <v>5</v>
      </c>
      <c r="G5" s="251" t="s">
        <v>15</v>
      </c>
      <c r="H5" s="251" t="s">
        <v>16</v>
      </c>
      <c r="I5" s="251" t="s">
        <v>17</v>
      </c>
      <c r="J5" s="251" t="s">
        <v>32</v>
      </c>
      <c r="K5" s="251" t="s">
        <v>28</v>
      </c>
      <c r="L5" s="251" t="s">
        <v>23</v>
      </c>
      <c r="M5" s="251" t="s">
        <v>33</v>
      </c>
      <c r="N5" s="251" t="s">
        <v>34</v>
      </c>
      <c r="O5" s="251" t="s">
        <v>126</v>
      </c>
      <c r="P5" s="251" t="s">
        <v>127</v>
      </c>
      <c r="Q5" s="249"/>
      <c r="R5" s="249"/>
      <c r="S5" s="249"/>
      <c r="T5" s="249"/>
      <c r="U5" s="249"/>
      <c r="V5" s="249"/>
      <c r="W5" s="249"/>
      <c r="X5" s="249"/>
      <c r="Y5" s="249"/>
      <c r="Z5" s="249"/>
      <c r="AA5" s="249"/>
      <c r="AB5" s="249"/>
      <c r="AC5" s="249"/>
      <c r="AD5" s="249"/>
      <c r="AE5" s="249"/>
      <c r="AF5" s="249"/>
      <c r="AG5" s="249"/>
      <c r="AH5" s="249"/>
      <c r="AI5" s="249"/>
      <c r="AJ5" s="249"/>
      <c r="AK5" s="249"/>
      <c r="AL5" s="249"/>
      <c r="AM5" s="249"/>
      <c r="AN5" s="249"/>
      <c r="AO5" s="249"/>
      <c r="AP5" s="249"/>
      <c r="AQ5" s="249"/>
      <c r="AR5" s="249"/>
      <c r="AS5" s="249"/>
      <c r="AT5" s="249"/>
      <c r="AU5" s="249"/>
      <c r="AV5" s="249"/>
      <c r="AW5" s="249"/>
      <c r="AX5" s="249"/>
      <c r="AY5" s="249"/>
      <c r="AZ5" s="249"/>
      <c r="BA5" s="249"/>
      <c r="BB5" s="249"/>
      <c r="BC5" s="249"/>
      <c r="BD5" s="249"/>
      <c r="BE5" s="249"/>
      <c r="BF5" s="249"/>
      <c r="BG5" s="249"/>
      <c r="BH5" s="249"/>
      <c r="BI5" s="249"/>
      <c r="BJ5" s="249"/>
      <c r="BK5" s="249"/>
      <c r="BL5" s="249"/>
      <c r="BM5" s="249"/>
      <c r="BN5" s="249"/>
      <c r="BO5" s="249"/>
      <c r="BP5" s="249"/>
      <c r="BQ5" s="249"/>
      <c r="BR5" s="249"/>
      <c r="BS5" s="249"/>
      <c r="BT5" s="249"/>
      <c r="BU5" s="249"/>
      <c r="BV5" s="249"/>
      <c r="BW5" s="249"/>
      <c r="BX5" s="249"/>
      <c r="BY5" s="249"/>
      <c r="BZ5" s="249"/>
      <c r="CA5" s="249"/>
      <c r="CB5" s="249"/>
      <c r="CC5" s="249"/>
      <c r="CD5" s="249"/>
      <c r="CE5" s="249"/>
      <c r="CF5" s="249"/>
      <c r="CG5" s="249"/>
      <c r="CH5" s="249"/>
      <c r="CI5" s="249"/>
      <c r="CJ5" s="249"/>
      <c r="CK5" s="249"/>
      <c r="CL5" s="249"/>
      <c r="CM5" s="249"/>
      <c r="CN5" s="249"/>
      <c r="CO5" s="249"/>
      <c r="CP5" s="249"/>
      <c r="CQ5" s="249"/>
      <c r="CR5" s="249"/>
      <c r="CS5" s="249"/>
      <c r="CT5" s="249"/>
      <c r="CU5" s="249"/>
      <c r="CV5" s="249"/>
      <c r="CW5" s="249"/>
      <c r="CX5" s="249"/>
      <c r="CY5" s="249"/>
      <c r="CZ5" s="249"/>
      <c r="DA5" s="249"/>
      <c r="DB5" s="249"/>
      <c r="DC5" s="249"/>
      <c r="DD5" s="249"/>
      <c r="DE5" s="249"/>
      <c r="DF5" s="249"/>
      <c r="DG5" s="249"/>
      <c r="DH5" s="249"/>
      <c r="DI5" s="249"/>
      <c r="DJ5" s="249"/>
      <c r="DK5" s="249"/>
      <c r="DL5" s="249"/>
      <c r="DM5" s="249"/>
      <c r="DN5" s="249"/>
      <c r="DO5" s="249"/>
      <c r="DP5" s="249"/>
      <c r="DQ5" s="249"/>
      <c r="DR5" s="249"/>
      <c r="DS5" s="249"/>
      <c r="DT5" s="249"/>
      <c r="DU5" s="249"/>
      <c r="DV5" s="249"/>
      <c r="DW5" s="249"/>
      <c r="DX5" s="249"/>
      <c r="DY5" s="249"/>
      <c r="DZ5" s="249"/>
      <c r="EA5" s="249"/>
      <c r="EB5" s="249"/>
      <c r="EC5" s="249"/>
      <c r="ED5" s="249"/>
      <c r="EE5" s="249"/>
      <c r="EF5" s="249"/>
      <c r="EG5" s="249"/>
      <c r="EH5" s="249"/>
      <c r="EI5" s="249"/>
      <c r="EJ5" s="249"/>
      <c r="EK5" s="249"/>
      <c r="EL5" s="249"/>
      <c r="EM5" s="249"/>
      <c r="EN5" s="249"/>
      <c r="EO5" s="249"/>
      <c r="EP5" s="249"/>
      <c r="EQ5" s="249"/>
      <c r="ER5" s="249"/>
      <c r="ES5" s="249"/>
      <c r="ET5" s="249"/>
      <c r="EU5" s="249"/>
      <c r="EV5" s="249"/>
      <c r="EW5" s="249"/>
      <c r="EX5" s="249"/>
      <c r="EY5" s="249"/>
      <c r="EZ5" s="249"/>
      <c r="FA5" s="249"/>
      <c r="FB5" s="249"/>
      <c r="FC5" s="249"/>
      <c r="FD5" s="249"/>
      <c r="FE5" s="249"/>
      <c r="FF5" s="249"/>
      <c r="FG5" s="249"/>
      <c r="FH5" s="249"/>
      <c r="FI5" s="249"/>
      <c r="FJ5" s="249"/>
      <c r="FK5" s="249"/>
      <c r="FL5" s="249"/>
      <c r="FM5" s="249"/>
      <c r="FN5" s="249"/>
      <c r="FO5" s="249"/>
      <c r="FP5" s="249"/>
      <c r="FQ5" s="249"/>
      <c r="FR5" s="249"/>
      <c r="FS5" s="249"/>
      <c r="FT5" s="249"/>
      <c r="FU5" s="249"/>
      <c r="FV5" s="249"/>
      <c r="FW5" s="249"/>
      <c r="FX5" s="249"/>
      <c r="FY5" s="249"/>
      <c r="FZ5" s="249"/>
      <c r="GA5" s="249"/>
      <c r="GB5" s="249"/>
      <c r="GC5" s="249"/>
      <c r="GD5" s="249"/>
      <c r="GE5" s="249"/>
      <c r="GF5" s="249"/>
      <c r="GG5" s="249"/>
      <c r="GH5" s="249"/>
      <c r="GI5" s="249"/>
      <c r="GJ5" s="249"/>
      <c r="GK5" s="249"/>
      <c r="GL5" s="249"/>
      <c r="GM5" s="249"/>
      <c r="GN5" s="249"/>
      <c r="GO5" s="249"/>
      <c r="GP5" s="249"/>
      <c r="GQ5" s="249"/>
      <c r="GR5" s="249"/>
      <c r="GS5" s="249"/>
      <c r="GT5" s="249"/>
      <c r="GU5" s="249"/>
      <c r="GV5" s="249"/>
      <c r="GW5" s="249"/>
      <c r="GX5" s="249"/>
      <c r="GY5" s="249"/>
      <c r="GZ5" s="249"/>
      <c r="HA5" s="249"/>
      <c r="HB5" s="249"/>
      <c r="HC5" s="249"/>
      <c r="HD5" s="249"/>
      <c r="HE5" s="249"/>
      <c r="HF5" s="249"/>
      <c r="HG5" s="249"/>
      <c r="HH5" s="249"/>
      <c r="HI5" s="249"/>
      <c r="HJ5" s="249"/>
      <c r="HK5" s="249"/>
      <c r="HL5" s="249"/>
      <c r="HM5" s="249"/>
      <c r="HN5" s="249"/>
      <c r="HO5" s="249"/>
      <c r="HP5" s="249"/>
      <c r="HQ5" s="249"/>
      <c r="HR5" s="249"/>
      <c r="HS5" s="249"/>
      <c r="HT5" s="249"/>
      <c r="HU5" s="249"/>
      <c r="HV5" s="249"/>
      <c r="HW5" s="249"/>
      <c r="HX5" s="249"/>
      <c r="HY5" s="249"/>
      <c r="HZ5" s="249"/>
      <c r="IA5" s="249"/>
      <c r="IB5" s="249"/>
      <c r="IC5" s="249"/>
      <c r="ID5" s="249"/>
      <c r="IE5" s="249"/>
      <c r="IF5" s="249"/>
      <c r="IG5" s="249"/>
      <c r="IH5" s="249"/>
      <c r="II5" s="249"/>
      <c r="IJ5" s="249"/>
      <c r="IK5" s="249"/>
      <c r="IL5" s="249"/>
      <c r="IM5" s="249"/>
      <c r="IN5" s="249"/>
      <c r="IO5" s="249"/>
      <c r="IP5" s="249"/>
    </row>
    <row r="6" spans="1:256" ht="22.5" customHeight="1" x14ac:dyDescent="0.3">
      <c r="B6" s="1976" t="s">
        <v>18</v>
      </c>
      <c r="C6" s="1972" t="s">
        <v>19</v>
      </c>
      <c r="D6" s="1983" t="s">
        <v>6</v>
      </c>
      <c r="E6" s="1979" t="s">
        <v>521</v>
      </c>
      <c r="F6" s="1979" t="s">
        <v>550</v>
      </c>
      <c r="G6" s="1986" t="s">
        <v>846</v>
      </c>
      <c r="H6" s="1959" t="s">
        <v>20</v>
      </c>
      <c r="I6" s="1989" t="s">
        <v>524</v>
      </c>
      <c r="J6" s="1979"/>
      <c r="K6" s="1979"/>
      <c r="L6" s="1979"/>
      <c r="M6" s="1979"/>
      <c r="N6" s="1979"/>
      <c r="O6" s="1990"/>
      <c r="P6" s="1991" t="s">
        <v>551</v>
      </c>
      <c r="Q6" s="1975"/>
      <c r="R6" s="1975"/>
    </row>
    <row r="7" spans="1:256" ht="33" customHeight="1" x14ac:dyDescent="0.3">
      <c r="B7" s="1977"/>
      <c r="C7" s="1973"/>
      <c r="D7" s="1984"/>
      <c r="E7" s="1980"/>
      <c r="F7" s="1980"/>
      <c r="G7" s="1987"/>
      <c r="H7" s="1960"/>
      <c r="I7" s="1994" t="s">
        <v>333</v>
      </c>
      <c r="J7" s="1995"/>
      <c r="K7" s="1996"/>
      <c r="L7" s="1996"/>
      <c r="M7" s="1997" t="s">
        <v>129</v>
      </c>
      <c r="N7" s="1997"/>
      <c r="O7" s="1967" t="s">
        <v>102</v>
      </c>
      <c r="P7" s="1992"/>
    </row>
    <row r="8" spans="1:256" ht="53.25" customHeight="1" thickBot="1" x14ac:dyDescent="0.35">
      <c r="B8" s="1978"/>
      <c r="C8" s="1974"/>
      <c r="D8" s="1985"/>
      <c r="E8" s="1981"/>
      <c r="F8" s="1981"/>
      <c r="G8" s="1988"/>
      <c r="H8" s="1961"/>
      <c r="I8" s="258" t="s">
        <v>36</v>
      </c>
      <c r="J8" s="212" t="s">
        <v>331</v>
      </c>
      <c r="K8" s="213" t="s">
        <v>38</v>
      </c>
      <c r="L8" s="213" t="s">
        <v>332</v>
      </c>
      <c r="M8" s="212" t="s">
        <v>193</v>
      </c>
      <c r="N8" s="212" t="s">
        <v>130</v>
      </c>
      <c r="O8" s="1968"/>
      <c r="P8" s="1993"/>
    </row>
    <row r="9" spans="1:256" s="216" customFormat="1" ht="22.5" customHeight="1" x14ac:dyDescent="0.35">
      <c r="A9" s="228">
        <v>1</v>
      </c>
      <c r="B9" s="214">
        <v>18</v>
      </c>
      <c r="C9" s="225" t="s">
        <v>14</v>
      </c>
      <c r="D9" s="253"/>
      <c r="E9" s="149"/>
      <c r="F9" s="147"/>
      <c r="G9" s="148"/>
      <c r="H9" s="262"/>
      <c r="I9" s="273"/>
      <c r="J9" s="274"/>
      <c r="K9" s="274"/>
      <c r="L9" s="274"/>
      <c r="M9" s="274"/>
      <c r="N9" s="274"/>
      <c r="O9" s="275"/>
      <c r="P9" s="217"/>
      <c r="Q9" s="142"/>
      <c r="R9" s="142"/>
      <c r="S9" s="142"/>
      <c r="T9" s="142"/>
      <c r="U9" s="142"/>
      <c r="V9" s="142"/>
      <c r="W9" s="142"/>
      <c r="X9" s="142"/>
      <c r="Y9" s="142"/>
      <c r="Z9" s="142"/>
      <c r="AA9" s="142"/>
      <c r="AB9" s="142"/>
      <c r="AC9" s="142"/>
      <c r="AD9" s="142"/>
      <c r="AE9" s="142"/>
      <c r="AF9" s="142"/>
      <c r="AG9" s="142"/>
      <c r="AH9" s="142"/>
      <c r="AI9" s="142"/>
      <c r="AJ9" s="142"/>
      <c r="AK9" s="142"/>
      <c r="AL9" s="142"/>
      <c r="AM9" s="142"/>
      <c r="AN9" s="142"/>
      <c r="AO9" s="142"/>
      <c r="AP9" s="142"/>
      <c r="AQ9" s="142"/>
      <c r="AR9" s="142"/>
      <c r="AS9" s="142"/>
      <c r="AT9" s="142"/>
      <c r="AU9" s="142"/>
      <c r="AV9" s="142"/>
      <c r="AW9" s="142"/>
      <c r="AX9" s="142"/>
      <c r="AY9" s="142"/>
      <c r="AZ9" s="142"/>
      <c r="BA9" s="142"/>
      <c r="BB9" s="142"/>
      <c r="BC9" s="142"/>
      <c r="BD9" s="142"/>
      <c r="BE9" s="142"/>
      <c r="BF9" s="142"/>
      <c r="BG9" s="142"/>
      <c r="BH9" s="142"/>
      <c r="BI9" s="142"/>
      <c r="BJ9" s="142"/>
      <c r="BK9" s="142"/>
      <c r="BL9" s="142"/>
      <c r="BM9" s="142"/>
      <c r="BN9" s="142"/>
      <c r="BO9" s="142"/>
      <c r="BP9" s="142"/>
      <c r="BQ9" s="142"/>
      <c r="BR9" s="142"/>
      <c r="BS9" s="142"/>
      <c r="BT9" s="142"/>
      <c r="BU9" s="142"/>
      <c r="BV9" s="142"/>
      <c r="BW9" s="142"/>
      <c r="BX9" s="142"/>
      <c r="BY9" s="142"/>
      <c r="BZ9" s="142"/>
      <c r="CA9" s="142"/>
      <c r="CB9" s="142"/>
      <c r="CC9" s="142"/>
      <c r="CD9" s="142"/>
      <c r="CE9" s="142"/>
      <c r="CF9" s="142"/>
      <c r="CG9" s="142"/>
      <c r="CH9" s="142"/>
      <c r="CI9" s="142"/>
      <c r="CJ9" s="142"/>
      <c r="CK9" s="142"/>
      <c r="CL9" s="142"/>
      <c r="CM9" s="142"/>
      <c r="CN9" s="142"/>
      <c r="CO9" s="142"/>
      <c r="CP9" s="142"/>
      <c r="CQ9" s="142"/>
      <c r="CR9" s="142"/>
      <c r="CS9" s="142"/>
      <c r="CT9" s="142"/>
      <c r="CU9" s="142"/>
      <c r="CV9" s="142"/>
      <c r="CW9" s="142"/>
      <c r="CX9" s="142"/>
      <c r="CY9" s="142"/>
      <c r="CZ9" s="142"/>
      <c r="DA9" s="142"/>
      <c r="DB9" s="142"/>
      <c r="DC9" s="142"/>
      <c r="DD9" s="142"/>
      <c r="DE9" s="142"/>
      <c r="DF9" s="142"/>
      <c r="DG9" s="142"/>
      <c r="DH9" s="142"/>
      <c r="DI9" s="142"/>
      <c r="DJ9" s="142"/>
      <c r="DK9" s="142"/>
      <c r="DL9" s="142"/>
      <c r="DM9" s="142"/>
      <c r="DN9" s="142"/>
      <c r="DO9" s="142"/>
      <c r="DP9" s="142"/>
      <c r="DQ9" s="142"/>
      <c r="DR9" s="142"/>
      <c r="DS9" s="142"/>
      <c r="DT9" s="142"/>
      <c r="DU9" s="142"/>
      <c r="DV9" s="142"/>
      <c r="DW9" s="142"/>
      <c r="DX9" s="142"/>
      <c r="DY9" s="142"/>
      <c r="DZ9" s="142"/>
      <c r="EA9" s="142"/>
      <c r="EB9" s="142"/>
      <c r="EC9" s="142"/>
      <c r="ED9" s="142"/>
      <c r="EE9" s="142"/>
      <c r="EF9" s="142"/>
      <c r="EG9" s="142"/>
      <c r="EH9" s="142"/>
      <c r="EI9" s="142"/>
      <c r="EJ9" s="142"/>
      <c r="EK9" s="142"/>
      <c r="EL9" s="142"/>
      <c r="EM9" s="142"/>
      <c r="EN9" s="142"/>
      <c r="EO9" s="142"/>
      <c r="EP9" s="142"/>
      <c r="EQ9" s="142"/>
      <c r="ER9" s="142"/>
      <c r="ES9" s="142"/>
      <c r="ET9" s="142"/>
      <c r="EU9" s="142"/>
      <c r="EV9" s="142"/>
      <c r="EW9" s="142"/>
      <c r="EX9" s="142"/>
      <c r="EY9" s="142"/>
      <c r="EZ9" s="142"/>
      <c r="FA9" s="142"/>
      <c r="FB9" s="142"/>
      <c r="FC9" s="142"/>
      <c r="FD9" s="142"/>
      <c r="FE9" s="142"/>
      <c r="FF9" s="142"/>
      <c r="FG9" s="142"/>
      <c r="FH9" s="142"/>
      <c r="FI9" s="142"/>
      <c r="FJ9" s="142"/>
      <c r="FK9" s="142"/>
      <c r="FL9" s="142"/>
      <c r="FM9" s="142"/>
      <c r="FN9" s="142"/>
      <c r="FO9" s="142"/>
      <c r="FP9" s="142"/>
      <c r="FQ9" s="142"/>
      <c r="FR9" s="142"/>
      <c r="FS9" s="142"/>
      <c r="FT9" s="142"/>
      <c r="FU9" s="142"/>
      <c r="FV9" s="142"/>
      <c r="FW9" s="142"/>
      <c r="FX9" s="142"/>
      <c r="FY9" s="142"/>
      <c r="FZ9" s="142"/>
      <c r="GA9" s="142"/>
      <c r="GB9" s="142"/>
      <c r="GC9" s="142"/>
      <c r="GD9" s="142"/>
      <c r="GE9" s="142"/>
      <c r="GF9" s="142"/>
      <c r="GG9" s="142"/>
      <c r="GH9" s="142"/>
      <c r="GI9" s="142"/>
      <c r="GJ9" s="142"/>
      <c r="GK9" s="142"/>
      <c r="GL9" s="142"/>
      <c r="GM9" s="142"/>
      <c r="GN9" s="142"/>
      <c r="GO9" s="142"/>
      <c r="GP9" s="142"/>
      <c r="GQ9" s="142"/>
      <c r="GR9" s="142"/>
      <c r="GS9" s="142"/>
      <c r="GT9" s="142"/>
      <c r="GU9" s="142"/>
      <c r="GV9" s="142"/>
      <c r="GW9" s="142"/>
      <c r="GX9" s="142"/>
      <c r="GY9" s="142"/>
      <c r="GZ9" s="142"/>
      <c r="HA9" s="142"/>
      <c r="HB9" s="142"/>
      <c r="HC9" s="142"/>
      <c r="HD9" s="142"/>
      <c r="HE9" s="142"/>
      <c r="HF9" s="142"/>
      <c r="HG9" s="142"/>
      <c r="HH9" s="142"/>
      <c r="HI9" s="142"/>
      <c r="HJ9" s="142"/>
      <c r="HK9" s="142"/>
      <c r="HL9" s="142"/>
      <c r="HM9" s="142"/>
      <c r="HN9" s="142"/>
      <c r="HO9" s="142"/>
      <c r="HP9" s="142"/>
      <c r="HQ9" s="142"/>
      <c r="HR9" s="142"/>
      <c r="HS9" s="142"/>
      <c r="HT9" s="142"/>
      <c r="HU9" s="142"/>
      <c r="HV9" s="142"/>
      <c r="HW9" s="142"/>
      <c r="HX9" s="142"/>
      <c r="HY9" s="142"/>
      <c r="HZ9" s="142"/>
      <c r="IA9" s="142"/>
      <c r="IB9" s="142"/>
      <c r="IC9" s="142"/>
      <c r="ID9" s="142"/>
      <c r="IE9" s="142"/>
      <c r="IF9" s="142"/>
      <c r="IG9" s="142"/>
      <c r="IH9" s="142"/>
      <c r="II9" s="142"/>
      <c r="IJ9" s="142"/>
      <c r="IK9" s="142"/>
      <c r="IL9" s="142"/>
      <c r="IM9" s="142"/>
      <c r="IN9" s="142"/>
      <c r="IO9" s="142"/>
      <c r="IP9" s="142"/>
      <c r="IQ9" s="142"/>
      <c r="IR9" s="142"/>
      <c r="IS9" s="142"/>
      <c r="IT9" s="142"/>
      <c r="IU9" s="142"/>
      <c r="IV9" s="142"/>
    </row>
    <row r="10" spans="1:256" s="216" customFormat="1" ht="33.75" customHeight="1" x14ac:dyDescent="0.35">
      <c r="A10" s="228">
        <v>2</v>
      </c>
      <c r="B10" s="223"/>
      <c r="C10" s="143">
        <v>1</v>
      </c>
      <c r="D10" s="252" t="s">
        <v>515</v>
      </c>
      <c r="E10" s="665">
        <f>F10+G10+O12+P11+2207</f>
        <v>81250</v>
      </c>
      <c r="F10" s="151"/>
      <c r="G10" s="686">
        <v>21668</v>
      </c>
      <c r="H10" s="279" t="s">
        <v>24</v>
      </c>
      <c r="I10" s="367"/>
      <c r="J10" s="255"/>
      <c r="K10" s="255"/>
      <c r="L10" s="255"/>
      <c r="M10" s="255"/>
      <c r="N10" s="271"/>
      <c r="O10" s="277"/>
      <c r="P10" s="220"/>
      <c r="Q10" s="142"/>
      <c r="R10" s="142"/>
      <c r="S10" s="142"/>
      <c r="T10" s="142"/>
      <c r="U10" s="142"/>
      <c r="V10" s="142"/>
      <c r="W10" s="142"/>
      <c r="X10" s="142"/>
      <c r="Y10" s="142"/>
      <c r="Z10" s="142"/>
      <c r="AA10" s="142"/>
      <c r="AB10" s="142"/>
      <c r="AC10" s="142"/>
      <c r="AD10" s="142"/>
      <c r="AE10" s="142"/>
      <c r="AF10" s="142"/>
      <c r="AG10" s="142"/>
      <c r="AH10" s="142"/>
      <c r="AI10" s="142"/>
      <c r="AJ10" s="142"/>
      <c r="AK10" s="142"/>
      <c r="AL10" s="142"/>
      <c r="AM10" s="142"/>
      <c r="AN10" s="142"/>
      <c r="AO10" s="142"/>
      <c r="AP10" s="142"/>
      <c r="AQ10" s="142"/>
      <c r="AR10" s="142"/>
      <c r="AS10" s="142"/>
      <c r="AT10" s="142"/>
      <c r="AU10" s="142"/>
      <c r="AV10" s="142"/>
      <c r="AW10" s="142"/>
      <c r="AX10" s="142"/>
      <c r="AY10" s="142"/>
      <c r="AZ10" s="142"/>
      <c r="BA10" s="142"/>
      <c r="BB10" s="142"/>
      <c r="BC10" s="142"/>
      <c r="BD10" s="142"/>
      <c r="BE10" s="142"/>
      <c r="BF10" s="142"/>
      <c r="BG10" s="142"/>
      <c r="BH10" s="142"/>
      <c r="BI10" s="142"/>
      <c r="BJ10" s="142"/>
      <c r="BK10" s="142"/>
      <c r="BL10" s="142"/>
      <c r="BM10" s="142"/>
      <c r="BN10" s="142"/>
      <c r="BO10" s="142"/>
      <c r="BP10" s="142"/>
      <c r="BQ10" s="142"/>
      <c r="BR10" s="142"/>
      <c r="BS10" s="142"/>
      <c r="BT10" s="142"/>
      <c r="BU10" s="142"/>
      <c r="BV10" s="142"/>
      <c r="BW10" s="142"/>
      <c r="BX10" s="142"/>
      <c r="BY10" s="142"/>
      <c r="BZ10" s="142"/>
      <c r="CA10" s="142"/>
      <c r="CB10" s="142"/>
      <c r="CC10" s="142"/>
      <c r="CD10" s="142"/>
      <c r="CE10" s="142"/>
      <c r="CF10" s="142"/>
      <c r="CG10" s="142"/>
      <c r="CH10" s="142"/>
      <c r="CI10" s="142"/>
      <c r="CJ10" s="142"/>
      <c r="CK10" s="142"/>
      <c r="CL10" s="142"/>
      <c r="CM10" s="142"/>
      <c r="CN10" s="142"/>
      <c r="CO10" s="142"/>
      <c r="CP10" s="142"/>
      <c r="CQ10" s="142"/>
      <c r="CR10" s="142"/>
      <c r="CS10" s="142"/>
      <c r="CT10" s="142"/>
      <c r="CU10" s="142"/>
      <c r="CV10" s="142"/>
      <c r="CW10" s="142"/>
      <c r="CX10" s="142"/>
      <c r="CY10" s="142"/>
      <c r="CZ10" s="142"/>
      <c r="DA10" s="142"/>
      <c r="DB10" s="142"/>
      <c r="DC10" s="142"/>
      <c r="DD10" s="142"/>
      <c r="DE10" s="142"/>
      <c r="DF10" s="142"/>
      <c r="DG10" s="142"/>
      <c r="DH10" s="142"/>
      <c r="DI10" s="142"/>
      <c r="DJ10" s="142"/>
      <c r="DK10" s="142"/>
      <c r="DL10" s="142"/>
      <c r="DM10" s="142"/>
      <c r="DN10" s="142"/>
      <c r="DO10" s="142"/>
      <c r="DP10" s="142"/>
      <c r="DQ10" s="142"/>
      <c r="DR10" s="142"/>
      <c r="DS10" s="142"/>
      <c r="DT10" s="142"/>
      <c r="DU10" s="142"/>
      <c r="DV10" s="142"/>
      <c r="DW10" s="142"/>
      <c r="DX10" s="142"/>
      <c r="DY10" s="142"/>
      <c r="DZ10" s="142"/>
      <c r="EA10" s="142"/>
      <c r="EB10" s="142"/>
      <c r="EC10" s="142"/>
      <c r="ED10" s="142"/>
      <c r="EE10" s="142"/>
      <c r="EF10" s="142"/>
      <c r="EG10" s="142"/>
      <c r="EH10" s="142"/>
      <c r="EI10" s="142"/>
      <c r="EJ10" s="142"/>
      <c r="EK10" s="142"/>
      <c r="EL10" s="142"/>
      <c r="EM10" s="142"/>
      <c r="EN10" s="142"/>
      <c r="EO10" s="142"/>
      <c r="EP10" s="142"/>
      <c r="EQ10" s="142"/>
      <c r="ER10" s="142"/>
      <c r="ES10" s="142"/>
      <c r="ET10" s="142"/>
      <c r="EU10" s="142"/>
      <c r="EV10" s="142"/>
      <c r="EW10" s="142"/>
      <c r="EX10" s="142"/>
      <c r="EY10" s="142"/>
      <c r="EZ10" s="142"/>
      <c r="FA10" s="142"/>
      <c r="FB10" s="142"/>
      <c r="FC10" s="142"/>
      <c r="FD10" s="142"/>
      <c r="FE10" s="142"/>
      <c r="FF10" s="142"/>
      <c r="FG10" s="142"/>
      <c r="FH10" s="142"/>
      <c r="FI10" s="142"/>
      <c r="FJ10" s="142"/>
      <c r="FK10" s="142"/>
      <c r="FL10" s="142"/>
      <c r="FM10" s="142"/>
      <c r="FN10" s="142"/>
      <c r="FO10" s="142"/>
      <c r="FP10" s="142"/>
      <c r="FQ10" s="142"/>
      <c r="FR10" s="142"/>
      <c r="FS10" s="142"/>
      <c r="FT10" s="142"/>
      <c r="FU10" s="142"/>
      <c r="FV10" s="142"/>
      <c r="FW10" s="142"/>
      <c r="FX10" s="142"/>
      <c r="FY10" s="142"/>
      <c r="FZ10" s="142"/>
      <c r="GA10" s="142"/>
      <c r="GB10" s="142"/>
      <c r="GC10" s="142"/>
      <c r="GD10" s="142"/>
      <c r="GE10" s="142"/>
      <c r="GF10" s="142"/>
      <c r="GG10" s="142"/>
      <c r="GH10" s="142"/>
      <c r="GI10" s="142"/>
      <c r="GJ10" s="142"/>
      <c r="GK10" s="142"/>
      <c r="GL10" s="142"/>
      <c r="GM10" s="142"/>
      <c r="GN10" s="142"/>
      <c r="GO10" s="142"/>
      <c r="GP10" s="142"/>
      <c r="GQ10" s="142"/>
      <c r="GR10" s="142"/>
      <c r="GS10" s="142"/>
      <c r="GT10" s="142"/>
      <c r="GU10" s="142"/>
      <c r="GV10" s="142"/>
      <c r="GW10" s="142"/>
      <c r="GX10" s="142"/>
      <c r="GY10" s="142"/>
      <c r="GZ10" s="142"/>
      <c r="HA10" s="142"/>
      <c r="HB10" s="142"/>
      <c r="HC10" s="142"/>
      <c r="HD10" s="142"/>
      <c r="HE10" s="142"/>
      <c r="HF10" s="142"/>
      <c r="HG10" s="142"/>
      <c r="HH10" s="142"/>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c r="IK10" s="142"/>
      <c r="IL10" s="142"/>
      <c r="IM10" s="142"/>
      <c r="IN10" s="142"/>
      <c r="IO10" s="142"/>
      <c r="IP10" s="142"/>
      <c r="IQ10" s="142"/>
      <c r="IR10" s="142"/>
      <c r="IS10" s="142"/>
      <c r="IT10" s="142"/>
      <c r="IU10" s="142"/>
      <c r="IV10" s="142"/>
    </row>
    <row r="11" spans="1:256" ht="18" customHeight="1" x14ac:dyDescent="0.35">
      <c r="A11" s="228">
        <v>3</v>
      </c>
      <c r="B11" s="198"/>
      <c r="C11" s="159"/>
      <c r="D11" s="257" t="s">
        <v>252</v>
      </c>
      <c r="E11" s="151"/>
      <c r="F11" s="151"/>
      <c r="G11" s="152"/>
      <c r="H11" s="263"/>
      <c r="I11" s="367"/>
      <c r="J11" s="255"/>
      <c r="K11" s="255">
        <v>57375</v>
      </c>
      <c r="L11" s="255"/>
      <c r="M11" s="255"/>
      <c r="N11" s="271"/>
      <c r="O11" s="254">
        <f>SUM(I11:N11)</f>
        <v>57375</v>
      </c>
      <c r="P11" s="220"/>
    </row>
    <row r="12" spans="1:256" ht="18" customHeight="1" x14ac:dyDescent="0.35">
      <c r="A12" s="228">
        <v>4</v>
      </c>
      <c r="B12" s="198"/>
      <c r="C12" s="159"/>
      <c r="D12" s="923" t="s">
        <v>921</v>
      </c>
      <c r="E12" s="151"/>
      <c r="F12" s="151"/>
      <c r="G12" s="152"/>
      <c r="H12" s="263"/>
      <c r="I12" s="698"/>
      <c r="J12" s="347"/>
      <c r="K12" s="347">
        <v>57375</v>
      </c>
      <c r="L12" s="347"/>
      <c r="M12" s="347"/>
      <c r="N12" s="151"/>
      <c r="O12" s="224">
        <f>SUM(I12:N12)</f>
        <v>57375</v>
      </c>
      <c r="P12" s="220"/>
    </row>
    <row r="13" spans="1:256" ht="18" customHeight="1" x14ac:dyDescent="0.35">
      <c r="A13" s="228">
        <v>5</v>
      </c>
      <c r="B13" s="198"/>
      <c r="C13" s="159"/>
      <c r="D13" s="920" t="s">
        <v>973</v>
      </c>
      <c r="E13" s="151"/>
      <c r="F13" s="151"/>
      <c r="G13" s="152"/>
      <c r="H13" s="263"/>
      <c r="I13" s="367"/>
      <c r="J13" s="255"/>
      <c r="K13" s="1751">
        <v>10033</v>
      </c>
      <c r="L13" s="255"/>
      <c r="M13" s="255"/>
      <c r="N13" s="271"/>
      <c r="O13" s="922">
        <f>SUM(I13:N13)</f>
        <v>10033</v>
      </c>
      <c r="P13" s="220"/>
    </row>
    <row r="14" spans="1:256" ht="33" x14ac:dyDescent="0.35">
      <c r="A14" s="228">
        <v>6</v>
      </c>
      <c r="B14" s="198"/>
      <c r="C14" s="143">
        <v>3</v>
      </c>
      <c r="D14" s="145" t="s">
        <v>377</v>
      </c>
      <c r="E14" s="665">
        <f>F14+G14+O16</f>
        <v>233789</v>
      </c>
      <c r="F14" s="705">
        <f>9749+3835+7697+140243+15</f>
        <v>161539</v>
      </c>
      <c r="G14" s="686">
        <v>71235</v>
      </c>
      <c r="H14" s="263" t="s">
        <v>24</v>
      </c>
      <c r="I14" s="261"/>
      <c r="J14" s="256"/>
      <c r="K14" s="256"/>
      <c r="L14" s="256"/>
      <c r="M14" s="256"/>
      <c r="N14" s="272"/>
      <c r="O14" s="254"/>
      <c r="P14" s="220"/>
    </row>
    <row r="15" spans="1:256" s="216" customFormat="1" ht="18" customHeight="1" x14ac:dyDescent="0.35">
      <c r="A15" s="228">
        <v>7</v>
      </c>
      <c r="B15" s="223"/>
      <c r="C15" s="159"/>
      <c r="D15" s="257" t="s">
        <v>252</v>
      </c>
      <c r="E15" s="151"/>
      <c r="F15" s="219"/>
      <c r="G15" s="152"/>
      <c r="H15" s="263"/>
      <c r="I15" s="261"/>
      <c r="J15" s="256"/>
      <c r="K15" s="256">
        <v>1015</v>
      </c>
      <c r="L15" s="256"/>
      <c r="M15" s="256"/>
      <c r="N15" s="272"/>
      <c r="O15" s="254">
        <f>SUM(I15:N15)</f>
        <v>1015</v>
      </c>
      <c r="P15" s="220"/>
      <c r="Q15" s="142"/>
      <c r="R15" s="142"/>
      <c r="S15" s="142"/>
      <c r="T15" s="142"/>
      <c r="U15" s="142"/>
      <c r="V15" s="142"/>
      <c r="W15" s="142"/>
      <c r="X15" s="142"/>
      <c r="Y15" s="142"/>
      <c r="Z15" s="142"/>
      <c r="AA15" s="142"/>
      <c r="AB15" s="142"/>
      <c r="AC15" s="142"/>
      <c r="AD15" s="142"/>
      <c r="AE15" s="142"/>
      <c r="AF15" s="142"/>
      <c r="AG15" s="142"/>
      <c r="AH15" s="142"/>
      <c r="AI15" s="142"/>
      <c r="AJ15" s="142"/>
      <c r="AK15" s="142"/>
      <c r="AL15" s="142"/>
      <c r="AM15" s="142"/>
      <c r="AN15" s="142"/>
      <c r="AO15" s="142"/>
      <c r="AP15" s="142"/>
      <c r="AQ15" s="142"/>
      <c r="AR15" s="142"/>
      <c r="AS15" s="142"/>
      <c r="AT15" s="142"/>
      <c r="AU15" s="142"/>
      <c r="AV15" s="142"/>
      <c r="AW15" s="142"/>
      <c r="AX15" s="142"/>
      <c r="AY15" s="142"/>
      <c r="AZ15" s="142"/>
      <c r="BA15" s="142"/>
      <c r="BB15" s="142"/>
      <c r="BC15" s="142"/>
      <c r="BD15" s="142"/>
      <c r="BE15" s="142"/>
      <c r="BF15" s="142"/>
      <c r="BG15" s="142"/>
      <c r="BH15" s="142"/>
      <c r="BI15" s="142"/>
      <c r="BJ15" s="142"/>
      <c r="BK15" s="142"/>
      <c r="BL15" s="142"/>
      <c r="BM15" s="142"/>
      <c r="BN15" s="142"/>
      <c r="BO15" s="142"/>
      <c r="BP15" s="142"/>
      <c r="BQ15" s="142"/>
      <c r="BR15" s="142"/>
      <c r="BS15" s="142"/>
      <c r="BT15" s="142"/>
      <c r="BU15" s="142"/>
      <c r="BV15" s="142"/>
      <c r="BW15" s="142"/>
      <c r="BX15" s="142"/>
      <c r="BY15" s="142"/>
      <c r="BZ15" s="142"/>
      <c r="CA15" s="142"/>
      <c r="CB15" s="142"/>
      <c r="CC15" s="142"/>
      <c r="CD15" s="142"/>
      <c r="CE15" s="142"/>
      <c r="CF15" s="142"/>
      <c r="CG15" s="142"/>
      <c r="CH15" s="142"/>
      <c r="CI15" s="142"/>
      <c r="CJ15" s="142"/>
      <c r="CK15" s="142"/>
      <c r="CL15" s="142"/>
      <c r="CM15" s="142"/>
      <c r="CN15" s="142"/>
      <c r="CO15" s="142"/>
      <c r="CP15" s="142"/>
      <c r="CQ15" s="142"/>
      <c r="CR15" s="142"/>
      <c r="CS15" s="142"/>
      <c r="CT15" s="142"/>
      <c r="CU15" s="142"/>
      <c r="CV15" s="142"/>
      <c r="CW15" s="142"/>
      <c r="CX15" s="142"/>
      <c r="CY15" s="142"/>
      <c r="CZ15" s="142"/>
      <c r="DA15" s="142"/>
      <c r="DB15" s="142"/>
      <c r="DC15" s="142"/>
      <c r="DD15" s="142"/>
      <c r="DE15" s="142"/>
      <c r="DF15" s="142"/>
      <c r="DG15" s="142"/>
      <c r="DH15" s="142"/>
      <c r="DI15" s="142"/>
      <c r="DJ15" s="142"/>
      <c r="DK15" s="142"/>
      <c r="DL15" s="142"/>
      <c r="DM15" s="142"/>
      <c r="DN15" s="142"/>
      <c r="DO15" s="142"/>
      <c r="DP15" s="142"/>
      <c r="DQ15" s="142"/>
      <c r="DR15" s="142"/>
      <c r="DS15" s="142"/>
      <c r="DT15" s="142"/>
      <c r="DU15" s="142"/>
      <c r="DV15" s="142"/>
      <c r="DW15" s="142"/>
      <c r="DX15" s="142"/>
      <c r="DY15" s="142"/>
      <c r="DZ15" s="142"/>
      <c r="EA15" s="142"/>
      <c r="EB15" s="142"/>
      <c r="EC15" s="142"/>
      <c r="ED15" s="142"/>
      <c r="EE15" s="142"/>
      <c r="EF15" s="142"/>
      <c r="EG15" s="142"/>
      <c r="EH15" s="142"/>
      <c r="EI15" s="142"/>
      <c r="EJ15" s="142"/>
      <c r="EK15" s="142"/>
      <c r="EL15" s="142"/>
      <c r="EM15" s="142"/>
      <c r="EN15" s="142"/>
      <c r="EO15" s="142"/>
      <c r="EP15" s="142"/>
      <c r="EQ15" s="142"/>
      <c r="ER15" s="142"/>
      <c r="ES15" s="142"/>
      <c r="ET15" s="142"/>
      <c r="EU15" s="142"/>
      <c r="EV15" s="142"/>
      <c r="EW15" s="142"/>
      <c r="EX15" s="142"/>
      <c r="EY15" s="142"/>
      <c r="EZ15" s="142"/>
      <c r="FA15" s="142"/>
      <c r="FB15" s="142"/>
      <c r="FC15" s="142"/>
      <c r="FD15" s="142"/>
      <c r="FE15" s="142"/>
      <c r="FF15" s="142"/>
      <c r="FG15" s="142"/>
      <c r="FH15" s="142"/>
      <c r="FI15" s="142"/>
      <c r="FJ15" s="142"/>
      <c r="FK15" s="142"/>
      <c r="FL15" s="142"/>
      <c r="FM15" s="142"/>
      <c r="FN15" s="142"/>
      <c r="FO15" s="142"/>
      <c r="FP15" s="142"/>
      <c r="FQ15" s="142"/>
      <c r="FR15" s="142"/>
      <c r="FS15" s="142"/>
      <c r="FT15" s="142"/>
      <c r="FU15" s="142"/>
      <c r="FV15" s="142"/>
      <c r="FW15" s="142"/>
      <c r="FX15" s="142"/>
      <c r="FY15" s="142"/>
      <c r="FZ15" s="142"/>
      <c r="GA15" s="142"/>
      <c r="GB15" s="142"/>
      <c r="GC15" s="142"/>
      <c r="GD15" s="142"/>
      <c r="GE15" s="142"/>
      <c r="GF15" s="142"/>
      <c r="GG15" s="142"/>
      <c r="GH15" s="142"/>
      <c r="GI15" s="142"/>
      <c r="GJ15" s="142"/>
      <c r="GK15" s="142"/>
      <c r="GL15" s="142"/>
      <c r="GM15" s="142"/>
      <c r="GN15" s="142"/>
      <c r="GO15" s="142"/>
      <c r="GP15" s="142"/>
      <c r="GQ15" s="142"/>
      <c r="GR15" s="142"/>
      <c r="GS15" s="142"/>
      <c r="GT15" s="142"/>
      <c r="GU15" s="142"/>
      <c r="GV15" s="142"/>
      <c r="GW15" s="142"/>
      <c r="GX15" s="142"/>
      <c r="GY15" s="142"/>
      <c r="GZ15" s="142"/>
      <c r="HA15" s="142"/>
      <c r="HB15" s="142"/>
      <c r="HC15" s="142"/>
      <c r="HD15" s="142"/>
      <c r="HE15" s="142"/>
      <c r="HF15" s="142"/>
      <c r="HG15" s="142"/>
      <c r="HH15" s="142"/>
      <c r="HI15" s="142"/>
      <c r="HJ15" s="142"/>
      <c r="HK15" s="142"/>
      <c r="HL15" s="142"/>
      <c r="HM15" s="142"/>
      <c r="HN15" s="142"/>
      <c r="HO15" s="142"/>
      <c r="HP15" s="142"/>
      <c r="HQ15" s="142"/>
      <c r="HR15" s="142"/>
      <c r="HS15" s="142"/>
      <c r="HT15" s="142"/>
      <c r="HU15" s="142"/>
      <c r="HV15" s="142"/>
      <c r="HW15" s="142"/>
      <c r="HX15" s="142"/>
      <c r="HY15" s="142"/>
      <c r="HZ15" s="142"/>
      <c r="IA15" s="142"/>
      <c r="IB15" s="142"/>
      <c r="IC15" s="142"/>
      <c r="ID15" s="142"/>
      <c r="IE15" s="142"/>
      <c r="IF15" s="142"/>
      <c r="IG15" s="142"/>
      <c r="IH15" s="142"/>
      <c r="II15" s="142"/>
      <c r="IJ15" s="142"/>
      <c r="IK15" s="142"/>
      <c r="IL15" s="142"/>
      <c r="IM15" s="142"/>
      <c r="IN15" s="142"/>
      <c r="IO15" s="142"/>
      <c r="IP15" s="142"/>
      <c r="IQ15" s="142"/>
      <c r="IR15" s="142"/>
      <c r="IS15" s="142"/>
      <c r="IT15" s="142"/>
      <c r="IU15" s="142"/>
      <c r="IV15" s="142"/>
    </row>
    <row r="16" spans="1:256" s="216" customFormat="1" ht="18" customHeight="1" x14ac:dyDescent="0.35">
      <c r="A16" s="228">
        <v>8</v>
      </c>
      <c r="B16" s="223"/>
      <c r="C16" s="159"/>
      <c r="D16" s="923" t="s">
        <v>921</v>
      </c>
      <c r="E16" s="151"/>
      <c r="F16" s="219"/>
      <c r="G16" s="152"/>
      <c r="H16" s="263"/>
      <c r="I16" s="261"/>
      <c r="J16" s="256"/>
      <c r="K16" s="384">
        <v>1015</v>
      </c>
      <c r="L16" s="256"/>
      <c r="M16" s="256"/>
      <c r="N16" s="272"/>
      <c r="O16" s="224">
        <f>SUM(I16:N16)</f>
        <v>1015</v>
      </c>
      <c r="P16" s="220"/>
      <c r="Q16" s="142"/>
      <c r="R16" s="142"/>
      <c r="S16" s="142"/>
      <c r="T16" s="142"/>
      <c r="U16" s="142"/>
      <c r="V16" s="142"/>
      <c r="W16" s="142"/>
      <c r="X16" s="142"/>
      <c r="Y16" s="142"/>
      <c r="Z16" s="142"/>
      <c r="AA16" s="142"/>
      <c r="AB16" s="142"/>
      <c r="AC16" s="142"/>
      <c r="AD16" s="142"/>
      <c r="AE16" s="142"/>
      <c r="AF16" s="142"/>
      <c r="AG16" s="142"/>
      <c r="AH16" s="142"/>
      <c r="AI16" s="142"/>
      <c r="AJ16" s="142"/>
      <c r="AK16" s="142"/>
      <c r="AL16" s="142"/>
      <c r="AM16" s="142"/>
      <c r="AN16" s="142"/>
      <c r="AO16" s="142"/>
      <c r="AP16" s="142"/>
      <c r="AQ16" s="142"/>
      <c r="AR16" s="142"/>
      <c r="AS16" s="142"/>
      <c r="AT16" s="142"/>
      <c r="AU16" s="142"/>
      <c r="AV16" s="142"/>
      <c r="AW16" s="142"/>
      <c r="AX16" s="142"/>
      <c r="AY16" s="142"/>
      <c r="AZ16" s="142"/>
      <c r="BA16" s="142"/>
      <c r="BB16" s="142"/>
      <c r="BC16" s="142"/>
      <c r="BD16" s="142"/>
      <c r="BE16" s="142"/>
      <c r="BF16" s="142"/>
      <c r="BG16" s="142"/>
      <c r="BH16" s="142"/>
      <c r="BI16" s="142"/>
      <c r="BJ16" s="142"/>
      <c r="BK16" s="142"/>
      <c r="BL16" s="142"/>
      <c r="BM16" s="142"/>
      <c r="BN16" s="142"/>
      <c r="BO16" s="142"/>
      <c r="BP16" s="142"/>
      <c r="BQ16" s="142"/>
      <c r="BR16" s="142"/>
      <c r="BS16" s="142"/>
      <c r="BT16" s="142"/>
      <c r="BU16" s="142"/>
      <c r="BV16" s="142"/>
      <c r="BW16" s="142"/>
      <c r="BX16" s="142"/>
      <c r="BY16" s="142"/>
      <c r="BZ16" s="142"/>
      <c r="CA16" s="142"/>
      <c r="CB16" s="142"/>
      <c r="CC16" s="142"/>
      <c r="CD16" s="142"/>
      <c r="CE16" s="142"/>
      <c r="CF16" s="142"/>
      <c r="CG16" s="142"/>
      <c r="CH16" s="142"/>
      <c r="CI16" s="142"/>
      <c r="CJ16" s="142"/>
      <c r="CK16" s="142"/>
      <c r="CL16" s="142"/>
      <c r="CM16" s="142"/>
      <c r="CN16" s="142"/>
      <c r="CO16" s="142"/>
      <c r="CP16" s="142"/>
      <c r="CQ16" s="142"/>
      <c r="CR16" s="142"/>
      <c r="CS16" s="142"/>
      <c r="CT16" s="142"/>
      <c r="CU16" s="142"/>
      <c r="CV16" s="142"/>
      <c r="CW16" s="142"/>
      <c r="CX16" s="142"/>
      <c r="CY16" s="142"/>
      <c r="CZ16" s="142"/>
      <c r="DA16" s="142"/>
      <c r="DB16" s="142"/>
      <c r="DC16" s="142"/>
      <c r="DD16" s="142"/>
      <c r="DE16" s="142"/>
      <c r="DF16" s="142"/>
      <c r="DG16" s="142"/>
      <c r="DH16" s="142"/>
      <c r="DI16" s="142"/>
      <c r="DJ16" s="142"/>
      <c r="DK16" s="142"/>
      <c r="DL16" s="142"/>
      <c r="DM16" s="142"/>
      <c r="DN16" s="142"/>
      <c r="DO16" s="142"/>
      <c r="DP16" s="142"/>
      <c r="DQ16" s="142"/>
      <c r="DR16" s="142"/>
      <c r="DS16" s="142"/>
      <c r="DT16" s="142"/>
      <c r="DU16" s="142"/>
      <c r="DV16" s="142"/>
      <c r="DW16" s="142"/>
      <c r="DX16" s="142"/>
      <c r="DY16" s="142"/>
      <c r="DZ16" s="142"/>
      <c r="EA16" s="142"/>
      <c r="EB16" s="142"/>
      <c r="EC16" s="142"/>
      <c r="ED16" s="142"/>
      <c r="EE16" s="142"/>
      <c r="EF16" s="142"/>
      <c r="EG16" s="142"/>
      <c r="EH16" s="142"/>
      <c r="EI16" s="142"/>
      <c r="EJ16" s="142"/>
      <c r="EK16" s="142"/>
      <c r="EL16" s="142"/>
      <c r="EM16" s="142"/>
      <c r="EN16" s="142"/>
      <c r="EO16" s="142"/>
      <c r="EP16" s="142"/>
      <c r="EQ16" s="142"/>
      <c r="ER16" s="142"/>
      <c r="ES16" s="142"/>
      <c r="ET16" s="142"/>
      <c r="EU16" s="142"/>
      <c r="EV16" s="142"/>
      <c r="EW16" s="142"/>
      <c r="EX16" s="142"/>
      <c r="EY16" s="142"/>
      <c r="EZ16" s="142"/>
      <c r="FA16" s="142"/>
      <c r="FB16" s="142"/>
      <c r="FC16" s="142"/>
      <c r="FD16" s="142"/>
      <c r="FE16" s="142"/>
      <c r="FF16" s="142"/>
      <c r="FG16" s="142"/>
      <c r="FH16" s="142"/>
      <c r="FI16" s="142"/>
      <c r="FJ16" s="142"/>
      <c r="FK16" s="142"/>
      <c r="FL16" s="142"/>
      <c r="FM16" s="142"/>
      <c r="FN16" s="142"/>
      <c r="FO16" s="142"/>
      <c r="FP16" s="142"/>
      <c r="FQ16" s="142"/>
      <c r="FR16" s="142"/>
      <c r="FS16" s="142"/>
      <c r="FT16" s="142"/>
      <c r="FU16" s="142"/>
      <c r="FV16" s="142"/>
      <c r="FW16" s="142"/>
      <c r="FX16" s="142"/>
      <c r="FY16" s="142"/>
      <c r="FZ16" s="142"/>
      <c r="GA16" s="142"/>
      <c r="GB16" s="142"/>
      <c r="GC16" s="142"/>
      <c r="GD16" s="142"/>
      <c r="GE16" s="142"/>
      <c r="GF16" s="142"/>
      <c r="GG16" s="142"/>
      <c r="GH16" s="142"/>
      <c r="GI16" s="142"/>
      <c r="GJ16" s="142"/>
      <c r="GK16" s="142"/>
      <c r="GL16" s="142"/>
      <c r="GM16" s="142"/>
      <c r="GN16" s="142"/>
      <c r="GO16" s="142"/>
      <c r="GP16" s="142"/>
      <c r="GQ16" s="142"/>
      <c r="GR16" s="142"/>
      <c r="GS16" s="142"/>
      <c r="GT16" s="142"/>
      <c r="GU16" s="142"/>
      <c r="GV16" s="142"/>
      <c r="GW16" s="142"/>
      <c r="GX16" s="142"/>
      <c r="GY16" s="142"/>
      <c r="GZ16" s="142"/>
      <c r="HA16" s="142"/>
      <c r="HB16" s="142"/>
      <c r="HC16" s="142"/>
      <c r="HD16" s="142"/>
      <c r="HE16" s="142"/>
      <c r="HF16" s="142"/>
      <c r="HG16" s="142"/>
      <c r="HH16" s="142"/>
      <c r="HI16" s="142"/>
      <c r="HJ16" s="142"/>
      <c r="HK16" s="142"/>
      <c r="HL16" s="142"/>
      <c r="HM16" s="142"/>
      <c r="HN16" s="142"/>
      <c r="HO16" s="142"/>
      <c r="HP16" s="142"/>
      <c r="HQ16" s="142"/>
      <c r="HR16" s="142"/>
      <c r="HS16" s="142"/>
      <c r="HT16" s="142"/>
      <c r="HU16" s="142"/>
      <c r="HV16" s="142"/>
      <c r="HW16" s="142"/>
      <c r="HX16" s="142"/>
      <c r="HY16" s="142"/>
      <c r="HZ16" s="142"/>
      <c r="IA16" s="142"/>
      <c r="IB16" s="142"/>
      <c r="IC16" s="142"/>
      <c r="ID16" s="142"/>
      <c r="IE16" s="142"/>
      <c r="IF16" s="142"/>
      <c r="IG16" s="142"/>
      <c r="IH16" s="142"/>
      <c r="II16" s="142"/>
      <c r="IJ16" s="142"/>
      <c r="IK16" s="142"/>
      <c r="IL16" s="142"/>
      <c r="IM16" s="142"/>
      <c r="IN16" s="142"/>
      <c r="IO16" s="142"/>
      <c r="IP16" s="142"/>
      <c r="IQ16" s="142"/>
      <c r="IR16" s="142"/>
      <c r="IS16" s="142"/>
      <c r="IT16" s="142"/>
      <c r="IU16" s="142"/>
      <c r="IV16" s="142"/>
    </row>
    <row r="17" spans="1:256" s="216" customFormat="1" ht="18" customHeight="1" x14ac:dyDescent="0.35">
      <c r="A17" s="228">
        <v>9</v>
      </c>
      <c r="B17" s="223"/>
      <c r="C17" s="159"/>
      <c r="D17" s="920" t="s">
        <v>973</v>
      </c>
      <c r="E17" s="151"/>
      <c r="F17" s="219"/>
      <c r="G17" s="152"/>
      <c r="H17" s="263"/>
      <c r="I17" s="261"/>
      <c r="J17" s="256"/>
      <c r="K17" s="1752">
        <v>0</v>
      </c>
      <c r="L17" s="256"/>
      <c r="M17" s="256"/>
      <c r="N17" s="272"/>
      <c r="O17" s="922">
        <f>SUM(I17:N17)</f>
        <v>0</v>
      </c>
      <c r="P17" s="220"/>
      <c r="Q17" s="142"/>
      <c r="R17" s="142"/>
      <c r="S17" s="142"/>
      <c r="T17" s="142"/>
      <c r="U17" s="142"/>
      <c r="V17" s="142"/>
      <c r="W17" s="142"/>
      <c r="X17" s="142"/>
      <c r="Y17" s="142"/>
      <c r="Z17" s="142"/>
      <c r="AA17" s="142"/>
      <c r="AB17" s="142"/>
      <c r="AC17" s="142"/>
      <c r="AD17" s="142"/>
      <c r="AE17" s="142"/>
      <c r="AF17" s="142"/>
      <c r="AG17" s="142"/>
      <c r="AH17" s="142"/>
      <c r="AI17" s="142"/>
      <c r="AJ17" s="142"/>
      <c r="AK17" s="142"/>
      <c r="AL17" s="142"/>
      <c r="AM17" s="142"/>
      <c r="AN17" s="142"/>
      <c r="AO17" s="142"/>
      <c r="AP17" s="142"/>
      <c r="AQ17" s="142"/>
      <c r="AR17" s="142"/>
      <c r="AS17" s="142"/>
      <c r="AT17" s="142"/>
      <c r="AU17" s="142"/>
      <c r="AV17" s="142"/>
      <c r="AW17" s="142"/>
      <c r="AX17" s="142"/>
      <c r="AY17" s="142"/>
      <c r="AZ17" s="142"/>
      <c r="BA17" s="142"/>
      <c r="BB17" s="142"/>
      <c r="BC17" s="142"/>
      <c r="BD17" s="142"/>
      <c r="BE17" s="142"/>
      <c r="BF17" s="142"/>
      <c r="BG17" s="142"/>
      <c r="BH17" s="142"/>
      <c r="BI17" s="142"/>
      <c r="BJ17" s="142"/>
      <c r="BK17" s="142"/>
      <c r="BL17" s="142"/>
      <c r="BM17" s="142"/>
      <c r="BN17" s="142"/>
      <c r="BO17" s="142"/>
      <c r="BP17" s="142"/>
      <c r="BQ17" s="142"/>
      <c r="BR17" s="142"/>
      <c r="BS17" s="142"/>
      <c r="BT17" s="142"/>
      <c r="BU17" s="142"/>
      <c r="BV17" s="142"/>
      <c r="BW17" s="142"/>
      <c r="BX17" s="142"/>
      <c r="BY17" s="142"/>
      <c r="BZ17" s="142"/>
      <c r="CA17" s="142"/>
      <c r="CB17" s="142"/>
      <c r="CC17" s="142"/>
      <c r="CD17" s="142"/>
      <c r="CE17" s="142"/>
      <c r="CF17" s="142"/>
      <c r="CG17" s="142"/>
      <c r="CH17" s="142"/>
      <c r="CI17" s="142"/>
      <c r="CJ17" s="142"/>
      <c r="CK17" s="142"/>
      <c r="CL17" s="142"/>
      <c r="CM17" s="142"/>
      <c r="CN17" s="142"/>
      <c r="CO17" s="142"/>
      <c r="CP17" s="142"/>
      <c r="CQ17" s="142"/>
      <c r="CR17" s="142"/>
      <c r="CS17" s="142"/>
      <c r="CT17" s="142"/>
      <c r="CU17" s="142"/>
      <c r="CV17" s="142"/>
      <c r="CW17" s="142"/>
      <c r="CX17" s="142"/>
      <c r="CY17" s="142"/>
      <c r="CZ17" s="142"/>
      <c r="DA17" s="142"/>
      <c r="DB17" s="142"/>
      <c r="DC17" s="142"/>
      <c r="DD17" s="142"/>
      <c r="DE17" s="142"/>
      <c r="DF17" s="142"/>
      <c r="DG17" s="142"/>
      <c r="DH17" s="142"/>
      <c r="DI17" s="142"/>
      <c r="DJ17" s="142"/>
      <c r="DK17" s="142"/>
      <c r="DL17" s="142"/>
      <c r="DM17" s="142"/>
      <c r="DN17" s="142"/>
      <c r="DO17" s="142"/>
      <c r="DP17" s="142"/>
      <c r="DQ17" s="142"/>
      <c r="DR17" s="142"/>
      <c r="DS17" s="142"/>
      <c r="DT17" s="142"/>
      <c r="DU17" s="142"/>
      <c r="DV17" s="142"/>
      <c r="DW17" s="142"/>
      <c r="DX17" s="142"/>
      <c r="DY17" s="142"/>
      <c r="DZ17" s="142"/>
      <c r="EA17" s="142"/>
      <c r="EB17" s="142"/>
      <c r="EC17" s="142"/>
      <c r="ED17" s="142"/>
      <c r="EE17" s="142"/>
      <c r="EF17" s="142"/>
      <c r="EG17" s="142"/>
      <c r="EH17" s="142"/>
      <c r="EI17" s="142"/>
      <c r="EJ17" s="142"/>
      <c r="EK17" s="142"/>
      <c r="EL17" s="142"/>
      <c r="EM17" s="142"/>
      <c r="EN17" s="142"/>
      <c r="EO17" s="142"/>
      <c r="EP17" s="142"/>
      <c r="EQ17" s="142"/>
      <c r="ER17" s="142"/>
      <c r="ES17" s="142"/>
      <c r="ET17" s="142"/>
      <c r="EU17" s="142"/>
      <c r="EV17" s="142"/>
      <c r="EW17" s="142"/>
      <c r="EX17" s="142"/>
      <c r="EY17" s="142"/>
      <c r="EZ17" s="142"/>
      <c r="FA17" s="142"/>
      <c r="FB17" s="142"/>
      <c r="FC17" s="142"/>
      <c r="FD17" s="142"/>
      <c r="FE17" s="142"/>
      <c r="FF17" s="142"/>
      <c r="FG17" s="142"/>
      <c r="FH17" s="142"/>
      <c r="FI17" s="142"/>
      <c r="FJ17" s="142"/>
      <c r="FK17" s="142"/>
      <c r="FL17" s="142"/>
      <c r="FM17" s="142"/>
      <c r="FN17" s="142"/>
      <c r="FO17" s="142"/>
      <c r="FP17" s="142"/>
      <c r="FQ17" s="142"/>
      <c r="FR17" s="142"/>
      <c r="FS17" s="142"/>
      <c r="FT17" s="142"/>
      <c r="FU17" s="142"/>
      <c r="FV17" s="142"/>
      <c r="FW17" s="142"/>
      <c r="FX17" s="142"/>
      <c r="FY17" s="142"/>
      <c r="FZ17" s="142"/>
      <c r="GA17" s="142"/>
      <c r="GB17" s="142"/>
      <c r="GC17" s="142"/>
      <c r="GD17" s="142"/>
      <c r="GE17" s="142"/>
      <c r="GF17" s="142"/>
      <c r="GG17" s="142"/>
      <c r="GH17" s="142"/>
      <c r="GI17" s="142"/>
      <c r="GJ17" s="142"/>
      <c r="GK17" s="142"/>
      <c r="GL17" s="142"/>
      <c r="GM17" s="142"/>
      <c r="GN17" s="142"/>
      <c r="GO17" s="142"/>
      <c r="GP17" s="142"/>
      <c r="GQ17" s="142"/>
      <c r="GR17" s="142"/>
      <c r="GS17" s="142"/>
      <c r="GT17" s="142"/>
      <c r="GU17" s="142"/>
      <c r="GV17" s="142"/>
      <c r="GW17" s="142"/>
      <c r="GX17" s="142"/>
      <c r="GY17" s="142"/>
      <c r="GZ17" s="142"/>
      <c r="HA17" s="142"/>
      <c r="HB17" s="142"/>
      <c r="HC17" s="142"/>
      <c r="HD17" s="142"/>
      <c r="HE17" s="142"/>
      <c r="HF17" s="142"/>
      <c r="HG17" s="142"/>
      <c r="HH17" s="142"/>
      <c r="HI17" s="142"/>
      <c r="HJ17" s="142"/>
      <c r="HK17" s="142"/>
      <c r="HL17" s="142"/>
      <c r="HM17" s="142"/>
      <c r="HN17" s="142"/>
      <c r="HO17" s="142"/>
      <c r="HP17" s="142"/>
      <c r="HQ17" s="142"/>
      <c r="HR17" s="142"/>
      <c r="HS17" s="142"/>
      <c r="HT17" s="142"/>
      <c r="HU17" s="142"/>
      <c r="HV17" s="142"/>
      <c r="HW17" s="142"/>
      <c r="HX17" s="142"/>
      <c r="HY17" s="142"/>
      <c r="HZ17" s="142"/>
      <c r="IA17" s="142"/>
      <c r="IB17" s="142"/>
      <c r="IC17" s="142"/>
      <c r="ID17" s="142"/>
      <c r="IE17" s="142"/>
      <c r="IF17" s="142"/>
      <c r="IG17" s="142"/>
      <c r="IH17" s="142"/>
      <c r="II17" s="142"/>
      <c r="IJ17" s="142"/>
      <c r="IK17" s="142"/>
      <c r="IL17" s="142"/>
      <c r="IM17" s="142"/>
      <c r="IN17" s="142"/>
      <c r="IO17" s="142"/>
      <c r="IP17" s="142"/>
      <c r="IQ17" s="142"/>
      <c r="IR17" s="142"/>
      <c r="IS17" s="142"/>
      <c r="IT17" s="142"/>
      <c r="IU17" s="142"/>
      <c r="IV17" s="142"/>
    </row>
    <row r="18" spans="1:256" ht="33" x14ac:dyDescent="0.35">
      <c r="A18" s="228">
        <v>10</v>
      </c>
      <c r="B18" s="198"/>
      <c r="C18" s="143">
        <v>4</v>
      </c>
      <c r="D18" s="145" t="s">
        <v>347</v>
      </c>
      <c r="E18" s="665">
        <f>F18+G18+O20</f>
        <v>488600</v>
      </c>
      <c r="F18" s="705">
        <f>326+17127+3982+72298+198271</f>
        <v>292004</v>
      </c>
      <c r="G18" s="686">
        <v>191677</v>
      </c>
      <c r="H18" s="263" t="s">
        <v>24</v>
      </c>
      <c r="I18" s="261"/>
      <c r="J18" s="256"/>
      <c r="K18" s="256"/>
      <c r="L18" s="256"/>
      <c r="M18" s="256"/>
      <c r="N18" s="272"/>
      <c r="O18" s="254"/>
      <c r="P18" s="220"/>
    </row>
    <row r="19" spans="1:256" s="216" customFormat="1" ht="18" customHeight="1" x14ac:dyDescent="0.35">
      <c r="A19" s="228">
        <v>11</v>
      </c>
      <c r="B19" s="223"/>
      <c r="C19" s="143"/>
      <c r="D19" s="257" t="s">
        <v>252</v>
      </c>
      <c r="E19" s="151"/>
      <c r="F19" s="219"/>
      <c r="G19" s="152"/>
      <c r="H19" s="263"/>
      <c r="I19" s="261"/>
      <c r="J19" s="256"/>
      <c r="K19" s="256"/>
      <c r="L19" s="256"/>
      <c r="M19" s="256">
        <v>4919</v>
      </c>
      <c r="N19" s="272"/>
      <c r="O19" s="254">
        <f>SUM(I19:N19)</f>
        <v>4919</v>
      </c>
      <c r="P19" s="220"/>
      <c r="Q19" s="142"/>
      <c r="R19" s="142"/>
      <c r="S19" s="142"/>
      <c r="T19" s="142"/>
      <c r="U19" s="142"/>
      <c r="V19" s="142"/>
      <c r="W19" s="142"/>
      <c r="X19" s="142"/>
      <c r="Y19" s="142"/>
      <c r="Z19" s="142"/>
      <c r="AA19" s="142"/>
      <c r="AB19" s="142"/>
      <c r="AC19" s="142"/>
      <c r="AD19" s="142"/>
      <c r="AE19" s="142"/>
      <c r="AF19" s="142"/>
      <c r="AG19" s="142"/>
      <c r="AH19" s="142"/>
      <c r="AI19" s="142"/>
      <c r="AJ19" s="142"/>
      <c r="AK19" s="142"/>
      <c r="AL19" s="142"/>
      <c r="AM19" s="142"/>
      <c r="AN19" s="142"/>
      <c r="AO19" s="142"/>
      <c r="AP19" s="142"/>
      <c r="AQ19" s="142"/>
      <c r="AR19" s="142"/>
      <c r="AS19" s="142"/>
      <c r="AT19" s="142"/>
      <c r="AU19" s="142"/>
      <c r="AV19" s="142"/>
      <c r="AW19" s="142"/>
      <c r="AX19" s="142"/>
      <c r="AY19" s="142"/>
      <c r="AZ19" s="142"/>
      <c r="BA19" s="142"/>
      <c r="BB19" s="142"/>
      <c r="BC19" s="142"/>
      <c r="BD19" s="142"/>
      <c r="BE19" s="142"/>
      <c r="BF19" s="142"/>
      <c r="BG19" s="142"/>
      <c r="BH19" s="142"/>
      <c r="BI19" s="142"/>
      <c r="BJ19" s="142"/>
      <c r="BK19" s="142"/>
      <c r="BL19" s="142"/>
      <c r="BM19" s="142"/>
      <c r="BN19" s="142"/>
      <c r="BO19" s="142"/>
      <c r="BP19" s="142"/>
      <c r="BQ19" s="142"/>
      <c r="BR19" s="142"/>
      <c r="BS19" s="142"/>
      <c r="BT19" s="142"/>
      <c r="BU19" s="142"/>
      <c r="BV19" s="142"/>
      <c r="BW19" s="142"/>
      <c r="BX19" s="142"/>
      <c r="BY19" s="142"/>
      <c r="BZ19" s="142"/>
      <c r="CA19" s="142"/>
      <c r="CB19" s="142"/>
      <c r="CC19" s="142"/>
      <c r="CD19" s="142"/>
      <c r="CE19" s="142"/>
      <c r="CF19" s="142"/>
      <c r="CG19" s="142"/>
      <c r="CH19" s="142"/>
      <c r="CI19" s="142"/>
      <c r="CJ19" s="142"/>
      <c r="CK19" s="142"/>
      <c r="CL19" s="142"/>
      <c r="CM19" s="142"/>
      <c r="CN19" s="142"/>
      <c r="CO19" s="142"/>
      <c r="CP19" s="142"/>
      <c r="CQ19" s="142"/>
      <c r="CR19" s="142"/>
      <c r="CS19" s="142"/>
      <c r="CT19" s="142"/>
      <c r="CU19" s="142"/>
      <c r="CV19" s="142"/>
      <c r="CW19" s="142"/>
      <c r="CX19" s="142"/>
      <c r="CY19" s="142"/>
      <c r="CZ19" s="142"/>
      <c r="DA19" s="142"/>
      <c r="DB19" s="142"/>
      <c r="DC19" s="142"/>
      <c r="DD19" s="142"/>
      <c r="DE19" s="142"/>
      <c r="DF19" s="142"/>
      <c r="DG19" s="142"/>
      <c r="DH19" s="142"/>
      <c r="DI19" s="142"/>
      <c r="DJ19" s="142"/>
      <c r="DK19" s="142"/>
      <c r="DL19" s="142"/>
      <c r="DM19" s="142"/>
      <c r="DN19" s="142"/>
      <c r="DO19" s="142"/>
      <c r="DP19" s="142"/>
      <c r="DQ19" s="142"/>
      <c r="DR19" s="142"/>
      <c r="DS19" s="142"/>
      <c r="DT19" s="142"/>
      <c r="DU19" s="142"/>
      <c r="DV19" s="142"/>
      <c r="DW19" s="142"/>
      <c r="DX19" s="142"/>
      <c r="DY19" s="142"/>
      <c r="DZ19" s="142"/>
      <c r="EA19" s="142"/>
      <c r="EB19" s="142"/>
      <c r="EC19" s="142"/>
      <c r="ED19" s="142"/>
      <c r="EE19" s="142"/>
      <c r="EF19" s="142"/>
      <c r="EG19" s="142"/>
      <c r="EH19" s="142"/>
      <c r="EI19" s="142"/>
      <c r="EJ19" s="142"/>
      <c r="EK19" s="142"/>
      <c r="EL19" s="142"/>
      <c r="EM19" s="142"/>
      <c r="EN19" s="142"/>
      <c r="EO19" s="142"/>
      <c r="EP19" s="142"/>
      <c r="EQ19" s="142"/>
      <c r="ER19" s="142"/>
      <c r="ES19" s="142"/>
      <c r="ET19" s="142"/>
      <c r="EU19" s="142"/>
      <c r="EV19" s="142"/>
      <c r="EW19" s="142"/>
      <c r="EX19" s="142"/>
      <c r="EY19" s="142"/>
      <c r="EZ19" s="142"/>
      <c r="FA19" s="142"/>
      <c r="FB19" s="142"/>
      <c r="FC19" s="142"/>
      <c r="FD19" s="142"/>
      <c r="FE19" s="142"/>
      <c r="FF19" s="142"/>
      <c r="FG19" s="142"/>
      <c r="FH19" s="142"/>
      <c r="FI19" s="142"/>
      <c r="FJ19" s="142"/>
      <c r="FK19" s="142"/>
      <c r="FL19" s="142"/>
      <c r="FM19" s="142"/>
      <c r="FN19" s="142"/>
      <c r="FO19" s="142"/>
      <c r="FP19" s="142"/>
      <c r="FQ19" s="142"/>
      <c r="FR19" s="142"/>
      <c r="FS19" s="142"/>
      <c r="FT19" s="142"/>
      <c r="FU19" s="142"/>
      <c r="FV19" s="142"/>
      <c r="FW19" s="142"/>
      <c r="FX19" s="142"/>
      <c r="FY19" s="142"/>
      <c r="FZ19" s="142"/>
      <c r="GA19" s="142"/>
      <c r="GB19" s="142"/>
      <c r="GC19" s="142"/>
      <c r="GD19" s="142"/>
      <c r="GE19" s="142"/>
      <c r="GF19" s="142"/>
      <c r="GG19" s="142"/>
      <c r="GH19" s="142"/>
      <c r="GI19" s="142"/>
      <c r="GJ19" s="142"/>
      <c r="GK19" s="142"/>
      <c r="GL19" s="142"/>
      <c r="GM19" s="142"/>
      <c r="GN19" s="142"/>
      <c r="GO19" s="142"/>
      <c r="GP19" s="142"/>
      <c r="GQ19" s="142"/>
      <c r="GR19" s="142"/>
      <c r="GS19" s="142"/>
      <c r="GT19" s="142"/>
      <c r="GU19" s="142"/>
      <c r="GV19" s="142"/>
      <c r="GW19" s="142"/>
      <c r="GX19" s="142"/>
      <c r="GY19" s="142"/>
      <c r="GZ19" s="142"/>
      <c r="HA19" s="142"/>
      <c r="HB19" s="142"/>
      <c r="HC19" s="142"/>
      <c r="HD19" s="142"/>
      <c r="HE19" s="142"/>
      <c r="HF19" s="142"/>
      <c r="HG19" s="142"/>
      <c r="HH19" s="142"/>
      <c r="HI19" s="142"/>
      <c r="HJ19" s="142"/>
      <c r="HK19" s="142"/>
      <c r="HL19" s="142"/>
      <c r="HM19" s="142"/>
      <c r="HN19" s="142"/>
      <c r="HO19" s="142"/>
      <c r="HP19" s="142"/>
      <c r="HQ19" s="142"/>
      <c r="HR19" s="142"/>
      <c r="HS19" s="142"/>
      <c r="HT19" s="142"/>
      <c r="HU19" s="142"/>
      <c r="HV19" s="142"/>
      <c r="HW19" s="142"/>
      <c r="HX19" s="142"/>
      <c r="HY19" s="142"/>
      <c r="HZ19" s="142"/>
      <c r="IA19" s="142"/>
      <c r="IB19" s="142"/>
      <c r="IC19" s="142"/>
      <c r="ID19" s="142"/>
      <c r="IE19" s="142"/>
      <c r="IF19" s="142"/>
      <c r="IG19" s="142"/>
      <c r="IH19" s="142"/>
      <c r="II19" s="142"/>
      <c r="IJ19" s="142"/>
      <c r="IK19" s="142"/>
      <c r="IL19" s="142"/>
      <c r="IM19" s="142"/>
      <c r="IN19" s="142"/>
      <c r="IO19" s="142"/>
      <c r="IP19" s="142"/>
      <c r="IQ19" s="142"/>
      <c r="IR19" s="142"/>
      <c r="IS19" s="142"/>
      <c r="IT19" s="142"/>
      <c r="IU19" s="142"/>
      <c r="IV19" s="142"/>
    </row>
    <row r="20" spans="1:256" s="216" customFormat="1" ht="18" customHeight="1" x14ac:dyDescent="0.35">
      <c r="A20" s="228">
        <v>12</v>
      </c>
      <c r="B20" s="223"/>
      <c r="C20" s="143"/>
      <c r="D20" s="923" t="s">
        <v>921</v>
      </c>
      <c r="E20" s="151"/>
      <c r="F20" s="219"/>
      <c r="G20" s="152"/>
      <c r="H20" s="263"/>
      <c r="I20" s="261"/>
      <c r="J20" s="256"/>
      <c r="K20" s="256"/>
      <c r="L20" s="384">
        <v>3598</v>
      </c>
      <c r="M20" s="384">
        <v>1321</v>
      </c>
      <c r="N20" s="921"/>
      <c r="O20" s="224">
        <f>SUM(I20:N20)</f>
        <v>4919</v>
      </c>
      <c r="P20" s="220"/>
      <c r="Q20" s="142"/>
      <c r="R20" s="142"/>
      <c r="S20" s="142"/>
      <c r="T20" s="142"/>
      <c r="U20" s="142"/>
      <c r="V20" s="142"/>
      <c r="W20" s="142"/>
      <c r="X20" s="142"/>
      <c r="Y20" s="142"/>
      <c r="Z20" s="142"/>
      <c r="AA20" s="142"/>
      <c r="AB20" s="142"/>
      <c r="AC20" s="142"/>
      <c r="AD20" s="142"/>
      <c r="AE20" s="142"/>
      <c r="AF20" s="142"/>
      <c r="AG20" s="142"/>
      <c r="AH20" s="142"/>
      <c r="AI20" s="142"/>
      <c r="AJ20" s="142"/>
      <c r="AK20" s="142"/>
      <c r="AL20" s="142"/>
      <c r="AM20" s="142"/>
      <c r="AN20" s="142"/>
      <c r="AO20" s="142"/>
      <c r="AP20" s="142"/>
      <c r="AQ20" s="142"/>
      <c r="AR20" s="142"/>
      <c r="AS20" s="142"/>
      <c r="AT20" s="142"/>
      <c r="AU20" s="142"/>
      <c r="AV20" s="142"/>
      <c r="AW20" s="142"/>
      <c r="AX20" s="142"/>
      <c r="AY20" s="142"/>
      <c r="AZ20" s="142"/>
      <c r="BA20" s="142"/>
      <c r="BB20" s="142"/>
      <c r="BC20" s="142"/>
      <c r="BD20" s="142"/>
      <c r="BE20" s="142"/>
      <c r="BF20" s="142"/>
      <c r="BG20" s="142"/>
      <c r="BH20" s="142"/>
      <c r="BI20" s="142"/>
      <c r="BJ20" s="142"/>
      <c r="BK20" s="142"/>
      <c r="BL20" s="142"/>
      <c r="BM20" s="142"/>
      <c r="BN20" s="142"/>
      <c r="BO20" s="142"/>
      <c r="BP20" s="142"/>
      <c r="BQ20" s="142"/>
      <c r="BR20" s="142"/>
      <c r="BS20" s="142"/>
      <c r="BT20" s="142"/>
      <c r="BU20" s="142"/>
      <c r="BV20" s="142"/>
      <c r="BW20" s="142"/>
      <c r="BX20" s="142"/>
      <c r="BY20" s="142"/>
      <c r="BZ20" s="142"/>
      <c r="CA20" s="142"/>
      <c r="CB20" s="142"/>
      <c r="CC20" s="142"/>
      <c r="CD20" s="142"/>
      <c r="CE20" s="142"/>
      <c r="CF20" s="142"/>
      <c r="CG20" s="142"/>
      <c r="CH20" s="142"/>
      <c r="CI20" s="142"/>
      <c r="CJ20" s="142"/>
      <c r="CK20" s="142"/>
      <c r="CL20" s="142"/>
      <c r="CM20" s="142"/>
      <c r="CN20" s="142"/>
      <c r="CO20" s="142"/>
      <c r="CP20" s="142"/>
      <c r="CQ20" s="142"/>
      <c r="CR20" s="142"/>
      <c r="CS20" s="142"/>
      <c r="CT20" s="142"/>
      <c r="CU20" s="142"/>
      <c r="CV20" s="142"/>
      <c r="CW20" s="142"/>
      <c r="CX20" s="142"/>
      <c r="CY20" s="142"/>
      <c r="CZ20" s="142"/>
      <c r="DA20" s="142"/>
      <c r="DB20" s="142"/>
      <c r="DC20" s="142"/>
      <c r="DD20" s="142"/>
      <c r="DE20" s="142"/>
      <c r="DF20" s="142"/>
      <c r="DG20" s="142"/>
      <c r="DH20" s="142"/>
      <c r="DI20" s="142"/>
      <c r="DJ20" s="142"/>
      <c r="DK20" s="142"/>
      <c r="DL20" s="142"/>
      <c r="DM20" s="142"/>
      <c r="DN20" s="142"/>
      <c r="DO20" s="142"/>
      <c r="DP20" s="142"/>
      <c r="DQ20" s="142"/>
      <c r="DR20" s="142"/>
      <c r="DS20" s="142"/>
      <c r="DT20" s="142"/>
      <c r="DU20" s="142"/>
      <c r="DV20" s="142"/>
      <c r="DW20" s="142"/>
      <c r="DX20" s="142"/>
      <c r="DY20" s="142"/>
      <c r="DZ20" s="142"/>
      <c r="EA20" s="142"/>
      <c r="EB20" s="142"/>
      <c r="EC20" s="142"/>
      <c r="ED20" s="142"/>
      <c r="EE20" s="142"/>
      <c r="EF20" s="142"/>
      <c r="EG20" s="142"/>
      <c r="EH20" s="142"/>
      <c r="EI20" s="142"/>
      <c r="EJ20" s="142"/>
      <c r="EK20" s="142"/>
      <c r="EL20" s="142"/>
      <c r="EM20" s="142"/>
      <c r="EN20" s="142"/>
      <c r="EO20" s="142"/>
      <c r="EP20" s="142"/>
      <c r="EQ20" s="142"/>
      <c r="ER20" s="142"/>
      <c r="ES20" s="142"/>
      <c r="ET20" s="142"/>
      <c r="EU20" s="142"/>
      <c r="EV20" s="142"/>
      <c r="EW20" s="142"/>
      <c r="EX20" s="142"/>
      <c r="EY20" s="142"/>
      <c r="EZ20" s="142"/>
      <c r="FA20" s="142"/>
      <c r="FB20" s="142"/>
      <c r="FC20" s="142"/>
      <c r="FD20" s="142"/>
      <c r="FE20" s="142"/>
      <c r="FF20" s="142"/>
      <c r="FG20" s="142"/>
      <c r="FH20" s="142"/>
      <c r="FI20" s="142"/>
      <c r="FJ20" s="142"/>
      <c r="FK20" s="142"/>
      <c r="FL20" s="142"/>
      <c r="FM20" s="142"/>
      <c r="FN20" s="142"/>
      <c r="FO20" s="142"/>
      <c r="FP20" s="142"/>
      <c r="FQ20" s="142"/>
      <c r="FR20" s="142"/>
      <c r="FS20" s="142"/>
      <c r="FT20" s="142"/>
      <c r="FU20" s="142"/>
      <c r="FV20" s="142"/>
      <c r="FW20" s="142"/>
      <c r="FX20" s="142"/>
      <c r="FY20" s="142"/>
      <c r="FZ20" s="142"/>
      <c r="GA20" s="142"/>
      <c r="GB20" s="142"/>
      <c r="GC20" s="142"/>
      <c r="GD20" s="142"/>
      <c r="GE20" s="142"/>
      <c r="GF20" s="142"/>
      <c r="GG20" s="142"/>
      <c r="GH20" s="142"/>
      <c r="GI20" s="142"/>
      <c r="GJ20" s="142"/>
      <c r="GK20" s="142"/>
      <c r="GL20" s="142"/>
      <c r="GM20" s="142"/>
      <c r="GN20" s="142"/>
      <c r="GO20" s="142"/>
      <c r="GP20" s="142"/>
      <c r="GQ20" s="142"/>
      <c r="GR20" s="142"/>
      <c r="GS20" s="142"/>
      <c r="GT20" s="142"/>
      <c r="GU20" s="142"/>
      <c r="GV20" s="142"/>
      <c r="GW20" s="142"/>
      <c r="GX20" s="142"/>
      <c r="GY20" s="142"/>
      <c r="GZ20" s="142"/>
      <c r="HA20" s="142"/>
      <c r="HB20" s="142"/>
      <c r="HC20" s="142"/>
      <c r="HD20" s="142"/>
      <c r="HE20" s="142"/>
      <c r="HF20" s="142"/>
      <c r="HG20" s="142"/>
      <c r="HH20" s="142"/>
      <c r="HI20" s="142"/>
      <c r="HJ20" s="142"/>
      <c r="HK20" s="142"/>
      <c r="HL20" s="142"/>
      <c r="HM20" s="142"/>
      <c r="HN20" s="142"/>
      <c r="HO20" s="142"/>
      <c r="HP20" s="142"/>
      <c r="HQ20" s="142"/>
      <c r="HR20" s="142"/>
      <c r="HS20" s="142"/>
      <c r="HT20" s="142"/>
      <c r="HU20" s="142"/>
      <c r="HV20" s="142"/>
      <c r="HW20" s="142"/>
      <c r="HX20" s="142"/>
      <c r="HY20" s="142"/>
      <c r="HZ20" s="142"/>
      <c r="IA20" s="142"/>
      <c r="IB20" s="142"/>
      <c r="IC20" s="142"/>
      <c r="ID20" s="142"/>
      <c r="IE20" s="142"/>
      <c r="IF20" s="142"/>
      <c r="IG20" s="142"/>
      <c r="IH20" s="142"/>
      <c r="II20" s="142"/>
      <c r="IJ20" s="142"/>
      <c r="IK20" s="142"/>
      <c r="IL20" s="142"/>
      <c r="IM20" s="142"/>
      <c r="IN20" s="142"/>
      <c r="IO20" s="142"/>
      <c r="IP20" s="142"/>
      <c r="IQ20" s="142"/>
      <c r="IR20" s="142"/>
      <c r="IS20" s="142"/>
      <c r="IT20" s="142"/>
      <c r="IU20" s="142"/>
      <c r="IV20" s="142"/>
    </row>
    <row r="21" spans="1:256" s="216" customFormat="1" ht="18" customHeight="1" x14ac:dyDescent="0.35">
      <c r="A21" s="228">
        <v>13</v>
      </c>
      <c r="B21" s="223"/>
      <c r="C21" s="143"/>
      <c r="D21" s="920" t="s">
        <v>972</v>
      </c>
      <c r="E21" s="151"/>
      <c r="F21" s="219"/>
      <c r="G21" s="152"/>
      <c r="H21" s="263"/>
      <c r="I21" s="261"/>
      <c r="J21" s="256"/>
      <c r="K21" s="256"/>
      <c r="L21" s="1752">
        <v>3598</v>
      </c>
      <c r="M21" s="1752">
        <v>0</v>
      </c>
      <c r="N21" s="272"/>
      <c r="O21" s="922">
        <f>SUM(I21:N21)</f>
        <v>3598</v>
      </c>
      <c r="P21" s="220"/>
      <c r="Q21" s="142"/>
      <c r="R21" s="142"/>
      <c r="S21" s="142"/>
      <c r="T21" s="142"/>
      <c r="U21" s="142"/>
      <c r="V21" s="142"/>
      <c r="W21" s="142"/>
      <c r="X21" s="142"/>
      <c r="Y21" s="142"/>
      <c r="Z21" s="142"/>
      <c r="AA21" s="142"/>
      <c r="AB21" s="142"/>
      <c r="AC21" s="142"/>
      <c r="AD21" s="142"/>
      <c r="AE21" s="142"/>
      <c r="AF21" s="142"/>
      <c r="AG21" s="142"/>
      <c r="AH21" s="142"/>
      <c r="AI21" s="142"/>
      <c r="AJ21" s="142"/>
      <c r="AK21" s="142"/>
      <c r="AL21" s="142"/>
      <c r="AM21" s="142"/>
      <c r="AN21" s="142"/>
      <c r="AO21" s="142"/>
      <c r="AP21" s="142"/>
      <c r="AQ21" s="142"/>
      <c r="AR21" s="142"/>
      <c r="AS21" s="142"/>
      <c r="AT21" s="142"/>
      <c r="AU21" s="142"/>
      <c r="AV21" s="142"/>
      <c r="AW21" s="142"/>
      <c r="AX21" s="142"/>
      <c r="AY21" s="142"/>
      <c r="AZ21" s="142"/>
      <c r="BA21" s="142"/>
      <c r="BB21" s="142"/>
      <c r="BC21" s="142"/>
      <c r="BD21" s="142"/>
      <c r="BE21" s="142"/>
      <c r="BF21" s="142"/>
      <c r="BG21" s="142"/>
      <c r="BH21" s="142"/>
      <c r="BI21" s="142"/>
      <c r="BJ21" s="142"/>
      <c r="BK21" s="142"/>
      <c r="BL21" s="142"/>
      <c r="BM21" s="142"/>
      <c r="BN21" s="142"/>
      <c r="BO21" s="142"/>
      <c r="BP21" s="142"/>
      <c r="BQ21" s="142"/>
      <c r="BR21" s="142"/>
      <c r="BS21" s="142"/>
      <c r="BT21" s="142"/>
      <c r="BU21" s="142"/>
      <c r="BV21" s="142"/>
      <c r="BW21" s="142"/>
      <c r="BX21" s="142"/>
      <c r="BY21" s="142"/>
      <c r="BZ21" s="142"/>
      <c r="CA21" s="142"/>
      <c r="CB21" s="142"/>
      <c r="CC21" s="142"/>
      <c r="CD21" s="142"/>
      <c r="CE21" s="142"/>
      <c r="CF21" s="142"/>
      <c r="CG21" s="142"/>
      <c r="CH21" s="142"/>
      <c r="CI21" s="142"/>
      <c r="CJ21" s="142"/>
      <c r="CK21" s="142"/>
      <c r="CL21" s="142"/>
      <c r="CM21" s="142"/>
      <c r="CN21" s="142"/>
      <c r="CO21" s="142"/>
      <c r="CP21" s="142"/>
      <c r="CQ21" s="142"/>
      <c r="CR21" s="142"/>
      <c r="CS21" s="142"/>
      <c r="CT21" s="142"/>
      <c r="CU21" s="142"/>
      <c r="CV21" s="142"/>
      <c r="CW21" s="142"/>
      <c r="CX21" s="142"/>
      <c r="CY21" s="142"/>
      <c r="CZ21" s="142"/>
      <c r="DA21" s="142"/>
      <c r="DB21" s="142"/>
      <c r="DC21" s="142"/>
      <c r="DD21" s="142"/>
      <c r="DE21" s="142"/>
      <c r="DF21" s="142"/>
      <c r="DG21" s="142"/>
      <c r="DH21" s="142"/>
      <c r="DI21" s="142"/>
      <c r="DJ21" s="142"/>
      <c r="DK21" s="142"/>
      <c r="DL21" s="142"/>
      <c r="DM21" s="142"/>
      <c r="DN21" s="142"/>
      <c r="DO21" s="142"/>
      <c r="DP21" s="142"/>
      <c r="DQ21" s="142"/>
      <c r="DR21" s="142"/>
      <c r="DS21" s="142"/>
      <c r="DT21" s="142"/>
      <c r="DU21" s="142"/>
      <c r="DV21" s="142"/>
      <c r="DW21" s="142"/>
      <c r="DX21" s="142"/>
      <c r="DY21" s="142"/>
      <c r="DZ21" s="142"/>
      <c r="EA21" s="142"/>
      <c r="EB21" s="142"/>
      <c r="EC21" s="142"/>
      <c r="ED21" s="142"/>
      <c r="EE21" s="142"/>
      <c r="EF21" s="142"/>
      <c r="EG21" s="142"/>
      <c r="EH21" s="142"/>
      <c r="EI21" s="142"/>
      <c r="EJ21" s="142"/>
      <c r="EK21" s="142"/>
      <c r="EL21" s="142"/>
      <c r="EM21" s="142"/>
      <c r="EN21" s="142"/>
      <c r="EO21" s="142"/>
      <c r="EP21" s="142"/>
      <c r="EQ21" s="142"/>
      <c r="ER21" s="142"/>
      <c r="ES21" s="142"/>
      <c r="ET21" s="142"/>
      <c r="EU21" s="142"/>
      <c r="EV21" s="142"/>
      <c r="EW21" s="142"/>
      <c r="EX21" s="142"/>
      <c r="EY21" s="142"/>
      <c r="EZ21" s="142"/>
      <c r="FA21" s="142"/>
      <c r="FB21" s="142"/>
      <c r="FC21" s="142"/>
      <c r="FD21" s="142"/>
      <c r="FE21" s="142"/>
      <c r="FF21" s="142"/>
      <c r="FG21" s="142"/>
      <c r="FH21" s="142"/>
      <c r="FI21" s="142"/>
      <c r="FJ21" s="142"/>
      <c r="FK21" s="142"/>
      <c r="FL21" s="142"/>
      <c r="FM21" s="142"/>
      <c r="FN21" s="142"/>
      <c r="FO21" s="142"/>
      <c r="FP21" s="142"/>
      <c r="FQ21" s="142"/>
      <c r="FR21" s="142"/>
      <c r="FS21" s="142"/>
      <c r="FT21" s="142"/>
      <c r="FU21" s="142"/>
      <c r="FV21" s="142"/>
      <c r="FW21" s="142"/>
      <c r="FX21" s="142"/>
      <c r="FY21" s="142"/>
      <c r="FZ21" s="142"/>
      <c r="GA21" s="142"/>
      <c r="GB21" s="142"/>
      <c r="GC21" s="142"/>
      <c r="GD21" s="142"/>
      <c r="GE21" s="142"/>
      <c r="GF21" s="142"/>
      <c r="GG21" s="142"/>
      <c r="GH21" s="142"/>
      <c r="GI21" s="142"/>
      <c r="GJ21" s="142"/>
      <c r="GK21" s="142"/>
      <c r="GL21" s="142"/>
      <c r="GM21" s="142"/>
      <c r="GN21" s="142"/>
      <c r="GO21" s="142"/>
      <c r="GP21" s="142"/>
      <c r="GQ21" s="142"/>
      <c r="GR21" s="142"/>
      <c r="GS21" s="142"/>
      <c r="GT21" s="142"/>
      <c r="GU21" s="142"/>
      <c r="GV21" s="142"/>
      <c r="GW21" s="142"/>
      <c r="GX21" s="142"/>
      <c r="GY21" s="142"/>
      <c r="GZ21" s="142"/>
      <c r="HA21" s="142"/>
      <c r="HB21" s="142"/>
      <c r="HC21" s="142"/>
      <c r="HD21" s="142"/>
      <c r="HE21" s="142"/>
      <c r="HF21" s="142"/>
      <c r="HG21" s="142"/>
      <c r="HH21" s="142"/>
      <c r="HI21" s="142"/>
      <c r="HJ21" s="142"/>
      <c r="HK21" s="142"/>
      <c r="HL21" s="142"/>
      <c r="HM21" s="142"/>
      <c r="HN21" s="142"/>
      <c r="HO21" s="142"/>
      <c r="HP21" s="142"/>
      <c r="HQ21" s="142"/>
      <c r="HR21" s="142"/>
      <c r="HS21" s="142"/>
      <c r="HT21" s="142"/>
      <c r="HU21" s="142"/>
      <c r="HV21" s="142"/>
      <c r="HW21" s="142"/>
      <c r="HX21" s="142"/>
      <c r="HY21" s="142"/>
      <c r="HZ21" s="142"/>
      <c r="IA21" s="142"/>
      <c r="IB21" s="142"/>
      <c r="IC21" s="142"/>
      <c r="ID21" s="142"/>
      <c r="IE21" s="142"/>
      <c r="IF21" s="142"/>
      <c r="IG21" s="142"/>
      <c r="IH21" s="142"/>
      <c r="II21" s="142"/>
      <c r="IJ21" s="142"/>
      <c r="IK21" s="142"/>
      <c r="IL21" s="142"/>
      <c r="IM21" s="142"/>
      <c r="IN21" s="142"/>
      <c r="IO21" s="142"/>
      <c r="IP21" s="142"/>
      <c r="IQ21" s="142"/>
      <c r="IR21" s="142"/>
      <c r="IS21" s="142"/>
      <c r="IT21" s="142"/>
      <c r="IU21" s="142"/>
      <c r="IV21" s="142"/>
    </row>
    <row r="22" spans="1:256" s="216" customFormat="1" ht="34.5" customHeight="1" x14ac:dyDescent="0.35">
      <c r="A22" s="228">
        <v>14</v>
      </c>
      <c r="B22" s="223"/>
      <c r="C22" s="143">
        <v>5</v>
      </c>
      <c r="D22" s="145" t="s">
        <v>378</v>
      </c>
      <c r="E22" s="665">
        <f>F22+G22+O24+P23</f>
        <v>1067743</v>
      </c>
      <c r="F22" s="705">
        <f>5906+14982+252998</f>
        <v>273886</v>
      </c>
      <c r="G22" s="686">
        <v>780059</v>
      </c>
      <c r="H22" s="263" t="s">
        <v>24</v>
      </c>
      <c r="I22" s="261"/>
      <c r="J22" s="256"/>
      <c r="K22" s="256"/>
      <c r="L22" s="256"/>
      <c r="M22" s="256"/>
      <c r="N22" s="272"/>
      <c r="O22" s="254"/>
      <c r="P22" s="220"/>
      <c r="Q22" s="142"/>
      <c r="R22" s="142"/>
      <c r="S22" s="142"/>
      <c r="T22" s="142"/>
      <c r="U22" s="142"/>
      <c r="V22" s="142"/>
      <c r="W22" s="142"/>
      <c r="X22" s="142"/>
      <c r="Y22" s="142"/>
      <c r="Z22" s="142"/>
      <c r="AA22" s="142"/>
      <c r="AB22" s="142"/>
      <c r="AC22" s="142"/>
      <c r="AD22" s="142"/>
      <c r="AE22" s="142"/>
      <c r="AF22" s="142"/>
      <c r="AG22" s="142"/>
      <c r="AH22" s="142"/>
      <c r="AI22" s="142"/>
      <c r="AJ22" s="142"/>
      <c r="AK22" s="142"/>
      <c r="AL22" s="142"/>
      <c r="AM22" s="142"/>
      <c r="AN22" s="142"/>
      <c r="AO22" s="142"/>
      <c r="AP22" s="142"/>
      <c r="AQ22" s="142"/>
      <c r="AR22" s="142"/>
      <c r="AS22" s="142"/>
      <c r="AT22" s="142"/>
      <c r="AU22" s="142"/>
      <c r="AV22" s="142"/>
      <c r="AW22" s="142"/>
      <c r="AX22" s="142"/>
      <c r="AY22" s="142"/>
      <c r="AZ22" s="142"/>
      <c r="BA22" s="142"/>
      <c r="BB22" s="142"/>
      <c r="BC22" s="142"/>
      <c r="BD22" s="142"/>
      <c r="BE22" s="142"/>
      <c r="BF22" s="142"/>
      <c r="BG22" s="142"/>
      <c r="BH22" s="142"/>
      <c r="BI22" s="142"/>
      <c r="BJ22" s="142"/>
      <c r="BK22" s="142"/>
      <c r="BL22" s="142"/>
      <c r="BM22" s="142"/>
      <c r="BN22" s="142"/>
      <c r="BO22" s="142"/>
      <c r="BP22" s="142"/>
      <c r="BQ22" s="142"/>
      <c r="BR22" s="142"/>
      <c r="BS22" s="142"/>
      <c r="BT22" s="142"/>
      <c r="BU22" s="142"/>
      <c r="BV22" s="142"/>
      <c r="BW22" s="142"/>
      <c r="BX22" s="142"/>
      <c r="BY22" s="142"/>
      <c r="BZ22" s="142"/>
      <c r="CA22" s="142"/>
      <c r="CB22" s="142"/>
      <c r="CC22" s="142"/>
      <c r="CD22" s="142"/>
      <c r="CE22" s="142"/>
      <c r="CF22" s="142"/>
      <c r="CG22" s="142"/>
      <c r="CH22" s="142"/>
      <c r="CI22" s="142"/>
      <c r="CJ22" s="142"/>
      <c r="CK22" s="142"/>
      <c r="CL22" s="142"/>
      <c r="CM22" s="142"/>
      <c r="CN22" s="142"/>
      <c r="CO22" s="142"/>
      <c r="CP22" s="142"/>
      <c r="CQ22" s="142"/>
      <c r="CR22" s="142"/>
      <c r="CS22" s="142"/>
      <c r="CT22" s="142"/>
      <c r="CU22" s="142"/>
      <c r="CV22" s="142"/>
      <c r="CW22" s="142"/>
      <c r="CX22" s="142"/>
      <c r="CY22" s="142"/>
      <c r="CZ22" s="142"/>
      <c r="DA22" s="142"/>
      <c r="DB22" s="142"/>
      <c r="DC22" s="142"/>
      <c r="DD22" s="142"/>
      <c r="DE22" s="142"/>
      <c r="DF22" s="142"/>
      <c r="DG22" s="142"/>
      <c r="DH22" s="142"/>
      <c r="DI22" s="142"/>
      <c r="DJ22" s="142"/>
      <c r="DK22" s="142"/>
      <c r="DL22" s="142"/>
      <c r="DM22" s="142"/>
      <c r="DN22" s="142"/>
      <c r="DO22" s="142"/>
      <c r="DP22" s="142"/>
      <c r="DQ22" s="142"/>
      <c r="DR22" s="142"/>
      <c r="DS22" s="142"/>
      <c r="DT22" s="142"/>
      <c r="DU22" s="142"/>
      <c r="DV22" s="142"/>
      <c r="DW22" s="142"/>
      <c r="DX22" s="142"/>
      <c r="DY22" s="142"/>
      <c r="DZ22" s="142"/>
      <c r="EA22" s="142"/>
      <c r="EB22" s="142"/>
      <c r="EC22" s="142"/>
      <c r="ED22" s="142"/>
      <c r="EE22" s="142"/>
      <c r="EF22" s="142"/>
      <c r="EG22" s="142"/>
      <c r="EH22" s="142"/>
      <c r="EI22" s="142"/>
      <c r="EJ22" s="142"/>
      <c r="EK22" s="142"/>
      <c r="EL22" s="142"/>
      <c r="EM22" s="142"/>
      <c r="EN22" s="142"/>
      <c r="EO22" s="142"/>
      <c r="EP22" s="142"/>
      <c r="EQ22" s="142"/>
      <c r="ER22" s="142"/>
      <c r="ES22" s="142"/>
      <c r="ET22" s="142"/>
      <c r="EU22" s="142"/>
      <c r="EV22" s="142"/>
      <c r="EW22" s="142"/>
      <c r="EX22" s="142"/>
      <c r="EY22" s="142"/>
      <c r="EZ22" s="142"/>
      <c r="FA22" s="142"/>
      <c r="FB22" s="142"/>
      <c r="FC22" s="142"/>
      <c r="FD22" s="142"/>
      <c r="FE22" s="142"/>
      <c r="FF22" s="142"/>
      <c r="FG22" s="142"/>
      <c r="FH22" s="142"/>
      <c r="FI22" s="142"/>
      <c r="FJ22" s="142"/>
      <c r="FK22" s="142"/>
      <c r="FL22" s="142"/>
      <c r="FM22" s="142"/>
      <c r="FN22" s="142"/>
      <c r="FO22" s="142"/>
      <c r="FP22" s="142"/>
      <c r="FQ22" s="142"/>
      <c r="FR22" s="142"/>
      <c r="FS22" s="142"/>
      <c r="FT22" s="142"/>
      <c r="FU22" s="142"/>
      <c r="FV22" s="142"/>
      <c r="FW22" s="142"/>
      <c r="FX22" s="142"/>
      <c r="FY22" s="142"/>
      <c r="FZ22" s="142"/>
      <c r="GA22" s="142"/>
      <c r="GB22" s="142"/>
      <c r="GC22" s="142"/>
      <c r="GD22" s="142"/>
      <c r="GE22" s="142"/>
      <c r="GF22" s="142"/>
      <c r="GG22" s="142"/>
      <c r="GH22" s="142"/>
      <c r="GI22" s="142"/>
      <c r="GJ22" s="142"/>
      <c r="GK22" s="142"/>
      <c r="GL22" s="142"/>
      <c r="GM22" s="142"/>
      <c r="GN22" s="142"/>
      <c r="GO22" s="142"/>
      <c r="GP22" s="142"/>
      <c r="GQ22" s="142"/>
      <c r="GR22" s="142"/>
      <c r="GS22" s="142"/>
      <c r="GT22" s="142"/>
      <c r="GU22" s="142"/>
      <c r="GV22" s="142"/>
      <c r="GW22" s="142"/>
      <c r="GX22" s="142"/>
      <c r="GY22" s="142"/>
      <c r="GZ22" s="142"/>
      <c r="HA22" s="142"/>
      <c r="HB22" s="142"/>
      <c r="HC22" s="142"/>
      <c r="HD22" s="142"/>
      <c r="HE22" s="142"/>
      <c r="HF22" s="142"/>
      <c r="HG22" s="142"/>
      <c r="HH22" s="142"/>
      <c r="HI22" s="142"/>
      <c r="HJ22" s="142"/>
      <c r="HK22" s="142"/>
      <c r="HL22" s="142"/>
      <c r="HM22" s="142"/>
      <c r="HN22" s="142"/>
      <c r="HO22" s="142"/>
      <c r="HP22" s="142"/>
      <c r="HQ22" s="142"/>
      <c r="HR22" s="142"/>
      <c r="HS22" s="142"/>
      <c r="HT22" s="142"/>
      <c r="HU22" s="142"/>
      <c r="HV22" s="142"/>
      <c r="HW22" s="142"/>
      <c r="HX22" s="142"/>
      <c r="HY22" s="142"/>
      <c r="HZ22" s="142"/>
      <c r="IA22" s="142"/>
      <c r="IB22" s="142"/>
      <c r="IC22" s="142"/>
      <c r="ID22" s="142"/>
      <c r="IE22" s="142"/>
      <c r="IF22" s="142"/>
      <c r="IG22" s="142"/>
      <c r="IH22" s="142"/>
      <c r="II22" s="142"/>
      <c r="IJ22" s="142"/>
      <c r="IK22" s="142"/>
      <c r="IL22" s="142"/>
      <c r="IM22" s="142"/>
      <c r="IN22" s="142"/>
      <c r="IO22" s="142"/>
      <c r="IP22" s="142"/>
      <c r="IQ22" s="142"/>
      <c r="IR22" s="142"/>
      <c r="IS22" s="142"/>
      <c r="IT22" s="142"/>
      <c r="IU22" s="142"/>
      <c r="IV22" s="142"/>
    </row>
    <row r="23" spans="1:256" s="216" customFormat="1" ht="18" customHeight="1" x14ac:dyDescent="0.35">
      <c r="A23" s="228">
        <v>15</v>
      </c>
      <c r="B23" s="223"/>
      <c r="C23" s="143"/>
      <c r="D23" s="257" t="s">
        <v>252</v>
      </c>
      <c r="E23" s="151"/>
      <c r="F23" s="219"/>
      <c r="G23" s="152"/>
      <c r="H23" s="263"/>
      <c r="I23" s="261"/>
      <c r="J23" s="256"/>
      <c r="K23" s="256"/>
      <c r="L23" s="256"/>
      <c r="M23" s="256">
        <v>13798</v>
      </c>
      <c r="N23" s="272"/>
      <c r="O23" s="254">
        <f>SUM(I23:N23)</f>
        <v>13798</v>
      </c>
      <c r="P23" s="220"/>
      <c r="Q23" s="142"/>
      <c r="R23" s="142"/>
      <c r="S23" s="142"/>
      <c r="T23" s="142"/>
      <c r="U23" s="142"/>
      <c r="V23" s="142"/>
      <c r="W23" s="142"/>
      <c r="X23" s="142"/>
      <c r="Y23" s="142"/>
      <c r="Z23" s="142"/>
      <c r="AA23" s="142"/>
      <c r="AB23" s="142"/>
      <c r="AC23" s="142"/>
      <c r="AD23" s="142"/>
      <c r="AE23" s="142"/>
      <c r="AF23" s="142"/>
      <c r="AG23" s="142"/>
      <c r="AH23" s="142"/>
      <c r="AI23" s="142"/>
      <c r="AJ23" s="142"/>
      <c r="AK23" s="142"/>
      <c r="AL23" s="142"/>
      <c r="AM23" s="142"/>
      <c r="AN23" s="142"/>
      <c r="AO23" s="142"/>
      <c r="AP23" s="142"/>
      <c r="AQ23" s="142"/>
      <c r="AR23" s="142"/>
      <c r="AS23" s="142"/>
      <c r="AT23" s="142"/>
      <c r="AU23" s="142"/>
      <c r="AV23" s="142"/>
      <c r="AW23" s="142"/>
      <c r="AX23" s="142"/>
      <c r="AY23" s="142"/>
      <c r="AZ23" s="142"/>
      <c r="BA23" s="142"/>
      <c r="BB23" s="142"/>
      <c r="BC23" s="142"/>
      <c r="BD23" s="142"/>
      <c r="BE23" s="142"/>
      <c r="BF23" s="142"/>
      <c r="BG23" s="142"/>
      <c r="BH23" s="142"/>
      <c r="BI23" s="142"/>
      <c r="BJ23" s="142"/>
      <c r="BK23" s="142"/>
      <c r="BL23" s="142"/>
      <c r="BM23" s="142"/>
      <c r="BN23" s="142"/>
      <c r="BO23" s="142"/>
      <c r="BP23" s="142"/>
      <c r="BQ23" s="142"/>
      <c r="BR23" s="142"/>
      <c r="BS23" s="142"/>
      <c r="BT23" s="142"/>
      <c r="BU23" s="142"/>
      <c r="BV23" s="142"/>
      <c r="BW23" s="142"/>
      <c r="BX23" s="142"/>
      <c r="BY23" s="142"/>
      <c r="BZ23" s="142"/>
      <c r="CA23" s="142"/>
      <c r="CB23" s="142"/>
      <c r="CC23" s="142"/>
      <c r="CD23" s="142"/>
      <c r="CE23" s="142"/>
      <c r="CF23" s="142"/>
      <c r="CG23" s="142"/>
      <c r="CH23" s="142"/>
      <c r="CI23" s="142"/>
      <c r="CJ23" s="142"/>
      <c r="CK23" s="142"/>
      <c r="CL23" s="142"/>
      <c r="CM23" s="142"/>
      <c r="CN23" s="142"/>
      <c r="CO23" s="142"/>
      <c r="CP23" s="142"/>
      <c r="CQ23" s="142"/>
      <c r="CR23" s="142"/>
      <c r="CS23" s="142"/>
      <c r="CT23" s="142"/>
      <c r="CU23" s="142"/>
      <c r="CV23" s="142"/>
      <c r="CW23" s="142"/>
      <c r="CX23" s="142"/>
      <c r="CY23" s="142"/>
      <c r="CZ23" s="142"/>
      <c r="DA23" s="142"/>
      <c r="DB23" s="142"/>
      <c r="DC23" s="142"/>
      <c r="DD23" s="142"/>
      <c r="DE23" s="142"/>
      <c r="DF23" s="142"/>
      <c r="DG23" s="142"/>
      <c r="DH23" s="142"/>
      <c r="DI23" s="142"/>
      <c r="DJ23" s="142"/>
      <c r="DK23" s="142"/>
      <c r="DL23" s="142"/>
      <c r="DM23" s="142"/>
      <c r="DN23" s="142"/>
      <c r="DO23" s="142"/>
      <c r="DP23" s="142"/>
      <c r="DQ23" s="142"/>
      <c r="DR23" s="142"/>
      <c r="DS23" s="142"/>
      <c r="DT23" s="142"/>
      <c r="DU23" s="142"/>
      <c r="DV23" s="142"/>
      <c r="DW23" s="142"/>
      <c r="DX23" s="142"/>
      <c r="DY23" s="142"/>
      <c r="DZ23" s="142"/>
      <c r="EA23" s="142"/>
      <c r="EB23" s="142"/>
      <c r="EC23" s="142"/>
      <c r="ED23" s="142"/>
      <c r="EE23" s="142"/>
      <c r="EF23" s="142"/>
      <c r="EG23" s="142"/>
      <c r="EH23" s="142"/>
      <c r="EI23" s="142"/>
      <c r="EJ23" s="142"/>
      <c r="EK23" s="142"/>
      <c r="EL23" s="142"/>
      <c r="EM23" s="142"/>
      <c r="EN23" s="142"/>
      <c r="EO23" s="142"/>
      <c r="EP23" s="142"/>
      <c r="EQ23" s="142"/>
      <c r="ER23" s="142"/>
      <c r="ES23" s="142"/>
      <c r="ET23" s="142"/>
      <c r="EU23" s="142"/>
      <c r="EV23" s="142"/>
      <c r="EW23" s="142"/>
      <c r="EX23" s="142"/>
      <c r="EY23" s="142"/>
      <c r="EZ23" s="142"/>
      <c r="FA23" s="142"/>
      <c r="FB23" s="142"/>
      <c r="FC23" s="142"/>
      <c r="FD23" s="142"/>
      <c r="FE23" s="142"/>
      <c r="FF23" s="142"/>
      <c r="FG23" s="142"/>
      <c r="FH23" s="142"/>
      <c r="FI23" s="142"/>
      <c r="FJ23" s="142"/>
      <c r="FK23" s="142"/>
      <c r="FL23" s="142"/>
      <c r="FM23" s="142"/>
      <c r="FN23" s="142"/>
      <c r="FO23" s="142"/>
      <c r="FP23" s="142"/>
      <c r="FQ23" s="142"/>
      <c r="FR23" s="142"/>
      <c r="FS23" s="142"/>
      <c r="FT23" s="142"/>
      <c r="FU23" s="142"/>
      <c r="FV23" s="142"/>
      <c r="FW23" s="142"/>
      <c r="FX23" s="142"/>
      <c r="FY23" s="142"/>
      <c r="FZ23" s="142"/>
      <c r="GA23" s="142"/>
      <c r="GB23" s="142"/>
      <c r="GC23" s="142"/>
      <c r="GD23" s="142"/>
      <c r="GE23" s="142"/>
      <c r="GF23" s="142"/>
      <c r="GG23" s="142"/>
      <c r="GH23" s="142"/>
      <c r="GI23" s="142"/>
      <c r="GJ23" s="142"/>
      <c r="GK23" s="142"/>
      <c r="GL23" s="142"/>
      <c r="GM23" s="142"/>
      <c r="GN23" s="142"/>
      <c r="GO23" s="142"/>
      <c r="GP23" s="142"/>
      <c r="GQ23" s="142"/>
      <c r="GR23" s="142"/>
      <c r="GS23" s="142"/>
      <c r="GT23" s="142"/>
      <c r="GU23" s="142"/>
      <c r="GV23" s="142"/>
      <c r="GW23" s="142"/>
      <c r="GX23" s="142"/>
      <c r="GY23" s="142"/>
      <c r="GZ23" s="142"/>
      <c r="HA23" s="142"/>
      <c r="HB23" s="142"/>
      <c r="HC23" s="142"/>
      <c r="HD23" s="142"/>
      <c r="HE23" s="142"/>
      <c r="HF23" s="142"/>
      <c r="HG23" s="142"/>
      <c r="HH23" s="142"/>
      <c r="HI23" s="142"/>
      <c r="HJ23" s="142"/>
      <c r="HK23" s="142"/>
      <c r="HL23" s="142"/>
      <c r="HM23" s="142"/>
      <c r="HN23" s="142"/>
      <c r="HO23" s="142"/>
      <c r="HP23" s="142"/>
      <c r="HQ23" s="142"/>
      <c r="HR23" s="142"/>
      <c r="HS23" s="142"/>
      <c r="HT23" s="142"/>
      <c r="HU23" s="142"/>
      <c r="HV23" s="142"/>
      <c r="HW23" s="142"/>
      <c r="HX23" s="142"/>
      <c r="HY23" s="142"/>
      <c r="HZ23" s="142"/>
      <c r="IA23" s="142"/>
      <c r="IB23" s="142"/>
      <c r="IC23" s="142"/>
      <c r="ID23" s="142"/>
      <c r="IE23" s="142"/>
      <c r="IF23" s="142"/>
      <c r="IG23" s="142"/>
      <c r="IH23" s="142"/>
      <c r="II23" s="142"/>
      <c r="IJ23" s="142"/>
      <c r="IK23" s="142"/>
      <c r="IL23" s="142"/>
      <c r="IM23" s="142"/>
      <c r="IN23" s="142"/>
      <c r="IO23" s="142"/>
      <c r="IP23" s="142"/>
      <c r="IQ23" s="142"/>
      <c r="IR23" s="142"/>
      <c r="IS23" s="142"/>
      <c r="IT23" s="142"/>
      <c r="IU23" s="142"/>
      <c r="IV23" s="142"/>
    </row>
    <row r="24" spans="1:256" s="216" customFormat="1" ht="18" customHeight="1" x14ac:dyDescent="0.35">
      <c r="A24" s="228">
        <v>16</v>
      </c>
      <c r="B24" s="223"/>
      <c r="C24" s="143"/>
      <c r="D24" s="923" t="s">
        <v>921</v>
      </c>
      <c r="E24" s="151"/>
      <c r="F24" s="219"/>
      <c r="G24" s="152"/>
      <c r="H24" s="263"/>
      <c r="I24" s="373"/>
      <c r="J24" s="384"/>
      <c r="K24" s="384"/>
      <c r="L24" s="384"/>
      <c r="M24" s="384">
        <v>13798</v>
      </c>
      <c r="N24" s="921"/>
      <c r="O24" s="224">
        <f>SUM(I24:N24)</f>
        <v>13798</v>
      </c>
      <c r="P24" s="220"/>
      <c r="Q24" s="142"/>
      <c r="R24" s="142"/>
      <c r="S24" s="142"/>
      <c r="T24" s="142"/>
      <c r="U24" s="142"/>
      <c r="V24" s="142"/>
      <c r="W24" s="142"/>
      <c r="X24" s="142"/>
      <c r="Y24" s="142"/>
      <c r="Z24" s="142"/>
      <c r="AA24" s="142"/>
      <c r="AB24" s="142"/>
      <c r="AC24" s="142"/>
      <c r="AD24" s="142"/>
      <c r="AE24" s="142"/>
      <c r="AF24" s="142"/>
      <c r="AG24" s="142"/>
      <c r="AH24" s="142"/>
      <c r="AI24" s="142"/>
      <c r="AJ24" s="142"/>
      <c r="AK24" s="142"/>
      <c r="AL24" s="142"/>
      <c r="AM24" s="142"/>
      <c r="AN24" s="142"/>
      <c r="AO24" s="142"/>
      <c r="AP24" s="142"/>
      <c r="AQ24" s="142"/>
      <c r="AR24" s="142"/>
      <c r="AS24" s="142"/>
      <c r="AT24" s="142"/>
      <c r="AU24" s="142"/>
      <c r="AV24" s="142"/>
      <c r="AW24" s="142"/>
      <c r="AX24" s="142"/>
      <c r="AY24" s="142"/>
      <c r="AZ24" s="142"/>
      <c r="BA24" s="142"/>
      <c r="BB24" s="142"/>
      <c r="BC24" s="142"/>
      <c r="BD24" s="142"/>
      <c r="BE24" s="142"/>
      <c r="BF24" s="142"/>
      <c r="BG24" s="142"/>
      <c r="BH24" s="142"/>
      <c r="BI24" s="142"/>
      <c r="BJ24" s="142"/>
      <c r="BK24" s="142"/>
      <c r="BL24" s="142"/>
      <c r="BM24" s="142"/>
      <c r="BN24" s="142"/>
      <c r="BO24" s="142"/>
      <c r="BP24" s="142"/>
      <c r="BQ24" s="142"/>
      <c r="BR24" s="142"/>
      <c r="BS24" s="142"/>
      <c r="BT24" s="142"/>
      <c r="BU24" s="142"/>
      <c r="BV24" s="142"/>
      <c r="BW24" s="142"/>
      <c r="BX24" s="142"/>
      <c r="BY24" s="142"/>
      <c r="BZ24" s="142"/>
      <c r="CA24" s="142"/>
      <c r="CB24" s="142"/>
      <c r="CC24" s="142"/>
      <c r="CD24" s="142"/>
      <c r="CE24" s="142"/>
      <c r="CF24" s="142"/>
      <c r="CG24" s="142"/>
      <c r="CH24" s="142"/>
      <c r="CI24" s="142"/>
      <c r="CJ24" s="142"/>
      <c r="CK24" s="142"/>
      <c r="CL24" s="142"/>
      <c r="CM24" s="142"/>
      <c r="CN24" s="142"/>
      <c r="CO24" s="142"/>
      <c r="CP24" s="142"/>
      <c r="CQ24" s="142"/>
      <c r="CR24" s="142"/>
      <c r="CS24" s="142"/>
      <c r="CT24" s="142"/>
      <c r="CU24" s="142"/>
      <c r="CV24" s="142"/>
      <c r="CW24" s="142"/>
      <c r="CX24" s="142"/>
      <c r="CY24" s="142"/>
      <c r="CZ24" s="142"/>
      <c r="DA24" s="142"/>
      <c r="DB24" s="142"/>
      <c r="DC24" s="142"/>
      <c r="DD24" s="142"/>
      <c r="DE24" s="142"/>
      <c r="DF24" s="142"/>
      <c r="DG24" s="142"/>
      <c r="DH24" s="142"/>
      <c r="DI24" s="142"/>
      <c r="DJ24" s="142"/>
      <c r="DK24" s="142"/>
      <c r="DL24" s="142"/>
      <c r="DM24" s="142"/>
      <c r="DN24" s="142"/>
      <c r="DO24" s="142"/>
      <c r="DP24" s="142"/>
      <c r="DQ24" s="142"/>
      <c r="DR24" s="142"/>
      <c r="DS24" s="142"/>
      <c r="DT24" s="142"/>
      <c r="DU24" s="142"/>
      <c r="DV24" s="142"/>
      <c r="DW24" s="142"/>
      <c r="DX24" s="142"/>
      <c r="DY24" s="142"/>
      <c r="DZ24" s="142"/>
      <c r="EA24" s="142"/>
      <c r="EB24" s="142"/>
      <c r="EC24" s="142"/>
      <c r="ED24" s="142"/>
      <c r="EE24" s="142"/>
      <c r="EF24" s="142"/>
      <c r="EG24" s="142"/>
      <c r="EH24" s="142"/>
      <c r="EI24" s="142"/>
      <c r="EJ24" s="142"/>
      <c r="EK24" s="142"/>
      <c r="EL24" s="142"/>
      <c r="EM24" s="142"/>
      <c r="EN24" s="142"/>
      <c r="EO24" s="142"/>
      <c r="EP24" s="142"/>
      <c r="EQ24" s="142"/>
      <c r="ER24" s="142"/>
      <c r="ES24" s="142"/>
      <c r="ET24" s="142"/>
      <c r="EU24" s="142"/>
      <c r="EV24" s="142"/>
      <c r="EW24" s="142"/>
      <c r="EX24" s="142"/>
      <c r="EY24" s="142"/>
      <c r="EZ24" s="142"/>
      <c r="FA24" s="142"/>
      <c r="FB24" s="142"/>
      <c r="FC24" s="142"/>
      <c r="FD24" s="142"/>
      <c r="FE24" s="142"/>
      <c r="FF24" s="142"/>
      <c r="FG24" s="142"/>
      <c r="FH24" s="142"/>
      <c r="FI24" s="142"/>
      <c r="FJ24" s="142"/>
      <c r="FK24" s="142"/>
      <c r="FL24" s="142"/>
      <c r="FM24" s="142"/>
      <c r="FN24" s="142"/>
      <c r="FO24" s="142"/>
      <c r="FP24" s="142"/>
      <c r="FQ24" s="142"/>
      <c r="FR24" s="142"/>
      <c r="FS24" s="142"/>
      <c r="FT24" s="142"/>
      <c r="FU24" s="142"/>
      <c r="FV24" s="142"/>
      <c r="FW24" s="142"/>
      <c r="FX24" s="142"/>
      <c r="FY24" s="142"/>
      <c r="FZ24" s="142"/>
      <c r="GA24" s="142"/>
      <c r="GB24" s="142"/>
      <c r="GC24" s="142"/>
      <c r="GD24" s="142"/>
      <c r="GE24" s="142"/>
      <c r="GF24" s="142"/>
      <c r="GG24" s="142"/>
      <c r="GH24" s="142"/>
      <c r="GI24" s="142"/>
      <c r="GJ24" s="142"/>
      <c r="GK24" s="142"/>
      <c r="GL24" s="142"/>
      <c r="GM24" s="142"/>
      <c r="GN24" s="142"/>
      <c r="GO24" s="142"/>
      <c r="GP24" s="142"/>
      <c r="GQ24" s="142"/>
      <c r="GR24" s="142"/>
      <c r="GS24" s="142"/>
      <c r="GT24" s="142"/>
      <c r="GU24" s="142"/>
      <c r="GV24" s="142"/>
      <c r="GW24" s="142"/>
      <c r="GX24" s="142"/>
      <c r="GY24" s="142"/>
      <c r="GZ24" s="142"/>
      <c r="HA24" s="142"/>
      <c r="HB24" s="142"/>
      <c r="HC24" s="142"/>
      <c r="HD24" s="142"/>
      <c r="HE24" s="142"/>
      <c r="HF24" s="142"/>
      <c r="HG24" s="142"/>
      <c r="HH24" s="142"/>
      <c r="HI24" s="142"/>
      <c r="HJ24" s="142"/>
      <c r="HK24" s="142"/>
      <c r="HL24" s="142"/>
      <c r="HM24" s="142"/>
      <c r="HN24" s="142"/>
      <c r="HO24" s="142"/>
      <c r="HP24" s="142"/>
      <c r="HQ24" s="142"/>
      <c r="HR24" s="142"/>
      <c r="HS24" s="142"/>
      <c r="HT24" s="142"/>
      <c r="HU24" s="142"/>
      <c r="HV24" s="142"/>
      <c r="HW24" s="142"/>
      <c r="HX24" s="142"/>
      <c r="HY24" s="142"/>
      <c r="HZ24" s="142"/>
      <c r="IA24" s="142"/>
      <c r="IB24" s="142"/>
      <c r="IC24" s="142"/>
      <c r="ID24" s="142"/>
      <c r="IE24" s="142"/>
      <c r="IF24" s="142"/>
      <c r="IG24" s="142"/>
      <c r="IH24" s="142"/>
      <c r="II24" s="142"/>
      <c r="IJ24" s="142"/>
      <c r="IK24" s="142"/>
      <c r="IL24" s="142"/>
      <c r="IM24" s="142"/>
      <c r="IN24" s="142"/>
      <c r="IO24" s="142"/>
      <c r="IP24" s="142"/>
      <c r="IQ24" s="142"/>
      <c r="IR24" s="142"/>
      <c r="IS24" s="142"/>
      <c r="IT24" s="142"/>
      <c r="IU24" s="142"/>
      <c r="IV24" s="142"/>
    </row>
    <row r="25" spans="1:256" s="216" customFormat="1" ht="18" customHeight="1" x14ac:dyDescent="0.35">
      <c r="A25" s="228">
        <v>17</v>
      </c>
      <c r="B25" s="223"/>
      <c r="C25" s="143"/>
      <c r="D25" s="920" t="s">
        <v>973</v>
      </c>
      <c r="E25" s="151"/>
      <c r="F25" s="219"/>
      <c r="G25" s="152"/>
      <c r="H25" s="263"/>
      <c r="I25" s="261"/>
      <c r="J25" s="256"/>
      <c r="K25" s="256"/>
      <c r="L25" s="256"/>
      <c r="M25" s="1752">
        <v>0</v>
      </c>
      <c r="N25" s="272"/>
      <c r="O25" s="922">
        <f>SUM(I25:N25)</f>
        <v>0</v>
      </c>
      <c r="P25" s="220"/>
      <c r="Q25" s="142"/>
      <c r="R25" s="142"/>
      <c r="S25" s="142"/>
      <c r="T25" s="142"/>
      <c r="U25" s="142"/>
      <c r="V25" s="142"/>
      <c r="W25" s="142"/>
      <c r="X25" s="142"/>
      <c r="Y25" s="142"/>
      <c r="Z25" s="142"/>
      <c r="AA25" s="142"/>
      <c r="AB25" s="142"/>
      <c r="AC25" s="142"/>
      <c r="AD25" s="142"/>
      <c r="AE25" s="142"/>
      <c r="AF25" s="142"/>
      <c r="AG25" s="142"/>
      <c r="AH25" s="142"/>
      <c r="AI25" s="142"/>
      <c r="AJ25" s="142"/>
      <c r="AK25" s="142"/>
      <c r="AL25" s="142"/>
      <c r="AM25" s="142"/>
      <c r="AN25" s="142"/>
      <c r="AO25" s="142"/>
      <c r="AP25" s="142"/>
      <c r="AQ25" s="142"/>
      <c r="AR25" s="142"/>
      <c r="AS25" s="142"/>
      <c r="AT25" s="142"/>
      <c r="AU25" s="142"/>
      <c r="AV25" s="142"/>
      <c r="AW25" s="142"/>
      <c r="AX25" s="142"/>
      <c r="AY25" s="142"/>
      <c r="AZ25" s="142"/>
      <c r="BA25" s="142"/>
      <c r="BB25" s="142"/>
      <c r="BC25" s="142"/>
      <c r="BD25" s="142"/>
      <c r="BE25" s="142"/>
      <c r="BF25" s="142"/>
      <c r="BG25" s="142"/>
      <c r="BH25" s="142"/>
      <c r="BI25" s="142"/>
      <c r="BJ25" s="142"/>
      <c r="BK25" s="142"/>
      <c r="BL25" s="142"/>
      <c r="BM25" s="142"/>
      <c r="BN25" s="142"/>
      <c r="BO25" s="142"/>
      <c r="BP25" s="142"/>
      <c r="BQ25" s="142"/>
      <c r="BR25" s="142"/>
      <c r="BS25" s="142"/>
      <c r="BT25" s="142"/>
      <c r="BU25" s="142"/>
      <c r="BV25" s="142"/>
      <c r="BW25" s="142"/>
      <c r="BX25" s="142"/>
      <c r="BY25" s="142"/>
      <c r="BZ25" s="142"/>
      <c r="CA25" s="142"/>
      <c r="CB25" s="142"/>
      <c r="CC25" s="142"/>
      <c r="CD25" s="142"/>
      <c r="CE25" s="142"/>
      <c r="CF25" s="142"/>
      <c r="CG25" s="142"/>
      <c r="CH25" s="142"/>
      <c r="CI25" s="142"/>
      <c r="CJ25" s="142"/>
      <c r="CK25" s="142"/>
      <c r="CL25" s="142"/>
      <c r="CM25" s="142"/>
      <c r="CN25" s="142"/>
      <c r="CO25" s="142"/>
      <c r="CP25" s="142"/>
      <c r="CQ25" s="142"/>
      <c r="CR25" s="142"/>
      <c r="CS25" s="142"/>
      <c r="CT25" s="142"/>
      <c r="CU25" s="142"/>
      <c r="CV25" s="142"/>
      <c r="CW25" s="142"/>
      <c r="CX25" s="142"/>
      <c r="CY25" s="142"/>
      <c r="CZ25" s="142"/>
      <c r="DA25" s="142"/>
      <c r="DB25" s="142"/>
      <c r="DC25" s="142"/>
      <c r="DD25" s="142"/>
      <c r="DE25" s="142"/>
      <c r="DF25" s="142"/>
      <c r="DG25" s="142"/>
      <c r="DH25" s="142"/>
      <c r="DI25" s="142"/>
      <c r="DJ25" s="142"/>
      <c r="DK25" s="142"/>
      <c r="DL25" s="142"/>
      <c r="DM25" s="142"/>
      <c r="DN25" s="142"/>
      <c r="DO25" s="142"/>
      <c r="DP25" s="142"/>
      <c r="DQ25" s="142"/>
      <c r="DR25" s="142"/>
      <c r="DS25" s="142"/>
      <c r="DT25" s="142"/>
      <c r="DU25" s="142"/>
      <c r="DV25" s="142"/>
      <c r="DW25" s="142"/>
      <c r="DX25" s="142"/>
      <c r="DY25" s="142"/>
      <c r="DZ25" s="142"/>
      <c r="EA25" s="142"/>
      <c r="EB25" s="142"/>
      <c r="EC25" s="142"/>
      <c r="ED25" s="142"/>
      <c r="EE25" s="142"/>
      <c r="EF25" s="142"/>
      <c r="EG25" s="142"/>
      <c r="EH25" s="142"/>
      <c r="EI25" s="142"/>
      <c r="EJ25" s="142"/>
      <c r="EK25" s="142"/>
      <c r="EL25" s="142"/>
      <c r="EM25" s="142"/>
      <c r="EN25" s="142"/>
      <c r="EO25" s="142"/>
      <c r="EP25" s="142"/>
      <c r="EQ25" s="142"/>
      <c r="ER25" s="142"/>
      <c r="ES25" s="142"/>
      <c r="ET25" s="142"/>
      <c r="EU25" s="142"/>
      <c r="EV25" s="142"/>
      <c r="EW25" s="142"/>
      <c r="EX25" s="142"/>
      <c r="EY25" s="142"/>
      <c r="EZ25" s="142"/>
      <c r="FA25" s="142"/>
      <c r="FB25" s="142"/>
      <c r="FC25" s="142"/>
      <c r="FD25" s="142"/>
      <c r="FE25" s="142"/>
      <c r="FF25" s="142"/>
      <c r="FG25" s="142"/>
      <c r="FH25" s="142"/>
      <c r="FI25" s="142"/>
      <c r="FJ25" s="142"/>
      <c r="FK25" s="142"/>
      <c r="FL25" s="142"/>
      <c r="FM25" s="142"/>
      <c r="FN25" s="142"/>
      <c r="FO25" s="142"/>
      <c r="FP25" s="142"/>
      <c r="FQ25" s="142"/>
      <c r="FR25" s="142"/>
      <c r="FS25" s="142"/>
      <c r="FT25" s="142"/>
      <c r="FU25" s="142"/>
      <c r="FV25" s="142"/>
      <c r="FW25" s="142"/>
      <c r="FX25" s="142"/>
      <c r="FY25" s="142"/>
      <c r="FZ25" s="142"/>
      <c r="GA25" s="142"/>
      <c r="GB25" s="142"/>
      <c r="GC25" s="142"/>
      <c r="GD25" s="142"/>
      <c r="GE25" s="142"/>
      <c r="GF25" s="142"/>
      <c r="GG25" s="142"/>
      <c r="GH25" s="142"/>
      <c r="GI25" s="142"/>
      <c r="GJ25" s="142"/>
      <c r="GK25" s="142"/>
      <c r="GL25" s="142"/>
      <c r="GM25" s="142"/>
      <c r="GN25" s="142"/>
      <c r="GO25" s="142"/>
      <c r="GP25" s="142"/>
      <c r="GQ25" s="142"/>
      <c r="GR25" s="142"/>
      <c r="GS25" s="142"/>
      <c r="GT25" s="142"/>
      <c r="GU25" s="142"/>
      <c r="GV25" s="142"/>
      <c r="GW25" s="142"/>
      <c r="GX25" s="142"/>
      <c r="GY25" s="142"/>
      <c r="GZ25" s="142"/>
      <c r="HA25" s="142"/>
      <c r="HB25" s="142"/>
      <c r="HC25" s="142"/>
      <c r="HD25" s="142"/>
      <c r="HE25" s="142"/>
      <c r="HF25" s="142"/>
      <c r="HG25" s="142"/>
      <c r="HH25" s="142"/>
      <c r="HI25" s="142"/>
      <c r="HJ25" s="142"/>
      <c r="HK25" s="142"/>
      <c r="HL25" s="142"/>
      <c r="HM25" s="142"/>
      <c r="HN25" s="142"/>
      <c r="HO25" s="142"/>
      <c r="HP25" s="142"/>
      <c r="HQ25" s="142"/>
      <c r="HR25" s="142"/>
      <c r="HS25" s="142"/>
      <c r="HT25" s="142"/>
      <c r="HU25" s="142"/>
      <c r="HV25" s="142"/>
      <c r="HW25" s="142"/>
      <c r="HX25" s="142"/>
      <c r="HY25" s="142"/>
      <c r="HZ25" s="142"/>
      <c r="IA25" s="142"/>
      <c r="IB25" s="142"/>
      <c r="IC25" s="142"/>
      <c r="ID25" s="142"/>
      <c r="IE25" s="142"/>
      <c r="IF25" s="142"/>
      <c r="IG25" s="142"/>
      <c r="IH25" s="142"/>
      <c r="II25" s="142"/>
      <c r="IJ25" s="142"/>
      <c r="IK25" s="142"/>
      <c r="IL25" s="142"/>
      <c r="IM25" s="142"/>
      <c r="IN25" s="142"/>
      <c r="IO25" s="142"/>
      <c r="IP25" s="142"/>
      <c r="IQ25" s="142"/>
      <c r="IR25" s="142"/>
      <c r="IS25" s="142"/>
      <c r="IT25" s="142"/>
      <c r="IU25" s="142"/>
      <c r="IV25" s="142"/>
    </row>
    <row r="26" spans="1:256" ht="33" x14ac:dyDescent="0.35">
      <c r="A26" s="228">
        <v>18</v>
      </c>
      <c r="B26" s="198"/>
      <c r="C26" s="143">
        <v>7</v>
      </c>
      <c r="D26" s="145" t="s">
        <v>318</v>
      </c>
      <c r="E26" s="665">
        <f>F26+G26+O28+P27</f>
        <v>2702387</v>
      </c>
      <c r="F26" s="705">
        <f>28000+26441+46228+12816+60536</f>
        <v>174021</v>
      </c>
      <c r="G26" s="686">
        <v>2512461</v>
      </c>
      <c r="H26" s="263" t="s">
        <v>24</v>
      </c>
      <c r="I26" s="261"/>
      <c r="J26" s="256"/>
      <c r="K26" s="256"/>
      <c r="L26" s="256"/>
      <c r="M26" s="256"/>
      <c r="N26" s="272"/>
      <c r="O26" s="254"/>
      <c r="P26" s="220"/>
    </row>
    <row r="27" spans="1:256" s="216" customFormat="1" ht="18" customHeight="1" x14ac:dyDescent="0.35">
      <c r="A27" s="228">
        <v>19</v>
      </c>
      <c r="B27" s="223"/>
      <c r="C27" s="143"/>
      <c r="D27" s="257" t="s">
        <v>252</v>
      </c>
      <c r="E27" s="151"/>
      <c r="F27" s="219"/>
      <c r="G27" s="152"/>
      <c r="H27" s="263"/>
      <c r="I27" s="261"/>
      <c r="J27" s="256"/>
      <c r="K27" s="256"/>
      <c r="L27" s="256"/>
      <c r="M27" s="256"/>
      <c r="N27" s="256">
        <v>18100</v>
      </c>
      <c r="O27" s="254">
        <f>SUM(I27:N27)</f>
        <v>18100</v>
      </c>
      <c r="P27" s="220"/>
      <c r="Q27" s="142"/>
      <c r="R27" s="142"/>
      <c r="S27" s="142"/>
      <c r="T27" s="142"/>
      <c r="U27" s="142"/>
      <c r="V27" s="142"/>
      <c r="W27" s="142"/>
      <c r="X27" s="142"/>
      <c r="Y27" s="142"/>
      <c r="Z27" s="142"/>
      <c r="AA27" s="142"/>
      <c r="AB27" s="142"/>
      <c r="AC27" s="142"/>
      <c r="AD27" s="142"/>
      <c r="AE27" s="142"/>
      <c r="AF27" s="142"/>
      <c r="AG27" s="142"/>
      <c r="AH27" s="142"/>
      <c r="AI27" s="142"/>
      <c r="AJ27" s="142"/>
      <c r="AK27" s="142"/>
      <c r="AL27" s="142"/>
      <c r="AM27" s="142"/>
      <c r="AN27" s="142"/>
      <c r="AO27" s="142"/>
      <c r="AP27" s="142"/>
      <c r="AQ27" s="142"/>
      <c r="AR27" s="142"/>
      <c r="AS27" s="142"/>
      <c r="AT27" s="142"/>
      <c r="AU27" s="142"/>
      <c r="AV27" s="142"/>
      <c r="AW27" s="142"/>
      <c r="AX27" s="142"/>
      <c r="AY27" s="142"/>
      <c r="AZ27" s="142"/>
      <c r="BA27" s="142"/>
      <c r="BB27" s="142"/>
      <c r="BC27" s="142"/>
      <c r="BD27" s="142"/>
      <c r="BE27" s="142"/>
      <c r="BF27" s="142"/>
      <c r="BG27" s="142"/>
      <c r="BH27" s="142"/>
      <c r="BI27" s="142"/>
      <c r="BJ27" s="142"/>
      <c r="BK27" s="142"/>
      <c r="BL27" s="142"/>
      <c r="BM27" s="142"/>
      <c r="BN27" s="142"/>
      <c r="BO27" s="142"/>
      <c r="BP27" s="142"/>
      <c r="BQ27" s="142"/>
      <c r="BR27" s="142"/>
      <c r="BS27" s="142"/>
      <c r="BT27" s="142"/>
      <c r="BU27" s="142"/>
      <c r="BV27" s="142"/>
      <c r="BW27" s="142"/>
      <c r="BX27" s="142"/>
      <c r="BY27" s="142"/>
      <c r="BZ27" s="142"/>
      <c r="CA27" s="142"/>
      <c r="CB27" s="142"/>
      <c r="CC27" s="142"/>
      <c r="CD27" s="142"/>
      <c r="CE27" s="142"/>
      <c r="CF27" s="142"/>
      <c r="CG27" s="142"/>
      <c r="CH27" s="142"/>
      <c r="CI27" s="142"/>
      <c r="CJ27" s="142"/>
      <c r="CK27" s="142"/>
      <c r="CL27" s="142"/>
      <c r="CM27" s="142"/>
      <c r="CN27" s="142"/>
      <c r="CO27" s="142"/>
      <c r="CP27" s="142"/>
      <c r="CQ27" s="142"/>
      <c r="CR27" s="142"/>
      <c r="CS27" s="142"/>
      <c r="CT27" s="142"/>
      <c r="CU27" s="142"/>
      <c r="CV27" s="142"/>
      <c r="CW27" s="142"/>
      <c r="CX27" s="142"/>
      <c r="CY27" s="142"/>
      <c r="CZ27" s="142"/>
      <c r="DA27" s="142"/>
      <c r="DB27" s="142"/>
      <c r="DC27" s="142"/>
      <c r="DD27" s="142"/>
      <c r="DE27" s="142"/>
      <c r="DF27" s="142"/>
      <c r="DG27" s="142"/>
      <c r="DH27" s="142"/>
      <c r="DI27" s="142"/>
      <c r="DJ27" s="142"/>
      <c r="DK27" s="142"/>
      <c r="DL27" s="142"/>
      <c r="DM27" s="142"/>
      <c r="DN27" s="142"/>
      <c r="DO27" s="142"/>
      <c r="DP27" s="142"/>
      <c r="DQ27" s="142"/>
      <c r="DR27" s="142"/>
      <c r="DS27" s="142"/>
      <c r="DT27" s="142"/>
      <c r="DU27" s="142"/>
      <c r="DV27" s="142"/>
      <c r="DW27" s="142"/>
      <c r="DX27" s="142"/>
      <c r="DY27" s="142"/>
      <c r="DZ27" s="142"/>
      <c r="EA27" s="142"/>
      <c r="EB27" s="142"/>
      <c r="EC27" s="142"/>
      <c r="ED27" s="142"/>
      <c r="EE27" s="142"/>
      <c r="EF27" s="142"/>
      <c r="EG27" s="142"/>
      <c r="EH27" s="142"/>
      <c r="EI27" s="142"/>
      <c r="EJ27" s="142"/>
      <c r="EK27" s="142"/>
      <c r="EL27" s="142"/>
      <c r="EM27" s="142"/>
      <c r="EN27" s="142"/>
      <c r="EO27" s="142"/>
      <c r="EP27" s="142"/>
      <c r="EQ27" s="142"/>
      <c r="ER27" s="142"/>
      <c r="ES27" s="142"/>
      <c r="ET27" s="142"/>
      <c r="EU27" s="142"/>
      <c r="EV27" s="142"/>
      <c r="EW27" s="142"/>
      <c r="EX27" s="142"/>
      <c r="EY27" s="142"/>
      <c r="EZ27" s="142"/>
      <c r="FA27" s="142"/>
      <c r="FB27" s="142"/>
      <c r="FC27" s="142"/>
      <c r="FD27" s="142"/>
      <c r="FE27" s="142"/>
      <c r="FF27" s="142"/>
      <c r="FG27" s="142"/>
      <c r="FH27" s="142"/>
      <c r="FI27" s="142"/>
      <c r="FJ27" s="142"/>
      <c r="FK27" s="142"/>
      <c r="FL27" s="142"/>
      <c r="FM27" s="142"/>
      <c r="FN27" s="142"/>
      <c r="FO27" s="142"/>
      <c r="FP27" s="142"/>
      <c r="FQ27" s="142"/>
      <c r="FR27" s="142"/>
      <c r="FS27" s="142"/>
      <c r="FT27" s="142"/>
      <c r="FU27" s="142"/>
      <c r="FV27" s="142"/>
      <c r="FW27" s="142"/>
      <c r="FX27" s="142"/>
      <c r="FY27" s="142"/>
      <c r="FZ27" s="142"/>
      <c r="GA27" s="142"/>
      <c r="GB27" s="142"/>
      <c r="GC27" s="142"/>
      <c r="GD27" s="142"/>
      <c r="GE27" s="142"/>
      <c r="GF27" s="142"/>
      <c r="GG27" s="142"/>
      <c r="GH27" s="142"/>
      <c r="GI27" s="142"/>
      <c r="GJ27" s="142"/>
      <c r="GK27" s="142"/>
      <c r="GL27" s="142"/>
      <c r="GM27" s="142"/>
      <c r="GN27" s="142"/>
      <c r="GO27" s="142"/>
      <c r="GP27" s="142"/>
      <c r="GQ27" s="142"/>
      <c r="GR27" s="142"/>
      <c r="GS27" s="142"/>
      <c r="GT27" s="142"/>
      <c r="GU27" s="142"/>
      <c r="GV27" s="142"/>
      <c r="GW27" s="142"/>
      <c r="GX27" s="142"/>
      <c r="GY27" s="142"/>
      <c r="GZ27" s="142"/>
      <c r="HA27" s="142"/>
      <c r="HB27" s="142"/>
      <c r="HC27" s="142"/>
      <c r="HD27" s="142"/>
      <c r="HE27" s="142"/>
      <c r="HF27" s="142"/>
      <c r="HG27" s="142"/>
      <c r="HH27" s="142"/>
      <c r="HI27" s="142"/>
      <c r="HJ27" s="142"/>
      <c r="HK27" s="142"/>
      <c r="HL27" s="142"/>
      <c r="HM27" s="142"/>
      <c r="HN27" s="142"/>
      <c r="HO27" s="142"/>
      <c r="HP27" s="142"/>
      <c r="HQ27" s="142"/>
      <c r="HR27" s="142"/>
      <c r="HS27" s="142"/>
      <c r="HT27" s="142"/>
      <c r="HU27" s="142"/>
      <c r="HV27" s="142"/>
      <c r="HW27" s="142"/>
      <c r="HX27" s="142"/>
      <c r="HY27" s="142"/>
      <c r="HZ27" s="142"/>
      <c r="IA27" s="142"/>
      <c r="IB27" s="142"/>
      <c r="IC27" s="142"/>
      <c r="ID27" s="142"/>
      <c r="IE27" s="142"/>
      <c r="IF27" s="142"/>
      <c r="IG27" s="142"/>
      <c r="IH27" s="142"/>
      <c r="II27" s="142"/>
      <c r="IJ27" s="142"/>
      <c r="IK27" s="142"/>
      <c r="IL27" s="142"/>
      <c r="IM27" s="142"/>
      <c r="IN27" s="142"/>
      <c r="IO27" s="142"/>
      <c r="IP27" s="142"/>
      <c r="IQ27" s="142"/>
      <c r="IR27" s="142"/>
      <c r="IS27" s="142"/>
      <c r="IT27" s="142"/>
      <c r="IU27" s="142"/>
      <c r="IV27" s="142"/>
    </row>
    <row r="28" spans="1:256" s="216" customFormat="1" ht="18" customHeight="1" x14ac:dyDescent="0.35">
      <c r="A28" s="228">
        <v>20</v>
      </c>
      <c r="B28" s="223"/>
      <c r="C28" s="143"/>
      <c r="D28" s="923" t="s">
        <v>921</v>
      </c>
      <c r="E28" s="151"/>
      <c r="F28" s="219"/>
      <c r="G28" s="152"/>
      <c r="H28" s="263"/>
      <c r="I28" s="373"/>
      <c r="J28" s="384"/>
      <c r="K28" s="384"/>
      <c r="L28" s="384"/>
      <c r="M28" s="384"/>
      <c r="N28" s="384">
        <v>15905</v>
      </c>
      <c r="O28" s="224">
        <f>SUM(I28:N28)</f>
        <v>15905</v>
      </c>
      <c r="P28" s="220"/>
      <c r="Q28" s="142"/>
      <c r="R28" s="142"/>
      <c r="S28" s="142"/>
      <c r="T28" s="142"/>
      <c r="U28" s="142"/>
      <c r="V28" s="142"/>
      <c r="W28" s="142"/>
      <c r="X28" s="142"/>
      <c r="Y28" s="142"/>
      <c r="Z28" s="142"/>
      <c r="AA28" s="142"/>
      <c r="AB28" s="142"/>
      <c r="AC28" s="142"/>
      <c r="AD28" s="142"/>
      <c r="AE28" s="142"/>
      <c r="AF28" s="142"/>
      <c r="AG28" s="142"/>
      <c r="AH28" s="142"/>
      <c r="AI28" s="142"/>
      <c r="AJ28" s="142"/>
      <c r="AK28" s="142"/>
      <c r="AL28" s="142"/>
      <c r="AM28" s="142"/>
      <c r="AN28" s="142"/>
      <c r="AO28" s="142"/>
      <c r="AP28" s="142"/>
      <c r="AQ28" s="142"/>
      <c r="AR28" s="142"/>
      <c r="AS28" s="142"/>
      <c r="AT28" s="142"/>
      <c r="AU28" s="142"/>
      <c r="AV28" s="142"/>
      <c r="AW28" s="142"/>
      <c r="AX28" s="142"/>
      <c r="AY28" s="142"/>
      <c r="AZ28" s="142"/>
      <c r="BA28" s="142"/>
      <c r="BB28" s="142"/>
      <c r="BC28" s="142"/>
      <c r="BD28" s="142"/>
      <c r="BE28" s="142"/>
      <c r="BF28" s="142"/>
      <c r="BG28" s="142"/>
      <c r="BH28" s="142"/>
      <c r="BI28" s="142"/>
      <c r="BJ28" s="142"/>
      <c r="BK28" s="142"/>
      <c r="BL28" s="142"/>
      <c r="BM28" s="142"/>
      <c r="BN28" s="142"/>
      <c r="BO28" s="142"/>
      <c r="BP28" s="142"/>
      <c r="BQ28" s="142"/>
      <c r="BR28" s="142"/>
      <c r="BS28" s="142"/>
      <c r="BT28" s="142"/>
      <c r="BU28" s="142"/>
      <c r="BV28" s="142"/>
      <c r="BW28" s="142"/>
      <c r="BX28" s="142"/>
      <c r="BY28" s="142"/>
      <c r="BZ28" s="142"/>
      <c r="CA28" s="142"/>
      <c r="CB28" s="142"/>
      <c r="CC28" s="142"/>
      <c r="CD28" s="142"/>
      <c r="CE28" s="142"/>
      <c r="CF28" s="142"/>
      <c r="CG28" s="142"/>
      <c r="CH28" s="142"/>
      <c r="CI28" s="142"/>
      <c r="CJ28" s="142"/>
      <c r="CK28" s="142"/>
      <c r="CL28" s="142"/>
      <c r="CM28" s="142"/>
      <c r="CN28" s="142"/>
      <c r="CO28" s="142"/>
      <c r="CP28" s="142"/>
      <c r="CQ28" s="142"/>
      <c r="CR28" s="142"/>
      <c r="CS28" s="142"/>
      <c r="CT28" s="142"/>
      <c r="CU28" s="142"/>
      <c r="CV28" s="142"/>
      <c r="CW28" s="142"/>
      <c r="CX28" s="142"/>
      <c r="CY28" s="142"/>
      <c r="CZ28" s="142"/>
      <c r="DA28" s="142"/>
      <c r="DB28" s="142"/>
      <c r="DC28" s="142"/>
      <c r="DD28" s="142"/>
      <c r="DE28" s="142"/>
      <c r="DF28" s="142"/>
      <c r="DG28" s="142"/>
      <c r="DH28" s="142"/>
      <c r="DI28" s="142"/>
      <c r="DJ28" s="142"/>
      <c r="DK28" s="142"/>
      <c r="DL28" s="142"/>
      <c r="DM28" s="142"/>
      <c r="DN28" s="142"/>
      <c r="DO28" s="142"/>
      <c r="DP28" s="142"/>
      <c r="DQ28" s="142"/>
      <c r="DR28" s="142"/>
      <c r="DS28" s="142"/>
      <c r="DT28" s="142"/>
      <c r="DU28" s="142"/>
      <c r="DV28" s="142"/>
      <c r="DW28" s="142"/>
      <c r="DX28" s="142"/>
      <c r="DY28" s="142"/>
      <c r="DZ28" s="142"/>
      <c r="EA28" s="142"/>
      <c r="EB28" s="142"/>
      <c r="EC28" s="142"/>
      <c r="ED28" s="142"/>
      <c r="EE28" s="142"/>
      <c r="EF28" s="142"/>
      <c r="EG28" s="142"/>
      <c r="EH28" s="142"/>
      <c r="EI28" s="142"/>
      <c r="EJ28" s="142"/>
      <c r="EK28" s="142"/>
      <c r="EL28" s="142"/>
      <c r="EM28" s="142"/>
      <c r="EN28" s="142"/>
      <c r="EO28" s="142"/>
      <c r="EP28" s="142"/>
      <c r="EQ28" s="142"/>
      <c r="ER28" s="142"/>
      <c r="ES28" s="142"/>
      <c r="ET28" s="142"/>
      <c r="EU28" s="142"/>
      <c r="EV28" s="142"/>
      <c r="EW28" s="142"/>
      <c r="EX28" s="142"/>
      <c r="EY28" s="142"/>
      <c r="EZ28" s="142"/>
      <c r="FA28" s="142"/>
      <c r="FB28" s="142"/>
      <c r="FC28" s="142"/>
      <c r="FD28" s="142"/>
      <c r="FE28" s="142"/>
      <c r="FF28" s="142"/>
      <c r="FG28" s="142"/>
      <c r="FH28" s="142"/>
      <c r="FI28" s="142"/>
      <c r="FJ28" s="142"/>
      <c r="FK28" s="142"/>
      <c r="FL28" s="142"/>
      <c r="FM28" s="142"/>
      <c r="FN28" s="142"/>
      <c r="FO28" s="142"/>
      <c r="FP28" s="142"/>
      <c r="FQ28" s="142"/>
      <c r="FR28" s="142"/>
      <c r="FS28" s="142"/>
      <c r="FT28" s="142"/>
      <c r="FU28" s="142"/>
      <c r="FV28" s="142"/>
      <c r="FW28" s="142"/>
      <c r="FX28" s="142"/>
      <c r="FY28" s="142"/>
      <c r="FZ28" s="142"/>
      <c r="GA28" s="142"/>
      <c r="GB28" s="142"/>
      <c r="GC28" s="142"/>
      <c r="GD28" s="142"/>
      <c r="GE28" s="142"/>
      <c r="GF28" s="142"/>
      <c r="GG28" s="142"/>
      <c r="GH28" s="142"/>
      <c r="GI28" s="142"/>
      <c r="GJ28" s="142"/>
      <c r="GK28" s="142"/>
      <c r="GL28" s="142"/>
      <c r="GM28" s="142"/>
      <c r="GN28" s="142"/>
      <c r="GO28" s="142"/>
      <c r="GP28" s="142"/>
      <c r="GQ28" s="142"/>
      <c r="GR28" s="142"/>
      <c r="GS28" s="142"/>
      <c r="GT28" s="142"/>
      <c r="GU28" s="142"/>
      <c r="GV28" s="142"/>
      <c r="GW28" s="142"/>
      <c r="GX28" s="142"/>
      <c r="GY28" s="142"/>
      <c r="GZ28" s="142"/>
      <c r="HA28" s="142"/>
      <c r="HB28" s="142"/>
      <c r="HC28" s="142"/>
      <c r="HD28" s="142"/>
      <c r="HE28" s="142"/>
      <c r="HF28" s="142"/>
      <c r="HG28" s="142"/>
      <c r="HH28" s="142"/>
      <c r="HI28" s="142"/>
      <c r="HJ28" s="142"/>
      <c r="HK28" s="142"/>
      <c r="HL28" s="142"/>
      <c r="HM28" s="142"/>
      <c r="HN28" s="142"/>
      <c r="HO28" s="142"/>
      <c r="HP28" s="142"/>
      <c r="HQ28" s="142"/>
      <c r="HR28" s="142"/>
      <c r="HS28" s="142"/>
      <c r="HT28" s="142"/>
      <c r="HU28" s="142"/>
      <c r="HV28" s="142"/>
      <c r="HW28" s="142"/>
      <c r="HX28" s="142"/>
      <c r="HY28" s="142"/>
      <c r="HZ28" s="142"/>
      <c r="IA28" s="142"/>
      <c r="IB28" s="142"/>
      <c r="IC28" s="142"/>
      <c r="ID28" s="142"/>
      <c r="IE28" s="142"/>
      <c r="IF28" s="142"/>
      <c r="IG28" s="142"/>
      <c r="IH28" s="142"/>
      <c r="II28" s="142"/>
      <c r="IJ28" s="142"/>
      <c r="IK28" s="142"/>
      <c r="IL28" s="142"/>
      <c r="IM28" s="142"/>
      <c r="IN28" s="142"/>
      <c r="IO28" s="142"/>
      <c r="IP28" s="142"/>
      <c r="IQ28" s="142"/>
      <c r="IR28" s="142"/>
      <c r="IS28" s="142"/>
      <c r="IT28" s="142"/>
      <c r="IU28" s="142"/>
      <c r="IV28" s="142"/>
    </row>
    <row r="29" spans="1:256" s="216" customFormat="1" ht="18" customHeight="1" x14ac:dyDescent="0.35">
      <c r="A29" s="228">
        <v>21</v>
      </c>
      <c r="B29" s="223"/>
      <c r="C29" s="143"/>
      <c r="D29" s="920" t="s">
        <v>972</v>
      </c>
      <c r="E29" s="151"/>
      <c r="F29" s="219"/>
      <c r="G29" s="152"/>
      <c r="H29" s="263"/>
      <c r="I29" s="261"/>
      <c r="J29" s="256"/>
      <c r="K29" s="256"/>
      <c r="L29" s="256"/>
      <c r="M29" s="256"/>
      <c r="N29" s="1752">
        <v>15905</v>
      </c>
      <c r="O29" s="922">
        <f>SUM(I29:N29)</f>
        <v>15905</v>
      </c>
      <c r="P29" s="220"/>
      <c r="Q29" s="142"/>
      <c r="R29" s="142"/>
      <c r="S29" s="142"/>
      <c r="T29" s="142"/>
      <c r="U29" s="142"/>
      <c r="V29" s="142"/>
      <c r="W29" s="142"/>
      <c r="X29" s="142"/>
      <c r="Y29" s="142"/>
      <c r="Z29" s="142"/>
      <c r="AA29" s="142"/>
      <c r="AB29" s="142"/>
      <c r="AC29" s="142"/>
      <c r="AD29" s="142"/>
      <c r="AE29" s="142"/>
      <c r="AF29" s="142"/>
      <c r="AG29" s="142"/>
      <c r="AH29" s="142"/>
      <c r="AI29" s="142"/>
      <c r="AJ29" s="142"/>
      <c r="AK29" s="142"/>
      <c r="AL29" s="142"/>
      <c r="AM29" s="142"/>
      <c r="AN29" s="142"/>
      <c r="AO29" s="142"/>
      <c r="AP29" s="142"/>
      <c r="AQ29" s="142"/>
      <c r="AR29" s="142"/>
      <c r="AS29" s="142"/>
      <c r="AT29" s="142"/>
      <c r="AU29" s="142"/>
      <c r="AV29" s="142"/>
      <c r="AW29" s="142"/>
      <c r="AX29" s="142"/>
      <c r="AY29" s="142"/>
      <c r="AZ29" s="142"/>
      <c r="BA29" s="142"/>
      <c r="BB29" s="142"/>
      <c r="BC29" s="142"/>
      <c r="BD29" s="142"/>
      <c r="BE29" s="142"/>
      <c r="BF29" s="142"/>
      <c r="BG29" s="142"/>
      <c r="BH29" s="142"/>
      <c r="BI29" s="142"/>
      <c r="BJ29" s="142"/>
      <c r="BK29" s="142"/>
      <c r="BL29" s="142"/>
      <c r="BM29" s="142"/>
      <c r="BN29" s="142"/>
      <c r="BO29" s="142"/>
      <c r="BP29" s="142"/>
      <c r="BQ29" s="142"/>
      <c r="BR29" s="142"/>
      <c r="BS29" s="142"/>
      <c r="BT29" s="142"/>
      <c r="BU29" s="142"/>
      <c r="BV29" s="142"/>
      <c r="BW29" s="142"/>
      <c r="BX29" s="142"/>
      <c r="BY29" s="142"/>
      <c r="BZ29" s="142"/>
      <c r="CA29" s="142"/>
      <c r="CB29" s="142"/>
      <c r="CC29" s="142"/>
      <c r="CD29" s="142"/>
      <c r="CE29" s="142"/>
      <c r="CF29" s="142"/>
      <c r="CG29" s="142"/>
      <c r="CH29" s="142"/>
      <c r="CI29" s="142"/>
      <c r="CJ29" s="142"/>
      <c r="CK29" s="142"/>
      <c r="CL29" s="142"/>
      <c r="CM29" s="142"/>
      <c r="CN29" s="142"/>
      <c r="CO29" s="142"/>
      <c r="CP29" s="142"/>
      <c r="CQ29" s="142"/>
      <c r="CR29" s="142"/>
      <c r="CS29" s="142"/>
      <c r="CT29" s="142"/>
      <c r="CU29" s="142"/>
      <c r="CV29" s="142"/>
      <c r="CW29" s="142"/>
      <c r="CX29" s="142"/>
      <c r="CY29" s="142"/>
      <c r="CZ29" s="142"/>
      <c r="DA29" s="142"/>
      <c r="DB29" s="142"/>
      <c r="DC29" s="142"/>
      <c r="DD29" s="142"/>
      <c r="DE29" s="142"/>
      <c r="DF29" s="142"/>
      <c r="DG29" s="142"/>
      <c r="DH29" s="142"/>
      <c r="DI29" s="142"/>
      <c r="DJ29" s="142"/>
      <c r="DK29" s="142"/>
      <c r="DL29" s="142"/>
      <c r="DM29" s="142"/>
      <c r="DN29" s="142"/>
      <c r="DO29" s="142"/>
      <c r="DP29" s="142"/>
      <c r="DQ29" s="142"/>
      <c r="DR29" s="142"/>
      <c r="DS29" s="142"/>
      <c r="DT29" s="142"/>
      <c r="DU29" s="142"/>
      <c r="DV29" s="142"/>
      <c r="DW29" s="142"/>
      <c r="DX29" s="142"/>
      <c r="DY29" s="142"/>
      <c r="DZ29" s="142"/>
      <c r="EA29" s="142"/>
      <c r="EB29" s="142"/>
      <c r="EC29" s="142"/>
      <c r="ED29" s="142"/>
      <c r="EE29" s="142"/>
      <c r="EF29" s="142"/>
      <c r="EG29" s="142"/>
      <c r="EH29" s="142"/>
      <c r="EI29" s="142"/>
      <c r="EJ29" s="142"/>
      <c r="EK29" s="142"/>
      <c r="EL29" s="142"/>
      <c r="EM29" s="142"/>
      <c r="EN29" s="142"/>
      <c r="EO29" s="142"/>
      <c r="EP29" s="142"/>
      <c r="EQ29" s="142"/>
      <c r="ER29" s="142"/>
      <c r="ES29" s="142"/>
      <c r="ET29" s="142"/>
      <c r="EU29" s="142"/>
      <c r="EV29" s="142"/>
      <c r="EW29" s="142"/>
      <c r="EX29" s="142"/>
      <c r="EY29" s="142"/>
      <c r="EZ29" s="142"/>
      <c r="FA29" s="142"/>
      <c r="FB29" s="142"/>
      <c r="FC29" s="142"/>
      <c r="FD29" s="142"/>
      <c r="FE29" s="142"/>
      <c r="FF29" s="142"/>
      <c r="FG29" s="142"/>
      <c r="FH29" s="142"/>
      <c r="FI29" s="142"/>
      <c r="FJ29" s="142"/>
      <c r="FK29" s="142"/>
      <c r="FL29" s="142"/>
      <c r="FM29" s="142"/>
      <c r="FN29" s="142"/>
      <c r="FO29" s="142"/>
      <c r="FP29" s="142"/>
      <c r="FQ29" s="142"/>
      <c r="FR29" s="142"/>
      <c r="FS29" s="142"/>
      <c r="FT29" s="142"/>
      <c r="FU29" s="142"/>
      <c r="FV29" s="142"/>
      <c r="FW29" s="142"/>
      <c r="FX29" s="142"/>
      <c r="FY29" s="142"/>
      <c r="FZ29" s="142"/>
      <c r="GA29" s="142"/>
      <c r="GB29" s="142"/>
      <c r="GC29" s="142"/>
      <c r="GD29" s="142"/>
      <c r="GE29" s="142"/>
      <c r="GF29" s="142"/>
      <c r="GG29" s="142"/>
      <c r="GH29" s="142"/>
      <c r="GI29" s="142"/>
      <c r="GJ29" s="142"/>
      <c r="GK29" s="142"/>
      <c r="GL29" s="142"/>
      <c r="GM29" s="142"/>
      <c r="GN29" s="142"/>
      <c r="GO29" s="142"/>
      <c r="GP29" s="142"/>
      <c r="GQ29" s="142"/>
      <c r="GR29" s="142"/>
      <c r="GS29" s="142"/>
      <c r="GT29" s="142"/>
      <c r="GU29" s="142"/>
      <c r="GV29" s="142"/>
      <c r="GW29" s="142"/>
      <c r="GX29" s="142"/>
      <c r="GY29" s="142"/>
      <c r="GZ29" s="142"/>
      <c r="HA29" s="142"/>
      <c r="HB29" s="142"/>
      <c r="HC29" s="142"/>
      <c r="HD29" s="142"/>
      <c r="HE29" s="142"/>
      <c r="HF29" s="142"/>
      <c r="HG29" s="142"/>
      <c r="HH29" s="142"/>
      <c r="HI29" s="142"/>
      <c r="HJ29" s="142"/>
      <c r="HK29" s="142"/>
      <c r="HL29" s="142"/>
      <c r="HM29" s="142"/>
      <c r="HN29" s="142"/>
      <c r="HO29" s="142"/>
      <c r="HP29" s="142"/>
      <c r="HQ29" s="142"/>
      <c r="HR29" s="142"/>
      <c r="HS29" s="142"/>
      <c r="HT29" s="142"/>
      <c r="HU29" s="142"/>
      <c r="HV29" s="142"/>
      <c r="HW29" s="142"/>
      <c r="HX29" s="142"/>
      <c r="HY29" s="142"/>
      <c r="HZ29" s="142"/>
      <c r="IA29" s="142"/>
      <c r="IB29" s="142"/>
      <c r="IC29" s="142"/>
      <c r="ID29" s="142"/>
      <c r="IE29" s="142"/>
      <c r="IF29" s="142"/>
      <c r="IG29" s="142"/>
      <c r="IH29" s="142"/>
      <c r="II29" s="142"/>
      <c r="IJ29" s="142"/>
      <c r="IK29" s="142"/>
      <c r="IL29" s="142"/>
      <c r="IM29" s="142"/>
      <c r="IN29" s="142"/>
      <c r="IO29" s="142"/>
      <c r="IP29" s="142"/>
      <c r="IQ29" s="142"/>
      <c r="IR29" s="142"/>
      <c r="IS29" s="142"/>
      <c r="IT29" s="142"/>
      <c r="IU29" s="142"/>
      <c r="IV29" s="142"/>
    </row>
    <row r="30" spans="1:256" ht="36" customHeight="1" x14ac:dyDescent="0.35">
      <c r="A30" s="228">
        <v>22</v>
      </c>
      <c r="B30" s="198"/>
      <c r="C30" s="143">
        <v>10</v>
      </c>
      <c r="D30" s="145" t="s">
        <v>799</v>
      </c>
      <c r="E30" s="665">
        <f>F30+G30+O32+P31</f>
        <v>50405</v>
      </c>
      <c r="F30" s="705">
        <f>1176+23808+8922+11615</f>
        <v>45521</v>
      </c>
      <c r="G30" s="686">
        <v>3272</v>
      </c>
      <c r="H30" s="263" t="s">
        <v>24</v>
      </c>
      <c r="I30" s="261"/>
      <c r="J30" s="256"/>
      <c r="K30" s="256"/>
      <c r="L30" s="256"/>
      <c r="M30" s="256"/>
      <c r="N30" s="272"/>
      <c r="O30" s="254"/>
      <c r="P30" s="220"/>
    </row>
    <row r="31" spans="1:256" s="216" customFormat="1" ht="18" customHeight="1" x14ac:dyDescent="0.35">
      <c r="A31" s="228">
        <v>23</v>
      </c>
      <c r="B31" s="223"/>
      <c r="C31" s="143"/>
      <c r="D31" s="257" t="s">
        <v>252</v>
      </c>
      <c r="E31" s="151"/>
      <c r="F31" s="219"/>
      <c r="G31" s="152"/>
      <c r="H31" s="263"/>
      <c r="I31" s="261"/>
      <c r="J31" s="256"/>
      <c r="K31" s="256"/>
      <c r="L31" s="256">
        <v>1612</v>
      </c>
      <c r="M31" s="256"/>
      <c r="N31" s="272"/>
      <c r="O31" s="254">
        <f>SUM(I31:N31)</f>
        <v>1612</v>
      </c>
      <c r="P31" s="220"/>
      <c r="Q31" s="142"/>
      <c r="R31" s="142"/>
      <c r="S31" s="142"/>
      <c r="T31" s="142"/>
      <c r="U31" s="142"/>
      <c r="V31" s="142"/>
      <c r="W31" s="142"/>
      <c r="X31" s="142"/>
      <c r="Y31" s="142"/>
      <c r="Z31" s="142"/>
      <c r="AA31" s="142"/>
      <c r="AB31" s="142"/>
      <c r="AC31" s="142"/>
      <c r="AD31" s="142"/>
      <c r="AE31" s="142"/>
      <c r="AF31" s="142"/>
      <c r="AG31" s="142"/>
      <c r="AH31" s="142"/>
      <c r="AI31" s="142"/>
      <c r="AJ31" s="142"/>
      <c r="AK31" s="142"/>
      <c r="AL31" s="142"/>
      <c r="AM31" s="142"/>
      <c r="AN31" s="142"/>
      <c r="AO31" s="142"/>
      <c r="AP31" s="142"/>
      <c r="AQ31" s="142"/>
      <c r="AR31" s="142"/>
      <c r="AS31" s="142"/>
      <c r="AT31" s="142"/>
      <c r="AU31" s="142"/>
      <c r="AV31" s="142"/>
      <c r="AW31" s="142"/>
      <c r="AX31" s="142"/>
      <c r="AY31" s="142"/>
      <c r="AZ31" s="142"/>
      <c r="BA31" s="142"/>
      <c r="BB31" s="142"/>
      <c r="BC31" s="142"/>
      <c r="BD31" s="142"/>
      <c r="BE31" s="142"/>
      <c r="BF31" s="142"/>
      <c r="BG31" s="142"/>
      <c r="BH31" s="142"/>
      <c r="BI31" s="142"/>
      <c r="BJ31" s="142"/>
      <c r="BK31" s="142"/>
      <c r="BL31" s="142"/>
      <c r="BM31" s="142"/>
      <c r="BN31" s="142"/>
      <c r="BO31" s="142"/>
      <c r="BP31" s="142"/>
      <c r="BQ31" s="142"/>
      <c r="BR31" s="142"/>
      <c r="BS31" s="142"/>
      <c r="BT31" s="142"/>
      <c r="BU31" s="142"/>
      <c r="BV31" s="142"/>
      <c r="BW31" s="142"/>
      <c r="BX31" s="142"/>
      <c r="BY31" s="142"/>
      <c r="BZ31" s="142"/>
      <c r="CA31" s="142"/>
      <c r="CB31" s="142"/>
      <c r="CC31" s="142"/>
      <c r="CD31" s="142"/>
      <c r="CE31" s="142"/>
      <c r="CF31" s="142"/>
      <c r="CG31" s="142"/>
      <c r="CH31" s="142"/>
      <c r="CI31" s="142"/>
      <c r="CJ31" s="142"/>
      <c r="CK31" s="142"/>
      <c r="CL31" s="142"/>
      <c r="CM31" s="142"/>
      <c r="CN31" s="142"/>
      <c r="CO31" s="142"/>
      <c r="CP31" s="142"/>
      <c r="CQ31" s="142"/>
      <c r="CR31" s="142"/>
      <c r="CS31" s="142"/>
      <c r="CT31" s="142"/>
      <c r="CU31" s="142"/>
      <c r="CV31" s="142"/>
      <c r="CW31" s="142"/>
      <c r="CX31" s="142"/>
      <c r="CY31" s="142"/>
      <c r="CZ31" s="142"/>
      <c r="DA31" s="142"/>
      <c r="DB31" s="142"/>
      <c r="DC31" s="142"/>
      <c r="DD31" s="142"/>
      <c r="DE31" s="142"/>
      <c r="DF31" s="142"/>
      <c r="DG31" s="142"/>
      <c r="DH31" s="142"/>
      <c r="DI31" s="142"/>
      <c r="DJ31" s="142"/>
      <c r="DK31" s="142"/>
      <c r="DL31" s="142"/>
      <c r="DM31" s="142"/>
      <c r="DN31" s="142"/>
      <c r="DO31" s="142"/>
      <c r="DP31" s="142"/>
      <c r="DQ31" s="142"/>
      <c r="DR31" s="142"/>
      <c r="DS31" s="142"/>
      <c r="DT31" s="142"/>
      <c r="DU31" s="142"/>
      <c r="DV31" s="142"/>
      <c r="DW31" s="142"/>
      <c r="DX31" s="142"/>
      <c r="DY31" s="142"/>
      <c r="DZ31" s="142"/>
      <c r="EA31" s="142"/>
      <c r="EB31" s="142"/>
      <c r="EC31" s="142"/>
      <c r="ED31" s="142"/>
      <c r="EE31" s="142"/>
      <c r="EF31" s="142"/>
      <c r="EG31" s="142"/>
      <c r="EH31" s="142"/>
      <c r="EI31" s="142"/>
      <c r="EJ31" s="142"/>
      <c r="EK31" s="142"/>
      <c r="EL31" s="142"/>
      <c r="EM31" s="142"/>
      <c r="EN31" s="142"/>
      <c r="EO31" s="142"/>
      <c r="EP31" s="142"/>
      <c r="EQ31" s="142"/>
      <c r="ER31" s="142"/>
      <c r="ES31" s="142"/>
      <c r="ET31" s="142"/>
      <c r="EU31" s="142"/>
      <c r="EV31" s="142"/>
      <c r="EW31" s="142"/>
      <c r="EX31" s="142"/>
      <c r="EY31" s="142"/>
      <c r="EZ31" s="142"/>
      <c r="FA31" s="142"/>
      <c r="FB31" s="142"/>
      <c r="FC31" s="142"/>
      <c r="FD31" s="142"/>
      <c r="FE31" s="142"/>
      <c r="FF31" s="142"/>
      <c r="FG31" s="142"/>
      <c r="FH31" s="142"/>
      <c r="FI31" s="142"/>
      <c r="FJ31" s="142"/>
      <c r="FK31" s="142"/>
      <c r="FL31" s="142"/>
      <c r="FM31" s="142"/>
      <c r="FN31" s="142"/>
      <c r="FO31" s="142"/>
      <c r="FP31" s="142"/>
      <c r="FQ31" s="142"/>
      <c r="FR31" s="142"/>
      <c r="FS31" s="142"/>
      <c r="FT31" s="142"/>
      <c r="FU31" s="142"/>
      <c r="FV31" s="142"/>
      <c r="FW31" s="142"/>
      <c r="FX31" s="142"/>
      <c r="FY31" s="142"/>
      <c r="FZ31" s="142"/>
      <c r="GA31" s="142"/>
      <c r="GB31" s="142"/>
      <c r="GC31" s="142"/>
      <c r="GD31" s="142"/>
      <c r="GE31" s="142"/>
      <c r="GF31" s="142"/>
      <c r="GG31" s="142"/>
      <c r="GH31" s="142"/>
      <c r="GI31" s="142"/>
      <c r="GJ31" s="142"/>
      <c r="GK31" s="142"/>
      <c r="GL31" s="142"/>
      <c r="GM31" s="142"/>
      <c r="GN31" s="142"/>
      <c r="GO31" s="142"/>
      <c r="GP31" s="142"/>
      <c r="GQ31" s="142"/>
      <c r="GR31" s="142"/>
      <c r="GS31" s="142"/>
      <c r="GT31" s="142"/>
      <c r="GU31" s="142"/>
      <c r="GV31" s="142"/>
      <c r="GW31" s="142"/>
      <c r="GX31" s="142"/>
      <c r="GY31" s="142"/>
      <c r="GZ31" s="142"/>
      <c r="HA31" s="142"/>
      <c r="HB31" s="142"/>
      <c r="HC31" s="142"/>
      <c r="HD31" s="142"/>
      <c r="HE31" s="142"/>
      <c r="HF31" s="142"/>
      <c r="HG31" s="142"/>
      <c r="HH31" s="142"/>
      <c r="HI31" s="142"/>
      <c r="HJ31" s="142"/>
      <c r="HK31" s="142"/>
      <c r="HL31" s="142"/>
      <c r="HM31" s="142"/>
      <c r="HN31" s="142"/>
      <c r="HO31" s="142"/>
      <c r="HP31" s="142"/>
      <c r="HQ31" s="142"/>
      <c r="HR31" s="142"/>
      <c r="HS31" s="142"/>
      <c r="HT31" s="142"/>
      <c r="HU31" s="142"/>
      <c r="HV31" s="142"/>
      <c r="HW31" s="142"/>
      <c r="HX31" s="142"/>
      <c r="HY31" s="142"/>
      <c r="HZ31" s="142"/>
      <c r="IA31" s="142"/>
      <c r="IB31" s="142"/>
      <c r="IC31" s="142"/>
      <c r="ID31" s="142"/>
      <c r="IE31" s="142"/>
      <c r="IF31" s="142"/>
      <c r="IG31" s="142"/>
      <c r="IH31" s="142"/>
      <c r="II31" s="142"/>
      <c r="IJ31" s="142"/>
      <c r="IK31" s="142"/>
      <c r="IL31" s="142"/>
      <c r="IM31" s="142"/>
      <c r="IN31" s="142"/>
      <c r="IO31" s="142"/>
      <c r="IP31" s="142"/>
      <c r="IQ31" s="142"/>
      <c r="IR31" s="142"/>
      <c r="IS31" s="142"/>
      <c r="IT31" s="142"/>
      <c r="IU31" s="142"/>
      <c r="IV31" s="142"/>
    </row>
    <row r="32" spans="1:256" s="216" customFormat="1" ht="18" customHeight="1" x14ac:dyDescent="0.35">
      <c r="A32" s="228">
        <v>24</v>
      </c>
      <c r="B32" s="223"/>
      <c r="C32" s="143"/>
      <c r="D32" s="923" t="s">
        <v>921</v>
      </c>
      <c r="E32" s="151"/>
      <c r="F32" s="219"/>
      <c r="G32" s="152"/>
      <c r="H32" s="263"/>
      <c r="I32" s="373"/>
      <c r="J32" s="384"/>
      <c r="K32" s="384"/>
      <c r="L32" s="384">
        <v>1612</v>
      </c>
      <c r="M32" s="384"/>
      <c r="N32" s="921"/>
      <c r="O32" s="224">
        <f>SUM(I32:N32)</f>
        <v>1612</v>
      </c>
      <c r="P32" s="220"/>
      <c r="Q32" s="142"/>
      <c r="R32" s="142"/>
      <c r="S32" s="142"/>
      <c r="T32" s="142"/>
      <c r="U32" s="142"/>
      <c r="V32" s="142"/>
      <c r="W32" s="142"/>
      <c r="X32" s="142"/>
      <c r="Y32" s="142"/>
      <c r="Z32" s="142"/>
      <c r="AA32" s="142"/>
      <c r="AB32" s="142"/>
      <c r="AC32" s="142"/>
      <c r="AD32" s="142"/>
      <c r="AE32" s="142"/>
      <c r="AF32" s="142"/>
      <c r="AG32" s="142"/>
      <c r="AH32" s="142"/>
      <c r="AI32" s="142"/>
      <c r="AJ32" s="142"/>
      <c r="AK32" s="142"/>
      <c r="AL32" s="142"/>
      <c r="AM32" s="142"/>
      <c r="AN32" s="142"/>
      <c r="AO32" s="142"/>
      <c r="AP32" s="142"/>
      <c r="AQ32" s="142"/>
      <c r="AR32" s="142"/>
      <c r="AS32" s="142"/>
      <c r="AT32" s="142"/>
      <c r="AU32" s="142"/>
      <c r="AV32" s="142"/>
      <c r="AW32" s="142"/>
      <c r="AX32" s="142"/>
      <c r="AY32" s="142"/>
      <c r="AZ32" s="142"/>
      <c r="BA32" s="142"/>
      <c r="BB32" s="142"/>
      <c r="BC32" s="142"/>
      <c r="BD32" s="142"/>
      <c r="BE32" s="142"/>
      <c r="BF32" s="142"/>
      <c r="BG32" s="142"/>
      <c r="BH32" s="142"/>
      <c r="BI32" s="142"/>
      <c r="BJ32" s="142"/>
      <c r="BK32" s="142"/>
      <c r="BL32" s="142"/>
      <c r="BM32" s="142"/>
      <c r="BN32" s="142"/>
      <c r="BO32" s="142"/>
      <c r="BP32" s="142"/>
      <c r="BQ32" s="142"/>
      <c r="BR32" s="142"/>
      <c r="BS32" s="142"/>
      <c r="BT32" s="142"/>
      <c r="BU32" s="142"/>
      <c r="BV32" s="142"/>
      <c r="BW32" s="142"/>
      <c r="BX32" s="142"/>
      <c r="BY32" s="142"/>
      <c r="BZ32" s="142"/>
      <c r="CA32" s="142"/>
      <c r="CB32" s="142"/>
      <c r="CC32" s="142"/>
      <c r="CD32" s="142"/>
      <c r="CE32" s="142"/>
      <c r="CF32" s="142"/>
      <c r="CG32" s="142"/>
      <c r="CH32" s="142"/>
      <c r="CI32" s="142"/>
      <c r="CJ32" s="142"/>
      <c r="CK32" s="142"/>
      <c r="CL32" s="142"/>
      <c r="CM32" s="142"/>
      <c r="CN32" s="142"/>
      <c r="CO32" s="142"/>
      <c r="CP32" s="142"/>
      <c r="CQ32" s="142"/>
      <c r="CR32" s="142"/>
      <c r="CS32" s="142"/>
      <c r="CT32" s="142"/>
      <c r="CU32" s="142"/>
      <c r="CV32" s="142"/>
      <c r="CW32" s="142"/>
      <c r="CX32" s="142"/>
      <c r="CY32" s="142"/>
      <c r="CZ32" s="142"/>
      <c r="DA32" s="142"/>
      <c r="DB32" s="142"/>
      <c r="DC32" s="142"/>
      <c r="DD32" s="142"/>
      <c r="DE32" s="142"/>
      <c r="DF32" s="142"/>
      <c r="DG32" s="142"/>
      <c r="DH32" s="142"/>
      <c r="DI32" s="142"/>
      <c r="DJ32" s="142"/>
      <c r="DK32" s="142"/>
      <c r="DL32" s="142"/>
      <c r="DM32" s="142"/>
      <c r="DN32" s="142"/>
      <c r="DO32" s="142"/>
      <c r="DP32" s="142"/>
      <c r="DQ32" s="142"/>
      <c r="DR32" s="142"/>
      <c r="DS32" s="142"/>
      <c r="DT32" s="142"/>
      <c r="DU32" s="142"/>
      <c r="DV32" s="142"/>
      <c r="DW32" s="142"/>
      <c r="DX32" s="142"/>
      <c r="DY32" s="142"/>
      <c r="DZ32" s="142"/>
      <c r="EA32" s="142"/>
      <c r="EB32" s="142"/>
      <c r="EC32" s="142"/>
      <c r="ED32" s="142"/>
      <c r="EE32" s="142"/>
      <c r="EF32" s="142"/>
      <c r="EG32" s="142"/>
      <c r="EH32" s="142"/>
      <c r="EI32" s="142"/>
      <c r="EJ32" s="142"/>
      <c r="EK32" s="142"/>
      <c r="EL32" s="142"/>
      <c r="EM32" s="142"/>
      <c r="EN32" s="142"/>
      <c r="EO32" s="142"/>
      <c r="EP32" s="142"/>
      <c r="EQ32" s="142"/>
      <c r="ER32" s="142"/>
      <c r="ES32" s="142"/>
      <c r="ET32" s="142"/>
      <c r="EU32" s="142"/>
      <c r="EV32" s="142"/>
      <c r="EW32" s="142"/>
      <c r="EX32" s="142"/>
      <c r="EY32" s="142"/>
      <c r="EZ32" s="142"/>
      <c r="FA32" s="142"/>
      <c r="FB32" s="142"/>
      <c r="FC32" s="142"/>
      <c r="FD32" s="142"/>
      <c r="FE32" s="142"/>
      <c r="FF32" s="142"/>
      <c r="FG32" s="142"/>
      <c r="FH32" s="142"/>
      <c r="FI32" s="142"/>
      <c r="FJ32" s="142"/>
      <c r="FK32" s="142"/>
      <c r="FL32" s="142"/>
      <c r="FM32" s="142"/>
      <c r="FN32" s="142"/>
      <c r="FO32" s="142"/>
      <c r="FP32" s="142"/>
      <c r="FQ32" s="142"/>
      <c r="FR32" s="142"/>
      <c r="FS32" s="142"/>
      <c r="FT32" s="142"/>
      <c r="FU32" s="142"/>
      <c r="FV32" s="142"/>
      <c r="FW32" s="142"/>
      <c r="FX32" s="142"/>
      <c r="FY32" s="142"/>
      <c r="FZ32" s="142"/>
      <c r="GA32" s="142"/>
      <c r="GB32" s="142"/>
      <c r="GC32" s="142"/>
      <c r="GD32" s="142"/>
      <c r="GE32" s="142"/>
      <c r="GF32" s="142"/>
      <c r="GG32" s="142"/>
      <c r="GH32" s="142"/>
      <c r="GI32" s="142"/>
      <c r="GJ32" s="142"/>
      <c r="GK32" s="142"/>
      <c r="GL32" s="142"/>
      <c r="GM32" s="142"/>
      <c r="GN32" s="142"/>
      <c r="GO32" s="142"/>
      <c r="GP32" s="142"/>
      <c r="GQ32" s="142"/>
      <c r="GR32" s="142"/>
      <c r="GS32" s="142"/>
      <c r="GT32" s="142"/>
      <c r="GU32" s="142"/>
      <c r="GV32" s="142"/>
      <c r="GW32" s="142"/>
      <c r="GX32" s="142"/>
      <c r="GY32" s="142"/>
      <c r="GZ32" s="142"/>
      <c r="HA32" s="142"/>
      <c r="HB32" s="142"/>
      <c r="HC32" s="142"/>
      <c r="HD32" s="142"/>
      <c r="HE32" s="142"/>
      <c r="HF32" s="142"/>
      <c r="HG32" s="142"/>
      <c r="HH32" s="142"/>
      <c r="HI32" s="142"/>
      <c r="HJ32" s="142"/>
      <c r="HK32" s="142"/>
      <c r="HL32" s="142"/>
      <c r="HM32" s="142"/>
      <c r="HN32" s="142"/>
      <c r="HO32" s="142"/>
      <c r="HP32" s="142"/>
      <c r="HQ32" s="142"/>
      <c r="HR32" s="142"/>
      <c r="HS32" s="142"/>
      <c r="HT32" s="142"/>
      <c r="HU32" s="142"/>
      <c r="HV32" s="142"/>
      <c r="HW32" s="142"/>
      <c r="HX32" s="142"/>
      <c r="HY32" s="142"/>
      <c r="HZ32" s="142"/>
      <c r="IA32" s="142"/>
      <c r="IB32" s="142"/>
      <c r="IC32" s="142"/>
      <c r="ID32" s="142"/>
      <c r="IE32" s="142"/>
      <c r="IF32" s="142"/>
      <c r="IG32" s="142"/>
      <c r="IH32" s="142"/>
      <c r="II32" s="142"/>
      <c r="IJ32" s="142"/>
      <c r="IK32" s="142"/>
      <c r="IL32" s="142"/>
      <c r="IM32" s="142"/>
      <c r="IN32" s="142"/>
      <c r="IO32" s="142"/>
      <c r="IP32" s="142"/>
      <c r="IQ32" s="142"/>
      <c r="IR32" s="142"/>
      <c r="IS32" s="142"/>
      <c r="IT32" s="142"/>
      <c r="IU32" s="142"/>
      <c r="IV32" s="142"/>
    </row>
    <row r="33" spans="1:256" s="216" customFormat="1" ht="18" customHeight="1" x14ac:dyDescent="0.35">
      <c r="A33" s="228">
        <v>25</v>
      </c>
      <c r="B33" s="223"/>
      <c r="C33" s="143"/>
      <c r="D33" s="920" t="s">
        <v>973</v>
      </c>
      <c r="E33" s="151"/>
      <c r="F33" s="219"/>
      <c r="G33" s="152"/>
      <c r="H33" s="263"/>
      <c r="I33" s="261"/>
      <c r="J33" s="256"/>
      <c r="K33" s="256"/>
      <c r="L33" s="1752">
        <v>0</v>
      </c>
      <c r="M33" s="256"/>
      <c r="N33" s="272"/>
      <c r="O33" s="922">
        <f>SUM(I33:N33)</f>
        <v>0</v>
      </c>
      <c r="P33" s="220"/>
      <c r="Q33" s="142"/>
      <c r="R33" s="142"/>
      <c r="S33" s="142"/>
      <c r="T33" s="142"/>
      <c r="U33" s="142"/>
      <c r="V33" s="142"/>
      <c r="W33" s="142"/>
      <c r="X33" s="142"/>
      <c r="Y33" s="142"/>
      <c r="Z33" s="142"/>
      <c r="AA33" s="142"/>
      <c r="AB33" s="142"/>
      <c r="AC33" s="142"/>
      <c r="AD33" s="142"/>
      <c r="AE33" s="142"/>
      <c r="AF33" s="142"/>
      <c r="AG33" s="142"/>
      <c r="AH33" s="142"/>
      <c r="AI33" s="142"/>
      <c r="AJ33" s="142"/>
      <c r="AK33" s="142"/>
      <c r="AL33" s="142"/>
      <c r="AM33" s="142"/>
      <c r="AN33" s="142"/>
      <c r="AO33" s="142"/>
      <c r="AP33" s="142"/>
      <c r="AQ33" s="142"/>
      <c r="AR33" s="142"/>
      <c r="AS33" s="142"/>
      <c r="AT33" s="142"/>
      <c r="AU33" s="142"/>
      <c r="AV33" s="142"/>
      <c r="AW33" s="142"/>
      <c r="AX33" s="142"/>
      <c r="AY33" s="142"/>
      <c r="AZ33" s="142"/>
      <c r="BA33" s="142"/>
      <c r="BB33" s="142"/>
      <c r="BC33" s="142"/>
      <c r="BD33" s="142"/>
      <c r="BE33" s="142"/>
      <c r="BF33" s="142"/>
      <c r="BG33" s="142"/>
      <c r="BH33" s="142"/>
      <c r="BI33" s="142"/>
      <c r="BJ33" s="142"/>
      <c r="BK33" s="142"/>
      <c r="BL33" s="142"/>
      <c r="BM33" s="142"/>
      <c r="BN33" s="142"/>
      <c r="BO33" s="142"/>
      <c r="BP33" s="142"/>
      <c r="BQ33" s="142"/>
      <c r="BR33" s="142"/>
      <c r="BS33" s="142"/>
      <c r="BT33" s="142"/>
      <c r="BU33" s="142"/>
      <c r="BV33" s="142"/>
      <c r="BW33" s="142"/>
      <c r="BX33" s="142"/>
      <c r="BY33" s="142"/>
      <c r="BZ33" s="142"/>
      <c r="CA33" s="142"/>
      <c r="CB33" s="142"/>
      <c r="CC33" s="142"/>
      <c r="CD33" s="142"/>
      <c r="CE33" s="142"/>
      <c r="CF33" s="142"/>
      <c r="CG33" s="142"/>
      <c r="CH33" s="142"/>
      <c r="CI33" s="142"/>
      <c r="CJ33" s="142"/>
      <c r="CK33" s="142"/>
      <c r="CL33" s="142"/>
      <c r="CM33" s="142"/>
      <c r="CN33" s="142"/>
      <c r="CO33" s="142"/>
      <c r="CP33" s="142"/>
      <c r="CQ33" s="142"/>
      <c r="CR33" s="142"/>
      <c r="CS33" s="142"/>
      <c r="CT33" s="142"/>
      <c r="CU33" s="142"/>
      <c r="CV33" s="142"/>
      <c r="CW33" s="142"/>
      <c r="CX33" s="142"/>
      <c r="CY33" s="142"/>
      <c r="CZ33" s="142"/>
      <c r="DA33" s="142"/>
      <c r="DB33" s="142"/>
      <c r="DC33" s="142"/>
      <c r="DD33" s="142"/>
      <c r="DE33" s="142"/>
      <c r="DF33" s="142"/>
      <c r="DG33" s="142"/>
      <c r="DH33" s="142"/>
      <c r="DI33" s="142"/>
      <c r="DJ33" s="142"/>
      <c r="DK33" s="142"/>
      <c r="DL33" s="142"/>
      <c r="DM33" s="142"/>
      <c r="DN33" s="142"/>
      <c r="DO33" s="142"/>
      <c r="DP33" s="142"/>
      <c r="DQ33" s="142"/>
      <c r="DR33" s="142"/>
      <c r="DS33" s="142"/>
      <c r="DT33" s="142"/>
      <c r="DU33" s="142"/>
      <c r="DV33" s="142"/>
      <c r="DW33" s="142"/>
      <c r="DX33" s="142"/>
      <c r="DY33" s="142"/>
      <c r="DZ33" s="142"/>
      <c r="EA33" s="142"/>
      <c r="EB33" s="142"/>
      <c r="EC33" s="142"/>
      <c r="ED33" s="142"/>
      <c r="EE33" s="142"/>
      <c r="EF33" s="142"/>
      <c r="EG33" s="142"/>
      <c r="EH33" s="142"/>
      <c r="EI33" s="142"/>
      <c r="EJ33" s="142"/>
      <c r="EK33" s="142"/>
      <c r="EL33" s="142"/>
      <c r="EM33" s="142"/>
      <c r="EN33" s="142"/>
      <c r="EO33" s="142"/>
      <c r="EP33" s="142"/>
      <c r="EQ33" s="142"/>
      <c r="ER33" s="142"/>
      <c r="ES33" s="142"/>
      <c r="ET33" s="142"/>
      <c r="EU33" s="142"/>
      <c r="EV33" s="142"/>
      <c r="EW33" s="142"/>
      <c r="EX33" s="142"/>
      <c r="EY33" s="142"/>
      <c r="EZ33" s="142"/>
      <c r="FA33" s="142"/>
      <c r="FB33" s="142"/>
      <c r="FC33" s="142"/>
      <c r="FD33" s="142"/>
      <c r="FE33" s="142"/>
      <c r="FF33" s="142"/>
      <c r="FG33" s="142"/>
      <c r="FH33" s="142"/>
      <c r="FI33" s="142"/>
      <c r="FJ33" s="142"/>
      <c r="FK33" s="142"/>
      <c r="FL33" s="142"/>
      <c r="FM33" s="142"/>
      <c r="FN33" s="142"/>
      <c r="FO33" s="142"/>
      <c r="FP33" s="142"/>
      <c r="FQ33" s="142"/>
      <c r="FR33" s="142"/>
      <c r="FS33" s="142"/>
      <c r="FT33" s="142"/>
      <c r="FU33" s="142"/>
      <c r="FV33" s="142"/>
      <c r="FW33" s="142"/>
      <c r="FX33" s="142"/>
      <c r="FY33" s="142"/>
      <c r="FZ33" s="142"/>
      <c r="GA33" s="142"/>
      <c r="GB33" s="142"/>
      <c r="GC33" s="142"/>
      <c r="GD33" s="142"/>
      <c r="GE33" s="142"/>
      <c r="GF33" s="142"/>
      <c r="GG33" s="142"/>
      <c r="GH33" s="142"/>
      <c r="GI33" s="142"/>
      <c r="GJ33" s="142"/>
      <c r="GK33" s="142"/>
      <c r="GL33" s="142"/>
      <c r="GM33" s="142"/>
      <c r="GN33" s="142"/>
      <c r="GO33" s="142"/>
      <c r="GP33" s="142"/>
      <c r="GQ33" s="142"/>
      <c r="GR33" s="142"/>
      <c r="GS33" s="142"/>
      <c r="GT33" s="142"/>
      <c r="GU33" s="142"/>
      <c r="GV33" s="142"/>
      <c r="GW33" s="142"/>
      <c r="GX33" s="142"/>
      <c r="GY33" s="142"/>
      <c r="GZ33" s="142"/>
      <c r="HA33" s="142"/>
      <c r="HB33" s="142"/>
      <c r="HC33" s="142"/>
      <c r="HD33" s="142"/>
      <c r="HE33" s="142"/>
      <c r="HF33" s="142"/>
      <c r="HG33" s="142"/>
      <c r="HH33" s="142"/>
      <c r="HI33" s="142"/>
      <c r="HJ33" s="142"/>
      <c r="HK33" s="142"/>
      <c r="HL33" s="142"/>
      <c r="HM33" s="142"/>
      <c r="HN33" s="142"/>
      <c r="HO33" s="142"/>
      <c r="HP33" s="142"/>
      <c r="HQ33" s="142"/>
      <c r="HR33" s="142"/>
      <c r="HS33" s="142"/>
      <c r="HT33" s="142"/>
      <c r="HU33" s="142"/>
      <c r="HV33" s="142"/>
      <c r="HW33" s="142"/>
      <c r="HX33" s="142"/>
      <c r="HY33" s="142"/>
      <c r="HZ33" s="142"/>
      <c r="IA33" s="142"/>
      <c r="IB33" s="142"/>
      <c r="IC33" s="142"/>
      <c r="ID33" s="142"/>
      <c r="IE33" s="142"/>
      <c r="IF33" s="142"/>
      <c r="IG33" s="142"/>
      <c r="IH33" s="142"/>
      <c r="II33" s="142"/>
      <c r="IJ33" s="142"/>
      <c r="IK33" s="142"/>
      <c r="IL33" s="142"/>
      <c r="IM33" s="142"/>
      <c r="IN33" s="142"/>
      <c r="IO33" s="142"/>
      <c r="IP33" s="142"/>
      <c r="IQ33" s="142"/>
      <c r="IR33" s="142"/>
      <c r="IS33" s="142"/>
      <c r="IT33" s="142"/>
      <c r="IU33" s="142"/>
      <c r="IV33" s="142"/>
    </row>
    <row r="34" spans="1:256" ht="36" customHeight="1" x14ac:dyDescent="0.35">
      <c r="A34" s="228">
        <v>26</v>
      </c>
      <c r="B34" s="198"/>
      <c r="C34" s="143">
        <v>11</v>
      </c>
      <c r="D34" s="278" t="s">
        <v>395</v>
      </c>
      <c r="E34" s="665">
        <f>F34+G34+O36+P35</f>
        <v>26065</v>
      </c>
      <c r="F34" s="665">
        <f>4452+19279</f>
        <v>23731</v>
      </c>
      <c r="G34" s="686">
        <v>1334</v>
      </c>
      <c r="H34" s="263" t="s">
        <v>24</v>
      </c>
      <c r="I34" s="367"/>
      <c r="J34" s="255"/>
      <c r="K34" s="255"/>
      <c r="L34" s="255"/>
      <c r="M34" s="255"/>
      <c r="N34" s="271"/>
      <c r="O34" s="277"/>
      <c r="P34" s="220"/>
    </row>
    <row r="35" spans="1:256" ht="18" customHeight="1" x14ac:dyDescent="0.35">
      <c r="A35" s="228">
        <v>27</v>
      </c>
      <c r="B35" s="198"/>
      <c r="C35" s="159"/>
      <c r="D35" s="257" t="s">
        <v>252</v>
      </c>
      <c r="E35" s="151"/>
      <c r="F35" s="151"/>
      <c r="G35" s="152"/>
      <c r="H35" s="263"/>
      <c r="I35" s="367"/>
      <c r="J35" s="255"/>
      <c r="K35" s="255">
        <v>1000</v>
      </c>
      <c r="L35" s="255"/>
      <c r="M35" s="255"/>
      <c r="N35" s="271"/>
      <c r="O35" s="254">
        <f>SUM(I35:N35)</f>
        <v>1000</v>
      </c>
      <c r="P35" s="220"/>
    </row>
    <row r="36" spans="1:256" ht="18" customHeight="1" x14ac:dyDescent="0.35">
      <c r="A36" s="228">
        <v>28</v>
      </c>
      <c r="B36" s="198"/>
      <c r="C36" s="159"/>
      <c r="D36" s="923" t="s">
        <v>921</v>
      </c>
      <c r="E36" s="151"/>
      <c r="F36" s="151"/>
      <c r="G36" s="152"/>
      <c r="H36" s="263"/>
      <c r="I36" s="698"/>
      <c r="J36" s="347"/>
      <c r="K36" s="347">
        <v>1000</v>
      </c>
      <c r="L36" s="347"/>
      <c r="M36" s="347"/>
      <c r="N36" s="151"/>
      <c r="O36" s="224">
        <f>SUM(I36:N36)</f>
        <v>1000</v>
      </c>
      <c r="P36" s="220"/>
    </row>
    <row r="37" spans="1:256" ht="18" customHeight="1" x14ac:dyDescent="0.35">
      <c r="A37" s="228">
        <v>29</v>
      </c>
      <c r="B37" s="198"/>
      <c r="C37" s="159"/>
      <c r="D37" s="920" t="s">
        <v>973</v>
      </c>
      <c r="E37" s="151"/>
      <c r="F37" s="151"/>
      <c r="G37" s="152"/>
      <c r="H37" s="263"/>
      <c r="I37" s="367"/>
      <c r="J37" s="255"/>
      <c r="K37" s="1751">
        <v>0</v>
      </c>
      <c r="L37" s="255"/>
      <c r="M37" s="255"/>
      <c r="N37" s="271"/>
      <c r="O37" s="922">
        <f>SUM(I37:N37)</f>
        <v>0</v>
      </c>
      <c r="P37" s="220"/>
    </row>
    <row r="38" spans="1:256" ht="22.5" customHeight="1" x14ac:dyDescent="0.35">
      <c r="A38" s="228">
        <v>30</v>
      </c>
      <c r="B38" s="198"/>
      <c r="C38" s="159">
        <v>12</v>
      </c>
      <c r="D38" s="226" t="s">
        <v>809</v>
      </c>
      <c r="E38" s="665">
        <f>F38+G38+O40+P39</f>
        <v>35208</v>
      </c>
      <c r="F38" s="665">
        <f>2593+7749+22269</f>
        <v>32611</v>
      </c>
      <c r="G38" s="686">
        <v>1597</v>
      </c>
      <c r="H38" s="263" t="s">
        <v>24</v>
      </c>
      <c r="I38" s="367"/>
      <c r="J38" s="255"/>
      <c r="K38" s="255"/>
      <c r="L38" s="255"/>
      <c r="M38" s="255"/>
      <c r="N38" s="271"/>
      <c r="O38" s="277"/>
      <c r="P38" s="220"/>
    </row>
    <row r="39" spans="1:256" ht="18" customHeight="1" x14ac:dyDescent="0.35">
      <c r="A39" s="228">
        <v>31</v>
      </c>
      <c r="B39" s="198"/>
      <c r="C39" s="159"/>
      <c r="D39" s="257" t="s">
        <v>252</v>
      </c>
      <c r="E39" s="151"/>
      <c r="F39" s="151"/>
      <c r="G39" s="152"/>
      <c r="H39" s="263"/>
      <c r="I39" s="698"/>
      <c r="J39" s="347"/>
      <c r="K39" s="255">
        <v>1000</v>
      </c>
      <c r="L39" s="255"/>
      <c r="M39" s="255"/>
      <c r="N39" s="271"/>
      <c r="O39" s="254">
        <f>SUM(I39:N39)</f>
        <v>1000</v>
      </c>
      <c r="P39" s="220"/>
    </row>
    <row r="40" spans="1:256" ht="18" customHeight="1" x14ac:dyDescent="0.35">
      <c r="A40" s="228">
        <v>32</v>
      </c>
      <c r="B40" s="198"/>
      <c r="C40" s="159"/>
      <c r="D40" s="923" t="s">
        <v>921</v>
      </c>
      <c r="E40" s="151"/>
      <c r="F40" s="151"/>
      <c r="G40" s="152"/>
      <c r="H40" s="263"/>
      <c r="I40" s="698"/>
      <c r="J40" s="347"/>
      <c r="K40" s="347">
        <v>1000</v>
      </c>
      <c r="L40" s="347"/>
      <c r="M40" s="347"/>
      <c r="N40" s="151"/>
      <c r="O40" s="224">
        <f>SUM(I40:N40)</f>
        <v>1000</v>
      </c>
      <c r="P40" s="220"/>
    </row>
    <row r="41" spans="1:256" ht="18" customHeight="1" x14ac:dyDescent="0.35">
      <c r="A41" s="228">
        <v>33</v>
      </c>
      <c r="B41" s="198"/>
      <c r="C41" s="159"/>
      <c r="D41" s="920" t="s">
        <v>973</v>
      </c>
      <c r="E41" s="151"/>
      <c r="F41" s="151"/>
      <c r="G41" s="152"/>
      <c r="H41" s="263"/>
      <c r="I41" s="698"/>
      <c r="J41" s="347"/>
      <c r="K41" s="1751">
        <v>0</v>
      </c>
      <c r="L41" s="255"/>
      <c r="M41" s="255"/>
      <c r="N41" s="271"/>
      <c r="O41" s="922">
        <f>SUM(I41:N41)</f>
        <v>0</v>
      </c>
      <c r="P41" s="220"/>
    </row>
    <row r="42" spans="1:256" ht="22.5" customHeight="1" x14ac:dyDescent="0.35">
      <c r="A42" s="228">
        <v>34</v>
      </c>
      <c r="B42" s="198"/>
      <c r="C42" s="159">
        <v>13</v>
      </c>
      <c r="D42" s="226" t="s">
        <v>348</v>
      </c>
      <c r="E42" s="665">
        <f>F42+G42+O44+P43</f>
        <v>72226</v>
      </c>
      <c r="F42" s="665">
        <f>1680+1+60644</f>
        <v>62325</v>
      </c>
      <c r="G42" s="686"/>
      <c r="H42" s="263" t="s">
        <v>24</v>
      </c>
      <c r="I42" s="367"/>
      <c r="J42" s="255"/>
      <c r="K42" s="255"/>
      <c r="L42" s="255"/>
      <c r="M42" s="255"/>
      <c r="N42" s="271"/>
      <c r="O42" s="277"/>
      <c r="P42" s="220"/>
    </row>
    <row r="43" spans="1:256" ht="18" customHeight="1" x14ac:dyDescent="0.35">
      <c r="A43" s="228">
        <v>35</v>
      </c>
      <c r="B43" s="198"/>
      <c r="C43" s="159"/>
      <c r="D43" s="257" t="s">
        <v>252</v>
      </c>
      <c r="E43" s="151"/>
      <c r="F43" s="151"/>
      <c r="G43" s="152"/>
      <c r="H43" s="263"/>
      <c r="I43" s="367"/>
      <c r="J43" s="255"/>
      <c r="K43" s="255"/>
      <c r="L43" s="255"/>
      <c r="M43" s="255"/>
      <c r="N43" s="255">
        <v>9823</v>
      </c>
      <c r="O43" s="254">
        <f>SUM(I43:N43)</f>
        <v>9823</v>
      </c>
      <c r="P43" s="220"/>
    </row>
    <row r="44" spans="1:256" ht="18" customHeight="1" x14ac:dyDescent="0.35">
      <c r="A44" s="228">
        <v>36</v>
      </c>
      <c r="B44" s="198"/>
      <c r="C44" s="159"/>
      <c r="D44" s="923" t="s">
        <v>921</v>
      </c>
      <c r="E44" s="151"/>
      <c r="F44" s="151"/>
      <c r="G44" s="152"/>
      <c r="H44" s="263"/>
      <c r="I44" s="698"/>
      <c r="J44" s="347"/>
      <c r="K44" s="347"/>
      <c r="L44" s="347"/>
      <c r="M44" s="347"/>
      <c r="N44" s="347">
        <v>9901</v>
      </c>
      <c r="O44" s="224">
        <f>SUM(I44:N44)</f>
        <v>9901</v>
      </c>
      <c r="P44" s="220"/>
    </row>
    <row r="45" spans="1:256" ht="18" customHeight="1" x14ac:dyDescent="0.35">
      <c r="A45" s="228">
        <v>37</v>
      </c>
      <c r="B45" s="198"/>
      <c r="C45" s="159"/>
      <c r="D45" s="920" t="s">
        <v>972</v>
      </c>
      <c r="E45" s="151"/>
      <c r="F45" s="151"/>
      <c r="G45" s="152"/>
      <c r="H45" s="263"/>
      <c r="I45" s="367"/>
      <c r="J45" s="255"/>
      <c r="K45" s="255"/>
      <c r="L45" s="255"/>
      <c r="M45" s="255"/>
      <c r="N45" s="1751">
        <v>9901</v>
      </c>
      <c r="O45" s="922">
        <f>SUM(I45:N45)</f>
        <v>9901</v>
      </c>
      <c r="P45" s="220"/>
    </row>
    <row r="46" spans="1:256" ht="36" customHeight="1" x14ac:dyDescent="0.35">
      <c r="A46" s="228">
        <v>38</v>
      </c>
      <c r="B46" s="198"/>
      <c r="C46" s="143">
        <v>15</v>
      </c>
      <c r="D46" s="144" t="s">
        <v>477</v>
      </c>
      <c r="E46" s="665">
        <f>F46+G46+O48+P47</f>
        <v>20664</v>
      </c>
      <c r="F46" s="665">
        <v>3998</v>
      </c>
      <c r="G46" s="686">
        <v>10094</v>
      </c>
      <c r="H46" s="279" t="s">
        <v>24</v>
      </c>
      <c r="I46" s="367"/>
      <c r="J46" s="255"/>
      <c r="K46" s="255"/>
      <c r="L46" s="255"/>
      <c r="M46" s="255"/>
      <c r="N46" s="271"/>
      <c r="O46" s="277"/>
      <c r="P46" s="220"/>
    </row>
    <row r="47" spans="1:256" s="216" customFormat="1" ht="18" customHeight="1" x14ac:dyDescent="0.35">
      <c r="A47" s="228">
        <v>39</v>
      </c>
      <c r="B47" s="346"/>
      <c r="C47" s="679"/>
      <c r="D47" s="288" t="s">
        <v>252</v>
      </c>
      <c r="E47" s="289"/>
      <c r="F47" s="289"/>
      <c r="G47" s="290"/>
      <c r="H47" s="291"/>
      <c r="I47" s="680">
        <v>621</v>
      </c>
      <c r="J47" s="681">
        <v>193</v>
      </c>
      <c r="K47" s="681">
        <v>5758</v>
      </c>
      <c r="L47" s="681"/>
      <c r="M47" s="681"/>
      <c r="N47" s="682"/>
      <c r="O47" s="287">
        <f>SUM(I47:N47)</f>
        <v>6572</v>
      </c>
      <c r="P47" s="284"/>
      <c r="Q47" s="142"/>
      <c r="R47" s="142"/>
      <c r="S47" s="142"/>
      <c r="T47" s="142"/>
      <c r="U47" s="142"/>
      <c r="V47" s="142"/>
      <c r="W47" s="142"/>
      <c r="X47" s="142"/>
      <c r="Y47" s="142"/>
      <c r="Z47" s="142"/>
      <c r="AA47" s="142"/>
      <c r="AB47" s="142"/>
      <c r="AC47" s="142"/>
      <c r="AD47" s="142"/>
      <c r="AE47" s="142"/>
      <c r="AF47" s="142"/>
      <c r="AG47" s="142"/>
      <c r="AH47" s="142"/>
      <c r="AI47" s="142"/>
      <c r="AJ47" s="142"/>
      <c r="AK47" s="142"/>
      <c r="AL47" s="142"/>
      <c r="AM47" s="142"/>
      <c r="AN47" s="142"/>
      <c r="AO47" s="142"/>
      <c r="AP47" s="142"/>
      <c r="AQ47" s="142"/>
      <c r="AR47" s="142"/>
      <c r="AS47" s="142"/>
      <c r="AT47" s="142"/>
      <c r="AU47" s="142"/>
      <c r="AV47" s="142"/>
      <c r="AW47" s="142"/>
      <c r="AX47" s="142"/>
      <c r="AY47" s="142"/>
      <c r="AZ47" s="142"/>
      <c r="BA47" s="142"/>
      <c r="BB47" s="142"/>
      <c r="BC47" s="142"/>
      <c r="BD47" s="142"/>
      <c r="BE47" s="142"/>
      <c r="BF47" s="142"/>
      <c r="BG47" s="142"/>
      <c r="BH47" s="142"/>
      <c r="BI47" s="142"/>
      <c r="BJ47" s="142"/>
      <c r="BK47" s="142"/>
      <c r="BL47" s="142"/>
      <c r="BM47" s="142"/>
      <c r="BN47" s="142"/>
      <c r="BO47" s="142"/>
      <c r="BP47" s="142"/>
      <c r="BQ47" s="142"/>
      <c r="BR47" s="142"/>
      <c r="BS47" s="142"/>
      <c r="BT47" s="142"/>
      <c r="BU47" s="142"/>
      <c r="BV47" s="142"/>
      <c r="BW47" s="142"/>
      <c r="BX47" s="142"/>
      <c r="BY47" s="142"/>
      <c r="BZ47" s="142"/>
      <c r="CA47" s="142"/>
      <c r="CB47" s="142"/>
      <c r="CC47" s="142"/>
      <c r="CD47" s="142"/>
      <c r="CE47" s="142"/>
      <c r="CF47" s="142"/>
      <c r="CG47" s="142"/>
      <c r="CH47" s="142"/>
      <c r="CI47" s="142"/>
      <c r="CJ47" s="142"/>
      <c r="CK47" s="142"/>
      <c r="CL47" s="142"/>
      <c r="CM47" s="142"/>
      <c r="CN47" s="142"/>
      <c r="CO47" s="142"/>
      <c r="CP47" s="142"/>
      <c r="CQ47" s="142"/>
      <c r="CR47" s="142"/>
      <c r="CS47" s="142"/>
      <c r="CT47" s="142"/>
      <c r="CU47" s="142"/>
      <c r="CV47" s="142"/>
      <c r="CW47" s="142"/>
      <c r="CX47" s="142"/>
      <c r="CY47" s="142"/>
      <c r="CZ47" s="142"/>
      <c r="DA47" s="142"/>
      <c r="DB47" s="142"/>
      <c r="DC47" s="142"/>
      <c r="DD47" s="142"/>
      <c r="DE47" s="142"/>
      <c r="DF47" s="142"/>
      <c r="DG47" s="142"/>
      <c r="DH47" s="142"/>
      <c r="DI47" s="142"/>
      <c r="DJ47" s="142"/>
      <c r="DK47" s="142"/>
      <c r="DL47" s="142"/>
      <c r="DM47" s="142"/>
      <c r="DN47" s="142"/>
      <c r="DO47" s="142"/>
      <c r="DP47" s="142"/>
      <c r="DQ47" s="142"/>
      <c r="DR47" s="142"/>
      <c r="DS47" s="142"/>
      <c r="DT47" s="142"/>
      <c r="DU47" s="142"/>
      <c r="DV47" s="142"/>
      <c r="DW47" s="142"/>
      <c r="DX47" s="142"/>
      <c r="DY47" s="142"/>
      <c r="DZ47" s="142"/>
      <c r="EA47" s="142"/>
      <c r="EB47" s="142"/>
      <c r="EC47" s="142"/>
      <c r="ED47" s="142"/>
      <c r="EE47" s="142"/>
      <c r="EF47" s="142"/>
      <c r="EG47" s="142"/>
      <c r="EH47" s="142"/>
      <c r="EI47" s="142"/>
      <c r="EJ47" s="142"/>
      <c r="EK47" s="142"/>
      <c r="EL47" s="142"/>
      <c r="EM47" s="142"/>
      <c r="EN47" s="142"/>
      <c r="EO47" s="142"/>
      <c r="EP47" s="142"/>
      <c r="EQ47" s="142"/>
      <c r="ER47" s="142"/>
      <c r="ES47" s="142"/>
      <c r="ET47" s="142"/>
      <c r="EU47" s="142"/>
      <c r="EV47" s="142"/>
      <c r="EW47" s="142"/>
      <c r="EX47" s="142"/>
      <c r="EY47" s="142"/>
      <c r="EZ47" s="142"/>
      <c r="FA47" s="142"/>
      <c r="FB47" s="142"/>
      <c r="FC47" s="142"/>
      <c r="FD47" s="142"/>
      <c r="FE47" s="142"/>
      <c r="FF47" s="142"/>
      <c r="FG47" s="142"/>
      <c r="FH47" s="142"/>
      <c r="FI47" s="142"/>
      <c r="FJ47" s="142"/>
      <c r="FK47" s="142"/>
      <c r="FL47" s="142"/>
      <c r="FM47" s="142"/>
      <c r="FN47" s="142"/>
      <c r="FO47" s="142"/>
      <c r="FP47" s="142"/>
      <c r="FQ47" s="142"/>
      <c r="FR47" s="142"/>
      <c r="FS47" s="142"/>
      <c r="FT47" s="142"/>
      <c r="FU47" s="142"/>
      <c r="FV47" s="142"/>
      <c r="FW47" s="142"/>
      <c r="FX47" s="142"/>
      <c r="FY47" s="142"/>
      <c r="FZ47" s="142"/>
      <c r="GA47" s="142"/>
      <c r="GB47" s="142"/>
      <c r="GC47" s="142"/>
      <c r="GD47" s="142"/>
      <c r="GE47" s="142"/>
      <c r="GF47" s="142"/>
      <c r="GG47" s="142"/>
      <c r="GH47" s="142"/>
      <c r="GI47" s="142"/>
      <c r="GJ47" s="142"/>
      <c r="GK47" s="142"/>
      <c r="GL47" s="142"/>
      <c r="GM47" s="142"/>
      <c r="GN47" s="142"/>
      <c r="GO47" s="142"/>
      <c r="GP47" s="142"/>
      <c r="GQ47" s="142"/>
      <c r="GR47" s="142"/>
      <c r="GS47" s="142"/>
      <c r="GT47" s="142"/>
      <c r="GU47" s="142"/>
      <c r="GV47" s="142"/>
      <c r="GW47" s="142"/>
      <c r="GX47" s="142"/>
      <c r="GY47" s="142"/>
      <c r="GZ47" s="142"/>
      <c r="HA47" s="142"/>
      <c r="HB47" s="142"/>
      <c r="HC47" s="142"/>
      <c r="HD47" s="142"/>
      <c r="HE47" s="142"/>
      <c r="HF47" s="142"/>
      <c r="HG47" s="142"/>
      <c r="HH47" s="142"/>
      <c r="HI47" s="142"/>
      <c r="HJ47" s="142"/>
      <c r="HK47" s="142"/>
      <c r="HL47" s="142"/>
      <c r="HM47" s="142"/>
      <c r="HN47" s="142"/>
      <c r="HO47" s="142"/>
      <c r="HP47" s="142"/>
      <c r="HQ47" s="142"/>
      <c r="HR47" s="142"/>
      <c r="HS47" s="142"/>
      <c r="HT47" s="142"/>
      <c r="HU47" s="142"/>
      <c r="HV47" s="142"/>
      <c r="HW47" s="142"/>
      <c r="HX47" s="142"/>
      <c r="HY47" s="142"/>
      <c r="HZ47" s="142"/>
      <c r="IA47" s="142"/>
      <c r="IB47" s="142"/>
      <c r="IC47" s="142"/>
      <c r="ID47" s="142"/>
      <c r="IE47" s="142"/>
      <c r="IF47" s="142"/>
      <c r="IG47" s="142"/>
      <c r="IH47" s="142"/>
      <c r="II47" s="142"/>
      <c r="IJ47" s="142"/>
      <c r="IK47" s="142"/>
      <c r="IL47" s="142"/>
      <c r="IM47" s="142"/>
      <c r="IN47" s="142"/>
      <c r="IO47" s="142"/>
      <c r="IP47" s="142"/>
      <c r="IQ47" s="142"/>
      <c r="IR47" s="142"/>
      <c r="IS47" s="142"/>
      <c r="IT47" s="142"/>
      <c r="IU47" s="142"/>
      <c r="IV47" s="142"/>
    </row>
    <row r="48" spans="1:256" s="216" customFormat="1" ht="18" customHeight="1" x14ac:dyDescent="0.35">
      <c r="A48" s="228">
        <v>40</v>
      </c>
      <c r="B48" s="730"/>
      <c r="C48" s="679"/>
      <c r="D48" s="923" t="s">
        <v>921</v>
      </c>
      <c r="E48" s="289"/>
      <c r="F48" s="289"/>
      <c r="G48" s="731"/>
      <c r="H48" s="291"/>
      <c r="I48" s="950">
        <v>621</v>
      </c>
      <c r="J48" s="950">
        <v>193</v>
      </c>
      <c r="K48" s="950">
        <v>5758</v>
      </c>
      <c r="L48" s="950"/>
      <c r="M48" s="950"/>
      <c r="N48" s="1420"/>
      <c r="O48" s="1182">
        <f>SUM(I48:N48)</f>
        <v>6572</v>
      </c>
      <c r="P48" s="284"/>
      <c r="Q48" s="142"/>
      <c r="R48" s="142"/>
      <c r="S48" s="142"/>
      <c r="T48" s="142"/>
      <c r="U48" s="142"/>
      <c r="V48" s="142"/>
      <c r="W48" s="142"/>
      <c r="X48" s="142"/>
      <c r="Y48" s="142"/>
      <c r="Z48" s="142"/>
      <c r="AA48" s="142"/>
      <c r="AB48" s="142"/>
      <c r="AC48" s="142"/>
      <c r="AD48" s="142"/>
      <c r="AE48" s="142"/>
      <c r="AF48" s="142"/>
      <c r="AG48" s="142"/>
      <c r="AH48" s="142"/>
      <c r="AI48" s="142"/>
      <c r="AJ48" s="142"/>
      <c r="AK48" s="142"/>
      <c r="AL48" s="142"/>
      <c r="AM48" s="142"/>
      <c r="AN48" s="142"/>
      <c r="AO48" s="142"/>
      <c r="AP48" s="142"/>
      <c r="AQ48" s="142"/>
      <c r="AR48" s="142"/>
      <c r="AS48" s="142"/>
      <c r="AT48" s="142"/>
      <c r="AU48" s="142"/>
      <c r="AV48" s="142"/>
      <c r="AW48" s="142"/>
      <c r="AX48" s="142"/>
      <c r="AY48" s="142"/>
      <c r="AZ48" s="142"/>
      <c r="BA48" s="142"/>
      <c r="BB48" s="142"/>
      <c r="BC48" s="142"/>
      <c r="BD48" s="142"/>
      <c r="BE48" s="142"/>
      <c r="BF48" s="142"/>
      <c r="BG48" s="142"/>
      <c r="BH48" s="142"/>
      <c r="BI48" s="142"/>
      <c r="BJ48" s="142"/>
      <c r="BK48" s="142"/>
      <c r="BL48" s="142"/>
      <c r="BM48" s="142"/>
      <c r="BN48" s="142"/>
      <c r="BO48" s="142"/>
      <c r="BP48" s="142"/>
      <c r="BQ48" s="142"/>
      <c r="BR48" s="142"/>
      <c r="BS48" s="142"/>
      <c r="BT48" s="142"/>
      <c r="BU48" s="142"/>
      <c r="BV48" s="142"/>
      <c r="BW48" s="142"/>
      <c r="BX48" s="142"/>
      <c r="BY48" s="142"/>
      <c r="BZ48" s="142"/>
      <c r="CA48" s="142"/>
      <c r="CB48" s="142"/>
      <c r="CC48" s="142"/>
      <c r="CD48" s="142"/>
      <c r="CE48" s="142"/>
      <c r="CF48" s="142"/>
      <c r="CG48" s="142"/>
      <c r="CH48" s="142"/>
      <c r="CI48" s="142"/>
      <c r="CJ48" s="142"/>
      <c r="CK48" s="142"/>
      <c r="CL48" s="142"/>
      <c r="CM48" s="142"/>
      <c r="CN48" s="142"/>
      <c r="CO48" s="142"/>
      <c r="CP48" s="142"/>
      <c r="CQ48" s="142"/>
      <c r="CR48" s="142"/>
      <c r="CS48" s="142"/>
      <c r="CT48" s="142"/>
      <c r="CU48" s="142"/>
      <c r="CV48" s="142"/>
      <c r="CW48" s="142"/>
      <c r="CX48" s="142"/>
      <c r="CY48" s="142"/>
      <c r="CZ48" s="142"/>
      <c r="DA48" s="142"/>
      <c r="DB48" s="142"/>
      <c r="DC48" s="142"/>
      <c r="DD48" s="142"/>
      <c r="DE48" s="142"/>
      <c r="DF48" s="142"/>
      <c r="DG48" s="142"/>
      <c r="DH48" s="142"/>
      <c r="DI48" s="142"/>
      <c r="DJ48" s="142"/>
      <c r="DK48" s="142"/>
      <c r="DL48" s="142"/>
      <c r="DM48" s="142"/>
      <c r="DN48" s="142"/>
      <c r="DO48" s="142"/>
      <c r="DP48" s="142"/>
      <c r="DQ48" s="142"/>
      <c r="DR48" s="142"/>
      <c r="DS48" s="142"/>
      <c r="DT48" s="142"/>
      <c r="DU48" s="142"/>
      <c r="DV48" s="142"/>
      <c r="DW48" s="142"/>
      <c r="DX48" s="142"/>
      <c r="DY48" s="142"/>
      <c r="DZ48" s="142"/>
      <c r="EA48" s="142"/>
      <c r="EB48" s="142"/>
      <c r="EC48" s="142"/>
      <c r="ED48" s="142"/>
      <c r="EE48" s="142"/>
      <c r="EF48" s="142"/>
      <c r="EG48" s="142"/>
      <c r="EH48" s="142"/>
      <c r="EI48" s="142"/>
      <c r="EJ48" s="142"/>
      <c r="EK48" s="142"/>
      <c r="EL48" s="142"/>
      <c r="EM48" s="142"/>
      <c r="EN48" s="142"/>
      <c r="EO48" s="142"/>
      <c r="EP48" s="142"/>
      <c r="EQ48" s="142"/>
      <c r="ER48" s="142"/>
      <c r="ES48" s="142"/>
      <c r="ET48" s="142"/>
      <c r="EU48" s="142"/>
      <c r="EV48" s="142"/>
      <c r="EW48" s="142"/>
      <c r="EX48" s="142"/>
      <c r="EY48" s="142"/>
      <c r="EZ48" s="142"/>
      <c r="FA48" s="142"/>
      <c r="FB48" s="142"/>
      <c r="FC48" s="142"/>
      <c r="FD48" s="142"/>
      <c r="FE48" s="142"/>
      <c r="FF48" s="142"/>
      <c r="FG48" s="142"/>
      <c r="FH48" s="142"/>
      <c r="FI48" s="142"/>
      <c r="FJ48" s="142"/>
      <c r="FK48" s="142"/>
      <c r="FL48" s="142"/>
      <c r="FM48" s="142"/>
      <c r="FN48" s="142"/>
      <c r="FO48" s="142"/>
      <c r="FP48" s="142"/>
      <c r="FQ48" s="142"/>
      <c r="FR48" s="142"/>
      <c r="FS48" s="142"/>
      <c r="FT48" s="142"/>
      <c r="FU48" s="142"/>
      <c r="FV48" s="142"/>
      <c r="FW48" s="142"/>
      <c r="FX48" s="142"/>
      <c r="FY48" s="142"/>
      <c r="FZ48" s="142"/>
      <c r="GA48" s="142"/>
      <c r="GB48" s="142"/>
      <c r="GC48" s="142"/>
      <c r="GD48" s="142"/>
      <c r="GE48" s="142"/>
      <c r="GF48" s="142"/>
      <c r="GG48" s="142"/>
      <c r="GH48" s="142"/>
      <c r="GI48" s="142"/>
      <c r="GJ48" s="142"/>
      <c r="GK48" s="142"/>
      <c r="GL48" s="142"/>
      <c r="GM48" s="142"/>
      <c r="GN48" s="142"/>
      <c r="GO48" s="142"/>
      <c r="GP48" s="142"/>
      <c r="GQ48" s="142"/>
      <c r="GR48" s="142"/>
      <c r="GS48" s="142"/>
      <c r="GT48" s="142"/>
      <c r="GU48" s="142"/>
      <c r="GV48" s="142"/>
      <c r="GW48" s="142"/>
      <c r="GX48" s="142"/>
      <c r="GY48" s="142"/>
      <c r="GZ48" s="142"/>
      <c r="HA48" s="142"/>
      <c r="HB48" s="142"/>
      <c r="HC48" s="142"/>
      <c r="HD48" s="142"/>
      <c r="HE48" s="142"/>
      <c r="HF48" s="142"/>
      <c r="HG48" s="142"/>
      <c r="HH48" s="142"/>
      <c r="HI48" s="142"/>
      <c r="HJ48" s="142"/>
      <c r="HK48" s="142"/>
      <c r="HL48" s="142"/>
      <c r="HM48" s="142"/>
      <c r="HN48" s="142"/>
      <c r="HO48" s="142"/>
      <c r="HP48" s="142"/>
      <c r="HQ48" s="142"/>
      <c r="HR48" s="142"/>
      <c r="HS48" s="142"/>
      <c r="HT48" s="142"/>
      <c r="HU48" s="142"/>
      <c r="HV48" s="142"/>
      <c r="HW48" s="142"/>
      <c r="HX48" s="142"/>
      <c r="HY48" s="142"/>
      <c r="HZ48" s="142"/>
      <c r="IA48" s="142"/>
      <c r="IB48" s="142"/>
      <c r="IC48" s="142"/>
      <c r="ID48" s="142"/>
      <c r="IE48" s="142"/>
      <c r="IF48" s="142"/>
      <c r="IG48" s="142"/>
      <c r="IH48" s="142"/>
      <c r="II48" s="142"/>
      <c r="IJ48" s="142"/>
      <c r="IK48" s="142"/>
      <c r="IL48" s="142"/>
      <c r="IM48" s="142"/>
      <c r="IN48" s="142"/>
      <c r="IO48" s="142"/>
      <c r="IP48" s="142"/>
      <c r="IQ48" s="142"/>
      <c r="IR48" s="142"/>
      <c r="IS48" s="142"/>
      <c r="IT48" s="142"/>
      <c r="IU48" s="142"/>
      <c r="IV48" s="142"/>
    </row>
    <row r="49" spans="1:256" s="216" customFormat="1" ht="18" customHeight="1" x14ac:dyDescent="0.35">
      <c r="A49" s="228">
        <v>41</v>
      </c>
      <c r="B49" s="730"/>
      <c r="C49" s="679"/>
      <c r="D49" s="920" t="s">
        <v>973</v>
      </c>
      <c r="E49" s="289"/>
      <c r="F49" s="289"/>
      <c r="G49" s="731"/>
      <c r="H49" s="291"/>
      <c r="I49" s="1753">
        <v>0</v>
      </c>
      <c r="J49" s="1753">
        <v>0</v>
      </c>
      <c r="K49" s="1753">
        <v>0</v>
      </c>
      <c r="L49" s="680"/>
      <c r="M49" s="680"/>
      <c r="N49" s="732"/>
      <c r="O49" s="922">
        <f>SUM(I49:N49)</f>
        <v>0</v>
      </c>
      <c r="P49" s="284"/>
      <c r="Q49" s="142"/>
      <c r="R49" s="142"/>
      <c r="S49" s="142"/>
      <c r="T49" s="142"/>
      <c r="U49" s="142"/>
      <c r="V49" s="142"/>
      <c r="W49" s="142"/>
      <c r="X49" s="142"/>
      <c r="Y49" s="142"/>
      <c r="Z49" s="142"/>
      <c r="AA49" s="142"/>
      <c r="AB49" s="142"/>
      <c r="AC49" s="142"/>
      <c r="AD49" s="142"/>
      <c r="AE49" s="142"/>
      <c r="AF49" s="142"/>
      <c r="AG49" s="142"/>
      <c r="AH49" s="142"/>
      <c r="AI49" s="142"/>
      <c r="AJ49" s="142"/>
      <c r="AK49" s="142"/>
      <c r="AL49" s="142"/>
      <c r="AM49" s="142"/>
      <c r="AN49" s="142"/>
      <c r="AO49" s="142"/>
      <c r="AP49" s="142"/>
      <c r="AQ49" s="142"/>
      <c r="AR49" s="142"/>
      <c r="AS49" s="142"/>
      <c r="AT49" s="142"/>
      <c r="AU49" s="142"/>
      <c r="AV49" s="142"/>
      <c r="AW49" s="142"/>
      <c r="AX49" s="142"/>
      <c r="AY49" s="142"/>
      <c r="AZ49" s="142"/>
      <c r="BA49" s="142"/>
      <c r="BB49" s="142"/>
      <c r="BC49" s="142"/>
      <c r="BD49" s="142"/>
      <c r="BE49" s="142"/>
      <c r="BF49" s="142"/>
      <c r="BG49" s="142"/>
      <c r="BH49" s="142"/>
      <c r="BI49" s="142"/>
      <c r="BJ49" s="142"/>
      <c r="BK49" s="142"/>
      <c r="BL49" s="142"/>
      <c r="BM49" s="142"/>
      <c r="BN49" s="142"/>
      <c r="BO49" s="142"/>
      <c r="BP49" s="142"/>
      <c r="BQ49" s="142"/>
      <c r="BR49" s="142"/>
      <c r="BS49" s="142"/>
      <c r="BT49" s="142"/>
      <c r="BU49" s="142"/>
      <c r="BV49" s="142"/>
      <c r="BW49" s="142"/>
      <c r="BX49" s="142"/>
      <c r="BY49" s="142"/>
      <c r="BZ49" s="142"/>
      <c r="CA49" s="142"/>
      <c r="CB49" s="142"/>
      <c r="CC49" s="142"/>
      <c r="CD49" s="142"/>
      <c r="CE49" s="142"/>
      <c r="CF49" s="142"/>
      <c r="CG49" s="142"/>
      <c r="CH49" s="142"/>
      <c r="CI49" s="142"/>
      <c r="CJ49" s="142"/>
      <c r="CK49" s="142"/>
      <c r="CL49" s="142"/>
      <c r="CM49" s="142"/>
      <c r="CN49" s="142"/>
      <c r="CO49" s="142"/>
      <c r="CP49" s="142"/>
      <c r="CQ49" s="142"/>
      <c r="CR49" s="142"/>
      <c r="CS49" s="142"/>
      <c r="CT49" s="142"/>
      <c r="CU49" s="142"/>
      <c r="CV49" s="142"/>
      <c r="CW49" s="142"/>
      <c r="CX49" s="142"/>
      <c r="CY49" s="142"/>
      <c r="CZ49" s="142"/>
      <c r="DA49" s="142"/>
      <c r="DB49" s="142"/>
      <c r="DC49" s="142"/>
      <c r="DD49" s="142"/>
      <c r="DE49" s="142"/>
      <c r="DF49" s="142"/>
      <c r="DG49" s="142"/>
      <c r="DH49" s="142"/>
      <c r="DI49" s="142"/>
      <c r="DJ49" s="142"/>
      <c r="DK49" s="142"/>
      <c r="DL49" s="142"/>
      <c r="DM49" s="142"/>
      <c r="DN49" s="142"/>
      <c r="DO49" s="142"/>
      <c r="DP49" s="142"/>
      <c r="DQ49" s="142"/>
      <c r="DR49" s="142"/>
      <c r="DS49" s="142"/>
      <c r="DT49" s="142"/>
      <c r="DU49" s="142"/>
      <c r="DV49" s="142"/>
      <c r="DW49" s="142"/>
      <c r="DX49" s="142"/>
      <c r="DY49" s="142"/>
      <c r="DZ49" s="142"/>
      <c r="EA49" s="142"/>
      <c r="EB49" s="142"/>
      <c r="EC49" s="142"/>
      <c r="ED49" s="142"/>
      <c r="EE49" s="142"/>
      <c r="EF49" s="142"/>
      <c r="EG49" s="142"/>
      <c r="EH49" s="142"/>
      <c r="EI49" s="142"/>
      <c r="EJ49" s="142"/>
      <c r="EK49" s="142"/>
      <c r="EL49" s="142"/>
      <c r="EM49" s="142"/>
      <c r="EN49" s="142"/>
      <c r="EO49" s="142"/>
      <c r="EP49" s="142"/>
      <c r="EQ49" s="142"/>
      <c r="ER49" s="142"/>
      <c r="ES49" s="142"/>
      <c r="ET49" s="142"/>
      <c r="EU49" s="142"/>
      <c r="EV49" s="142"/>
      <c r="EW49" s="142"/>
      <c r="EX49" s="142"/>
      <c r="EY49" s="142"/>
      <c r="EZ49" s="142"/>
      <c r="FA49" s="142"/>
      <c r="FB49" s="142"/>
      <c r="FC49" s="142"/>
      <c r="FD49" s="142"/>
      <c r="FE49" s="142"/>
      <c r="FF49" s="142"/>
      <c r="FG49" s="142"/>
      <c r="FH49" s="142"/>
      <c r="FI49" s="142"/>
      <c r="FJ49" s="142"/>
      <c r="FK49" s="142"/>
      <c r="FL49" s="142"/>
      <c r="FM49" s="142"/>
      <c r="FN49" s="142"/>
      <c r="FO49" s="142"/>
      <c r="FP49" s="142"/>
      <c r="FQ49" s="142"/>
      <c r="FR49" s="142"/>
      <c r="FS49" s="142"/>
      <c r="FT49" s="142"/>
      <c r="FU49" s="142"/>
      <c r="FV49" s="142"/>
      <c r="FW49" s="142"/>
      <c r="FX49" s="142"/>
      <c r="FY49" s="142"/>
      <c r="FZ49" s="142"/>
      <c r="GA49" s="142"/>
      <c r="GB49" s="142"/>
      <c r="GC49" s="142"/>
      <c r="GD49" s="142"/>
      <c r="GE49" s="142"/>
      <c r="GF49" s="142"/>
      <c r="GG49" s="142"/>
      <c r="GH49" s="142"/>
      <c r="GI49" s="142"/>
      <c r="GJ49" s="142"/>
      <c r="GK49" s="142"/>
      <c r="GL49" s="142"/>
      <c r="GM49" s="142"/>
      <c r="GN49" s="142"/>
      <c r="GO49" s="142"/>
      <c r="GP49" s="142"/>
      <c r="GQ49" s="142"/>
      <c r="GR49" s="142"/>
      <c r="GS49" s="142"/>
      <c r="GT49" s="142"/>
      <c r="GU49" s="142"/>
      <c r="GV49" s="142"/>
      <c r="GW49" s="142"/>
      <c r="GX49" s="142"/>
      <c r="GY49" s="142"/>
      <c r="GZ49" s="142"/>
      <c r="HA49" s="142"/>
      <c r="HB49" s="142"/>
      <c r="HC49" s="142"/>
      <c r="HD49" s="142"/>
      <c r="HE49" s="142"/>
      <c r="HF49" s="142"/>
      <c r="HG49" s="142"/>
      <c r="HH49" s="142"/>
      <c r="HI49" s="142"/>
      <c r="HJ49" s="142"/>
      <c r="HK49" s="142"/>
      <c r="HL49" s="142"/>
      <c r="HM49" s="142"/>
      <c r="HN49" s="142"/>
      <c r="HO49" s="142"/>
      <c r="HP49" s="142"/>
      <c r="HQ49" s="142"/>
      <c r="HR49" s="142"/>
      <c r="HS49" s="142"/>
      <c r="HT49" s="142"/>
      <c r="HU49" s="142"/>
      <c r="HV49" s="142"/>
      <c r="HW49" s="142"/>
      <c r="HX49" s="142"/>
      <c r="HY49" s="142"/>
      <c r="HZ49" s="142"/>
      <c r="IA49" s="142"/>
      <c r="IB49" s="142"/>
      <c r="IC49" s="142"/>
      <c r="ID49" s="142"/>
      <c r="IE49" s="142"/>
      <c r="IF49" s="142"/>
      <c r="IG49" s="142"/>
      <c r="IH49" s="142"/>
      <c r="II49" s="142"/>
      <c r="IJ49" s="142"/>
      <c r="IK49" s="142"/>
      <c r="IL49" s="142"/>
      <c r="IM49" s="142"/>
      <c r="IN49" s="142"/>
      <c r="IO49" s="142"/>
      <c r="IP49" s="142"/>
      <c r="IQ49" s="142"/>
      <c r="IR49" s="142"/>
      <c r="IS49" s="142"/>
      <c r="IT49" s="142"/>
      <c r="IU49" s="142"/>
      <c r="IV49" s="142"/>
    </row>
    <row r="50" spans="1:256" s="216" customFormat="1" ht="46.5" customHeight="1" x14ac:dyDescent="0.35">
      <c r="A50" s="228">
        <v>42</v>
      </c>
      <c r="B50" s="730"/>
      <c r="C50" s="679">
        <v>16</v>
      </c>
      <c r="D50" s="343" t="s">
        <v>546</v>
      </c>
      <c r="E50" s="665">
        <f>F50+G50+O52+P51+329+3000</f>
        <v>26510</v>
      </c>
      <c r="F50" s="289"/>
      <c r="G50" s="734">
        <v>3451</v>
      </c>
      <c r="H50" s="733" t="s">
        <v>24</v>
      </c>
      <c r="I50" s="680"/>
      <c r="J50" s="680"/>
      <c r="K50" s="680"/>
      <c r="L50" s="680"/>
      <c r="M50" s="680"/>
      <c r="N50" s="732"/>
      <c r="O50" s="287"/>
      <c r="P50" s="284"/>
      <c r="Q50" s="142"/>
      <c r="R50" s="142"/>
      <c r="S50" s="142"/>
      <c r="T50" s="142"/>
      <c r="U50" s="142"/>
      <c r="V50" s="142"/>
      <c r="W50" s="142"/>
      <c r="X50" s="142"/>
      <c r="Y50" s="142"/>
      <c r="Z50" s="142"/>
      <c r="AA50" s="142"/>
      <c r="AB50" s="142"/>
      <c r="AC50" s="142"/>
      <c r="AD50" s="142"/>
      <c r="AE50" s="142"/>
      <c r="AF50" s="142"/>
      <c r="AG50" s="142"/>
      <c r="AH50" s="142"/>
      <c r="AI50" s="142"/>
      <c r="AJ50" s="142"/>
      <c r="AK50" s="142"/>
      <c r="AL50" s="142"/>
      <c r="AM50" s="142"/>
      <c r="AN50" s="142"/>
      <c r="AO50" s="142"/>
      <c r="AP50" s="142"/>
      <c r="AQ50" s="142"/>
      <c r="AR50" s="142"/>
      <c r="AS50" s="142"/>
      <c r="AT50" s="142"/>
      <c r="AU50" s="142"/>
      <c r="AV50" s="142"/>
      <c r="AW50" s="142"/>
      <c r="AX50" s="142"/>
      <c r="AY50" s="142"/>
      <c r="AZ50" s="142"/>
      <c r="BA50" s="142"/>
      <c r="BB50" s="142"/>
      <c r="BC50" s="142"/>
      <c r="BD50" s="142"/>
      <c r="BE50" s="142"/>
      <c r="BF50" s="142"/>
      <c r="BG50" s="142"/>
      <c r="BH50" s="142"/>
      <c r="BI50" s="142"/>
      <c r="BJ50" s="142"/>
      <c r="BK50" s="142"/>
      <c r="BL50" s="142"/>
      <c r="BM50" s="142"/>
      <c r="BN50" s="142"/>
      <c r="BO50" s="142"/>
      <c r="BP50" s="142"/>
      <c r="BQ50" s="142"/>
      <c r="BR50" s="142"/>
      <c r="BS50" s="142"/>
      <c r="BT50" s="142"/>
      <c r="BU50" s="142"/>
      <c r="BV50" s="142"/>
      <c r="BW50" s="142"/>
      <c r="BX50" s="142"/>
      <c r="BY50" s="142"/>
      <c r="BZ50" s="142"/>
      <c r="CA50" s="142"/>
      <c r="CB50" s="142"/>
      <c r="CC50" s="142"/>
      <c r="CD50" s="142"/>
      <c r="CE50" s="142"/>
      <c r="CF50" s="142"/>
      <c r="CG50" s="142"/>
      <c r="CH50" s="142"/>
      <c r="CI50" s="142"/>
      <c r="CJ50" s="142"/>
      <c r="CK50" s="142"/>
      <c r="CL50" s="142"/>
      <c r="CM50" s="142"/>
      <c r="CN50" s="142"/>
      <c r="CO50" s="142"/>
      <c r="CP50" s="142"/>
      <c r="CQ50" s="142"/>
      <c r="CR50" s="142"/>
      <c r="CS50" s="142"/>
      <c r="CT50" s="142"/>
      <c r="CU50" s="142"/>
      <c r="CV50" s="142"/>
      <c r="CW50" s="142"/>
      <c r="CX50" s="142"/>
      <c r="CY50" s="142"/>
      <c r="CZ50" s="142"/>
      <c r="DA50" s="142"/>
      <c r="DB50" s="142"/>
      <c r="DC50" s="142"/>
      <c r="DD50" s="142"/>
      <c r="DE50" s="142"/>
      <c r="DF50" s="142"/>
      <c r="DG50" s="142"/>
      <c r="DH50" s="142"/>
      <c r="DI50" s="142"/>
      <c r="DJ50" s="142"/>
      <c r="DK50" s="142"/>
      <c r="DL50" s="142"/>
      <c r="DM50" s="142"/>
      <c r="DN50" s="142"/>
      <c r="DO50" s="142"/>
      <c r="DP50" s="142"/>
      <c r="DQ50" s="142"/>
      <c r="DR50" s="142"/>
      <c r="DS50" s="142"/>
      <c r="DT50" s="142"/>
      <c r="DU50" s="142"/>
      <c r="DV50" s="142"/>
      <c r="DW50" s="142"/>
      <c r="DX50" s="142"/>
      <c r="DY50" s="142"/>
      <c r="DZ50" s="142"/>
      <c r="EA50" s="142"/>
      <c r="EB50" s="142"/>
      <c r="EC50" s="142"/>
      <c r="ED50" s="142"/>
      <c r="EE50" s="142"/>
      <c r="EF50" s="142"/>
      <c r="EG50" s="142"/>
      <c r="EH50" s="142"/>
      <c r="EI50" s="142"/>
      <c r="EJ50" s="142"/>
      <c r="EK50" s="142"/>
      <c r="EL50" s="142"/>
      <c r="EM50" s="142"/>
      <c r="EN50" s="142"/>
      <c r="EO50" s="142"/>
      <c r="EP50" s="142"/>
      <c r="EQ50" s="142"/>
      <c r="ER50" s="142"/>
      <c r="ES50" s="142"/>
      <c r="ET50" s="142"/>
      <c r="EU50" s="142"/>
      <c r="EV50" s="142"/>
      <c r="EW50" s="142"/>
      <c r="EX50" s="142"/>
      <c r="EY50" s="142"/>
      <c r="EZ50" s="142"/>
      <c r="FA50" s="142"/>
      <c r="FB50" s="142"/>
      <c r="FC50" s="142"/>
      <c r="FD50" s="142"/>
      <c r="FE50" s="142"/>
      <c r="FF50" s="142"/>
      <c r="FG50" s="142"/>
      <c r="FH50" s="142"/>
      <c r="FI50" s="142"/>
      <c r="FJ50" s="142"/>
      <c r="FK50" s="142"/>
      <c r="FL50" s="142"/>
      <c r="FM50" s="142"/>
      <c r="FN50" s="142"/>
      <c r="FO50" s="142"/>
      <c r="FP50" s="142"/>
      <c r="FQ50" s="142"/>
      <c r="FR50" s="142"/>
      <c r="FS50" s="142"/>
      <c r="FT50" s="142"/>
      <c r="FU50" s="142"/>
      <c r="FV50" s="142"/>
      <c r="FW50" s="142"/>
      <c r="FX50" s="142"/>
      <c r="FY50" s="142"/>
      <c r="FZ50" s="142"/>
      <c r="GA50" s="142"/>
      <c r="GB50" s="142"/>
      <c r="GC50" s="142"/>
      <c r="GD50" s="142"/>
      <c r="GE50" s="142"/>
      <c r="GF50" s="142"/>
      <c r="GG50" s="142"/>
      <c r="GH50" s="142"/>
      <c r="GI50" s="142"/>
      <c r="GJ50" s="142"/>
      <c r="GK50" s="142"/>
      <c r="GL50" s="142"/>
      <c r="GM50" s="142"/>
      <c r="GN50" s="142"/>
      <c r="GO50" s="142"/>
      <c r="GP50" s="142"/>
      <c r="GQ50" s="142"/>
      <c r="GR50" s="142"/>
      <c r="GS50" s="142"/>
      <c r="GT50" s="142"/>
      <c r="GU50" s="142"/>
      <c r="GV50" s="142"/>
      <c r="GW50" s="142"/>
      <c r="GX50" s="142"/>
      <c r="GY50" s="142"/>
      <c r="GZ50" s="142"/>
      <c r="HA50" s="142"/>
      <c r="HB50" s="142"/>
      <c r="HC50" s="142"/>
      <c r="HD50" s="142"/>
      <c r="HE50" s="142"/>
      <c r="HF50" s="142"/>
      <c r="HG50" s="142"/>
      <c r="HH50" s="142"/>
      <c r="HI50" s="142"/>
      <c r="HJ50" s="142"/>
      <c r="HK50" s="142"/>
      <c r="HL50" s="142"/>
      <c r="HM50" s="142"/>
      <c r="HN50" s="142"/>
      <c r="HO50" s="142"/>
      <c r="HP50" s="142"/>
      <c r="HQ50" s="142"/>
      <c r="HR50" s="142"/>
      <c r="HS50" s="142"/>
      <c r="HT50" s="142"/>
      <c r="HU50" s="142"/>
      <c r="HV50" s="142"/>
      <c r="HW50" s="142"/>
      <c r="HX50" s="142"/>
      <c r="HY50" s="142"/>
      <c r="HZ50" s="142"/>
      <c r="IA50" s="142"/>
      <c r="IB50" s="142"/>
      <c r="IC50" s="142"/>
      <c r="ID50" s="142"/>
      <c r="IE50" s="142"/>
      <c r="IF50" s="142"/>
      <c r="IG50" s="142"/>
      <c r="IH50" s="142"/>
      <c r="II50" s="142"/>
      <c r="IJ50" s="142"/>
      <c r="IK50" s="142"/>
      <c r="IL50" s="142"/>
      <c r="IM50" s="142"/>
      <c r="IN50" s="142"/>
      <c r="IO50" s="142"/>
      <c r="IP50" s="142"/>
      <c r="IQ50" s="142"/>
      <c r="IR50" s="142"/>
      <c r="IS50" s="142"/>
      <c r="IT50" s="142"/>
      <c r="IU50" s="142"/>
      <c r="IV50" s="142"/>
    </row>
    <row r="51" spans="1:256" s="216" customFormat="1" ht="18" customHeight="1" x14ac:dyDescent="0.35">
      <c r="A51" s="228">
        <v>43</v>
      </c>
      <c r="B51" s="730"/>
      <c r="C51" s="679"/>
      <c r="D51" s="288" t="s">
        <v>252</v>
      </c>
      <c r="E51" s="289"/>
      <c r="F51" s="289"/>
      <c r="G51" s="731"/>
      <c r="H51" s="291"/>
      <c r="I51" s="680"/>
      <c r="J51" s="680"/>
      <c r="K51" s="680">
        <v>10480</v>
      </c>
      <c r="L51" s="680"/>
      <c r="M51" s="680"/>
      <c r="N51" s="732"/>
      <c r="O51" s="287">
        <f>SUM(I51:N51)</f>
        <v>10480</v>
      </c>
      <c r="P51" s="735">
        <v>11950</v>
      </c>
      <c r="Q51" s="142"/>
      <c r="R51" s="142"/>
      <c r="S51" s="142"/>
      <c r="T51" s="142"/>
      <c r="U51" s="142"/>
      <c r="V51" s="142"/>
      <c r="W51" s="142"/>
      <c r="X51" s="142"/>
      <c r="Y51" s="142"/>
      <c r="Z51" s="142"/>
      <c r="AA51" s="142"/>
      <c r="AB51" s="142"/>
      <c r="AC51" s="142"/>
      <c r="AD51" s="142"/>
      <c r="AE51" s="142"/>
      <c r="AF51" s="142"/>
      <c r="AG51" s="142"/>
      <c r="AH51" s="142"/>
      <c r="AI51" s="142"/>
      <c r="AJ51" s="142"/>
      <c r="AK51" s="142"/>
      <c r="AL51" s="142"/>
      <c r="AM51" s="142"/>
      <c r="AN51" s="142"/>
      <c r="AO51" s="142"/>
      <c r="AP51" s="142"/>
      <c r="AQ51" s="142"/>
      <c r="AR51" s="142"/>
      <c r="AS51" s="142"/>
      <c r="AT51" s="142"/>
      <c r="AU51" s="142"/>
      <c r="AV51" s="142"/>
      <c r="AW51" s="142"/>
      <c r="AX51" s="142"/>
      <c r="AY51" s="142"/>
      <c r="AZ51" s="142"/>
      <c r="BA51" s="142"/>
      <c r="BB51" s="142"/>
      <c r="BC51" s="142"/>
      <c r="BD51" s="142"/>
      <c r="BE51" s="142"/>
      <c r="BF51" s="142"/>
      <c r="BG51" s="142"/>
      <c r="BH51" s="142"/>
      <c r="BI51" s="142"/>
      <c r="BJ51" s="142"/>
      <c r="BK51" s="142"/>
      <c r="BL51" s="142"/>
      <c r="BM51" s="142"/>
      <c r="BN51" s="142"/>
      <c r="BO51" s="142"/>
      <c r="BP51" s="142"/>
      <c r="BQ51" s="142"/>
      <c r="BR51" s="142"/>
      <c r="BS51" s="142"/>
      <c r="BT51" s="142"/>
      <c r="BU51" s="142"/>
      <c r="BV51" s="142"/>
      <c r="BW51" s="142"/>
      <c r="BX51" s="142"/>
      <c r="BY51" s="142"/>
      <c r="BZ51" s="142"/>
      <c r="CA51" s="142"/>
      <c r="CB51" s="142"/>
      <c r="CC51" s="142"/>
      <c r="CD51" s="142"/>
      <c r="CE51" s="142"/>
      <c r="CF51" s="142"/>
      <c r="CG51" s="142"/>
      <c r="CH51" s="142"/>
      <c r="CI51" s="142"/>
      <c r="CJ51" s="142"/>
      <c r="CK51" s="142"/>
      <c r="CL51" s="142"/>
      <c r="CM51" s="142"/>
      <c r="CN51" s="142"/>
      <c r="CO51" s="142"/>
      <c r="CP51" s="142"/>
      <c r="CQ51" s="142"/>
      <c r="CR51" s="142"/>
      <c r="CS51" s="142"/>
      <c r="CT51" s="142"/>
      <c r="CU51" s="142"/>
      <c r="CV51" s="142"/>
      <c r="CW51" s="142"/>
      <c r="CX51" s="142"/>
      <c r="CY51" s="142"/>
      <c r="CZ51" s="142"/>
      <c r="DA51" s="142"/>
      <c r="DB51" s="142"/>
      <c r="DC51" s="142"/>
      <c r="DD51" s="142"/>
      <c r="DE51" s="142"/>
      <c r="DF51" s="142"/>
      <c r="DG51" s="142"/>
      <c r="DH51" s="142"/>
      <c r="DI51" s="142"/>
      <c r="DJ51" s="142"/>
      <c r="DK51" s="142"/>
      <c r="DL51" s="142"/>
      <c r="DM51" s="142"/>
      <c r="DN51" s="142"/>
      <c r="DO51" s="142"/>
      <c r="DP51" s="142"/>
      <c r="DQ51" s="142"/>
      <c r="DR51" s="142"/>
      <c r="DS51" s="142"/>
      <c r="DT51" s="142"/>
      <c r="DU51" s="142"/>
      <c r="DV51" s="142"/>
      <c r="DW51" s="142"/>
      <c r="DX51" s="142"/>
      <c r="DY51" s="142"/>
      <c r="DZ51" s="142"/>
      <c r="EA51" s="142"/>
      <c r="EB51" s="142"/>
      <c r="EC51" s="142"/>
      <c r="ED51" s="142"/>
      <c r="EE51" s="142"/>
      <c r="EF51" s="142"/>
      <c r="EG51" s="142"/>
      <c r="EH51" s="142"/>
      <c r="EI51" s="142"/>
      <c r="EJ51" s="142"/>
      <c r="EK51" s="142"/>
      <c r="EL51" s="142"/>
      <c r="EM51" s="142"/>
      <c r="EN51" s="142"/>
      <c r="EO51" s="142"/>
      <c r="EP51" s="142"/>
      <c r="EQ51" s="142"/>
      <c r="ER51" s="142"/>
      <c r="ES51" s="142"/>
      <c r="ET51" s="142"/>
      <c r="EU51" s="142"/>
      <c r="EV51" s="142"/>
      <c r="EW51" s="142"/>
      <c r="EX51" s="142"/>
      <c r="EY51" s="142"/>
      <c r="EZ51" s="142"/>
      <c r="FA51" s="142"/>
      <c r="FB51" s="142"/>
      <c r="FC51" s="142"/>
      <c r="FD51" s="142"/>
      <c r="FE51" s="142"/>
      <c r="FF51" s="142"/>
      <c r="FG51" s="142"/>
      <c r="FH51" s="142"/>
      <c r="FI51" s="142"/>
      <c r="FJ51" s="142"/>
      <c r="FK51" s="142"/>
      <c r="FL51" s="142"/>
      <c r="FM51" s="142"/>
      <c r="FN51" s="142"/>
      <c r="FO51" s="142"/>
      <c r="FP51" s="142"/>
      <c r="FQ51" s="142"/>
      <c r="FR51" s="142"/>
      <c r="FS51" s="142"/>
      <c r="FT51" s="142"/>
      <c r="FU51" s="142"/>
      <c r="FV51" s="142"/>
      <c r="FW51" s="142"/>
      <c r="FX51" s="142"/>
      <c r="FY51" s="142"/>
      <c r="FZ51" s="142"/>
      <c r="GA51" s="142"/>
      <c r="GB51" s="142"/>
      <c r="GC51" s="142"/>
      <c r="GD51" s="142"/>
      <c r="GE51" s="142"/>
      <c r="GF51" s="142"/>
      <c r="GG51" s="142"/>
      <c r="GH51" s="142"/>
      <c r="GI51" s="142"/>
      <c r="GJ51" s="142"/>
      <c r="GK51" s="142"/>
      <c r="GL51" s="142"/>
      <c r="GM51" s="142"/>
      <c r="GN51" s="142"/>
      <c r="GO51" s="142"/>
      <c r="GP51" s="142"/>
      <c r="GQ51" s="142"/>
      <c r="GR51" s="142"/>
      <c r="GS51" s="142"/>
      <c r="GT51" s="142"/>
      <c r="GU51" s="142"/>
      <c r="GV51" s="142"/>
      <c r="GW51" s="142"/>
      <c r="GX51" s="142"/>
      <c r="GY51" s="142"/>
      <c r="GZ51" s="142"/>
      <c r="HA51" s="142"/>
      <c r="HB51" s="142"/>
      <c r="HC51" s="142"/>
      <c r="HD51" s="142"/>
      <c r="HE51" s="142"/>
      <c r="HF51" s="142"/>
      <c r="HG51" s="142"/>
      <c r="HH51" s="142"/>
      <c r="HI51" s="142"/>
      <c r="HJ51" s="142"/>
      <c r="HK51" s="142"/>
      <c r="HL51" s="142"/>
      <c r="HM51" s="142"/>
      <c r="HN51" s="142"/>
      <c r="HO51" s="142"/>
      <c r="HP51" s="142"/>
      <c r="HQ51" s="142"/>
      <c r="HR51" s="142"/>
      <c r="HS51" s="142"/>
      <c r="HT51" s="142"/>
      <c r="HU51" s="142"/>
      <c r="HV51" s="142"/>
      <c r="HW51" s="142"/>
      <c r="HX51" s="142"/>
      <c r="HY51" s="142"/>
      <c r="HZ51" s="142"/>
      <c r="IA51" s="142"/>
      <c r="IB51" s="142"/>
      <c r="IC51" s="142"/>
      <c r="ID51" s="142"/>
      <c r="IE51" s="142"/>
      <c r="IF51" s="142"/>
      <c r="IG51" s="142"/>
      <c r="IH51" s="142"/>
      <c r="II51" s="142"/>
      <c r="IJ51" s="142"/>
      <c r="IK51" s="142"/>
      <c r="IL51" s="142"/>
      <c r="IM51" s="142"/>
      <c r="IN51" s="142"/>
      <c r="IO51" s="142"/>
      <c r="IP51" s="142"/>
      <c r="IQ51" s="142"/>
      <c r="IR51" s="142"/>
      <c r="IS51" s="142"/>
      <c r="IT51" s="142"/>
      <c r="IU51" s="142"/>
      <c r="IV51" s="142"/>
    </row>
    <row r="52" spans="1:256" s="216" customFormat="1" ht="18" customHeight="1" x14ac:dyDescent="0.35">
      <c r="A52" s="228">
        <v>44</v>
      </c>
      <c r="B52" s="730"/>
      <c r="C52" s="679"/>
      <c r="D52" s="923" t="s">
        <v>921</v>
      </c>
      <c r="E52" s="289"/>
      <c r="F52" s="289"/>
      <c r="G52" s="731"/>
      <c r="H52" s="291"/>
      <c r="I52" s="950">
        <v>400</v>
      </c>
      <c r="J52" s="950">
        <v>52</v>
      </c>
      <c r="K52" s="950">
        <v>7328</v>
      </c>
      <c r="L52" s="950"/>
      <c r="M52" s="950"/>
      <c r="N52" s="1420"/>
      <c r="O52" s="1182">
        <f>SUM(I52:N52)</f>
        <v>7780</v>
      </c>
      <c r="P52" s="934"/>
      <c r="Q52" s="142"/>
      <c r="R52" s="142"/>
      <c r="S52" s="142"/>
      <c r="T52" s="142"/>
      <c r="U52" s="142"/>
      <c r="V52" s="142"/>
      <c r="W52" s="142"/>
      <c r="X52" s="142"/>
      <c r="Y52" s="142"/>
      <c r="Z52" s="142"/>
      <c r="AA52" s="142"/>
      <c r="AB52" s="142"/>
      <c r="AC52" s="142"/>
      <c r="AD52" s="142"/>
      <c r="AE52" s="142"/>
      <c r="AF52" s="142"/>
      <c r="AG52" s="142"/>
      <c r="AH52" s="142"/>
      <c r="AI52" s="142"/>
      <c r="AJ52" s="142"/>
      <c r="AK52" s="142"/>
      <c r="AL52" s="142"/>
      <c r="AM52" s="142"/>
      <c r="AN52" s="142"/>
      <c r="AO52" s="142"/>
      <c r="AP52" s="142"/>
      <c r="AQ52" s="142"/>
      <c r="AR52" s="142"/>
      <c r="AS52" s="142"/>
      <c r="AT52" s="142"/>
      <c r="AU52" s="142"/>
      <c r="AV52" s="142"/>
      <c r="AW52" s="142"/>
      <c r="AX52" s="142"/>
      <c r="AY52" s="142"/>
      <c r="AZ52" s="142"/>
      <c r="BA52" s="142"/>
      <c r="BB52" s="142"/>
      <c r="BC52" s="142"/>
      <c r="BD52" s="142"/>
      <c r="BE52" s="142"/>
      <c r="BF52" s="142"/>
      <c r="BG52" s="142"/>
      <c r="BH52" s="142"/>
      <c r="BI52" s="142"/>
      <c r="BJ52" s="142"/>
      <c r="BK52" s="142"/>
      <c r="BL52" s="142"/>
      <c r="BM52" s="142"/>
      <c r="BN52" s="142"/>
      <c r="BO52" s="142"/>
      <c r="BP52" s="142"/>
      <c r="BQ52" s="142"/>
      <c r="BR52" s="142"/>
      <c r="BS52" s="142"/>
      <c r="BT52" s="142"/>
      <c r="BU52" s="142"/>
      <c r="BV52" s="142"/>
      <c r="BW52" s="142"/>
      <c r="BX52" s="142"/>
      <c r="BY52" s="142"/>
      <c r="BZ52" s="142"/>
      <c r="CA52" s="142"/>
      <c r="CB52" s="142"/>
      <c r="CC52" s="142"/>
      <c r="CD52" s="142"/>
      <c r="CE52" s="142"/>
      <c r="CF52" s="142"/>
      <c r="CG52" s="142"/>
      <c r="CH52" s="142"/>
      <c r="CI52" s="142"/>
      <c r="CJ52" s="142"/>
      <c r="CK52" s="142"/>
      <c r="CL52" s="142"/>
      <c r="CM52" s="142"/>
      <c r="CN52" s="142"/>
      <c r="CO52" s="142"/>
      <c r="CP52" s="142"/>
      <c r="CQ52" s="142"/>
      <c r="CR52" s="142"/>
      <c r="CS52" s="142"/>
      <c r="CT52" s="142"/>
      <c r="CU52" s="142"/>
      <c r="CV52" s="142"/>
      <c r="CW52" s="142"/>
      <c r="CX52" s="142"/>
      <c r="CY52" s="142"/>
      <c r="CZ52" s="142"/>
      <c r="DA52" s="142"/>
      <c r="DB52" s="142"/>
      <c r="DC52" s="142"/>
      <c r="DD52" s="142"/>
      <c r="DE52" s="142"/>
      <c r="DF52" s="142"/>
      <c r="DG52" s="142"/>
      <c r="DH52" s="142"/>
      <c r="DI52" s="142"/>
      <c r="DJ52" s="142"/>
      <c r="DK52" s="142"/>
      <c r="DL52" s="142"/>
      <c r="DM52" s="142"/>
      <c r="DN52" s="142"/>
      <c r="DO52" s="142"/>
      <c r="DP52" s="142"/>
      <c r="DQ52" s="142"/>
      <c r="DR52" s="142"/>
      <c r="DS52" s="142"/>
      <c r="DT52" s="142"/>
      <c r="DU52" s="142"/>
      <c r="DV52" s="142"/>
      <c r="DW52" s="142"/>
      <c r="DX52" s="142"/>
      <c r="DY52" s="142"/>
      <c r="DZ52" s="142"/>
      <c r="EA52" s="142"/>
      <c r="EB52" s="142"/>
      <c r="EC52" s="142"/>
      <c r="ED52" s="142"/>
      <c r="EE52" s="142"/>
      <c r="EF52" s="142"/>
      <c r="EG52" s="142"/>
      <c r="EH52" s="142"/>
      <c r="EI52" s="142"/>
      <c r="EJ52" s="142"/>
      <c r="EK52" s="142"/>
      <c r="EL52" s="142"/>
      <c r="EM52" s="142"/>
      <c r="EN52" s="142"/>
      <c r="EO52" s="142"/>
      <c r="EP52" s="142"/>
      <c r="EQ52" s="142"/>
      <c r="ER52" s="142"/>
      <c r="ES52" s="142"/>
      <c r="ET52" s="142"/>
      <c r="EU52" s="142"/>
      <c r="EV52" s="142"/>
      <c r="EW52" s="142"/>
      <c r="EX52" s="142"/>
      <c r="EY52" s="142"/>
      <c r="EZ52" s="142"/>
      <c r="FA52" s="142"/>
      <c r="FB52" s="142"/>
      <c r="FC52" s="142"/>
      <c r="FD52" s="142"/>
      <c r="FE52" s="142"/>
      <c r="FF52" s="142"/>
      <c r="FG52" s="142"/>
      <c r="FH52" s="142"/>
      <c r="FI52" s="142"/>
      <c r="FJ52" s="142"/>
      <c r="FK52" s="142"/>
      <c r="FL52" s="142"/>
      <c r="FM52" s="142"/>
      <c r="FN52" s="142"/>
      <c r="FO52" s="142"/>
      <c r="FP52" s="142"/>
      <c r="FQ52" s="142"/>
      <c r="FR52" s="142"/>
      <c r="FS52" s="142"/>
      <c r="FT52" s="142"/>
      <c r="FU52" s="142"/>
      <c r="FV52" s="142"/>
      <c r="FW52" s="142"/>
      <c r="FX52" s="142"/>
      <c r="FY52" s="142"/>
      <c r="FZ52" s="142"/>
      <c r="GA52" s="142"/>
      <c r="GB52" s="142"/>
      <c r="GC52" s="142"/>
      <c r="GD52" s="142"/>
      <c r="GE52" s="142"/>
      <c r="GF52" s="142"/>
      <c r="GG52" s="142"/>
      <c r="GH52" s="142"/>
      <c r="GI52" s="142"/>
      <c r="GJ52" s="142"/>
      <c r="GK52" s="142"/>
      <c r="GL52" s="142"/>
      <c r="GM52" s="142"/>
      <c r="GN52" s="142"/>
      <c r="GO52" s="142"/>
      <c r="GP52" s="142"/>
      <c r="GQ52" s="142"/>
      <c r="GR52" s="142"/>
      <c r="GS52" s="142"/>
      <c r="GT52" s="142"/>
      <c r="GU52" s="142"/>
      <c r="GV52" s="142"/>
      <c r="GW52" s="142"/>
      <c r="GX52" s="142"/>
      <c r="GY52" s="142"/>
      <c r="GZ52" s="142"/>
      <c r="HA52" s="142"/>
      <c r="HB52" s="142"/>
      <c r="HC52" s="142"/>
      <c r="HD52" s="142"/>
      <c r="HE52" s="142"/>
      <c r="HF52" s="142"/>
      <c r="HG52" s="142"/>
      <c r="HH52" s="142"/>
      <c r="HI52" s="142"/>
      <c r="HJ52" s="142"/>
      <c r="HK52" s="142"/>
      <c r="HL52" s="142"/>
      <c r="HM52" s="142"/>
      <c r="HN52" s="142"/>
      <c r="HO52" s="142"/>
      <c r="HP52" s="142"/>
      <c r="HQ52" s="142"/>
      <c r="HR52" s="142"/>
      <c r="HS52" s="142"/>
      <c r="HT52" s="142"/>
      <c r="HU52" s="142"/>
      <c r="HV52" s="142"/>
      <c r="HW52" s="142"/>
      <c r="HX52" s="142"/>
      <c r="HY52" s="142"/>
      <c r="HZ52" s="142"/>
      <c r="IA52" s="142"/>
      <c r="IB52" s="142"/>
      <c r="IC52" s="142"/>
      <c r="ID52" s="142"/>
      <c r="IE52" s="142"/>
      <c r="IF52" s="142"/>
      <c r="IG52" s="142"/>
      <c r="IH52" s="142"/>
      <c r="II52" s="142"/>
      <c r="IJ52" s="142"/>
      <c r="IK52" s="142"/>
      <c r="IL52" s="142"/>
      <c r="IM52" s="142"/>
      <c r="IN52" s="142"/>
      <c r="IO52" s="142"/>
      <c r="IP52" s="142"/>
      <c r="IQ52" s="142"/>
      <c r="IR52" s="142"/>
      <c r="IS52" s="142"/>
      <c r="IT52" s="142"/>
      <c r="IU52" s="142"/>
      <c r="IV52" s="142"/>
    </row>
    <row r="53" spans="1:256" s="216" customFormat="1" ht="18" customHeight="1" x14ac:dyDescent="0.35">
      <c r="A53" s="228">
        <v>45</v>
      </c>
      <c r="B53" s="730"/>
      <c r="C53" s="679"/>
      <c r="D53" s="920" t="s">
        <v>972</v>
      </c>
      <c r="E53" s="289"/>
      <c r="F53" s="289"/>
      <c r="G53" s="731"/>
      <c r="H53" s="291"/>
      <c r="I53" s="1753">
        <v>61</v>
      </c>
      <c r="J53" s="1753">
        <v>25</v>
      </c>
      <c r="K53" s="1753">
        <v>3658</v>
      </c>
      <c r="L53" s="680"/>
      <c r="M53" s="680"/>
      <c r="N53" s="732"/>
      <c r="O53" s="922">
        <f>SUM(I53:N53)</f>
        <v>3744</v>
      </c>
      <c r="P53" s="934"/>
      <c r="Q53" s="142"/>
      <c r="R53" s="142"/>
      <c r="S53" s="142"/>
      <c r="T53" s="142"/>
      <c r="U53" s="142"/>
      <c r="V53" s="142"/>
      <c r="W53" s="142"/>
      <c r="X53" s="142"/>
      <c r="Y53" s="142"/>
      <c r="Z53" s="142"/>
      <c r="AA53" s="142"/>
      <c r="AB53" s="142"/>
      <c r="AC53" s="142"/>
      <c r="AD53" s="142"/>
      <c r="AE53" s="142"/>
      <c r="AF53" s="142"/>
      <c r="AG53" s="142"/>
      <c r="AH53" s="142"/>
      <c r="AI53" s="142"/>
      <c r="AJ53" s="142"/>
      <c r="AK53" s="142"/>
      <c r="AL53" s="142"/>
      <c r="AM53" s="142"/>
      <c r="AN53" s="142"/>
      <c r="AO53" s="142"/>
      <c r="AP53" s="142"/>
      <c r="AQ53" s="142"/>
      <c r="AR53" s="142"/>
      <c r="AS53" s="142"/>
      <c r="AT53" s="142"/>
      <c r="AU53" s="142"/>
      <c r="AV53" s="142"/>
      <c r="AW53" s="142"/>
      <c r="AX53" s="142"/>
      <c r="AY53" s="142"/>
      <c r="AZ53" s="142"/>
      <c r="BA53" s="142"/>
      <c r="BB53" s="142"/>
      <c r="BC53" s="142"/>
      <c r="BD53" s="142"/>
      <c r="BE53" s="142"/>
      <c r="BF53" s="142"/>
      <c r="BG53" s="142"/>
      <c r="BH53" s="142"/>
      <c r="BI53" s="142"/>
      <c r="BJ53" s="142"/>
      <c r="BK53" s="142"/>
      <c r="BL53" s="142"/>
      <c r="BM53" s="142"/>
      <c r="BN53" s="142"/>
      <c r="BO53" s="142"/>
      <c r="BP53" s="142"/>
      <c r="BQ53" s="142"/>
      <c r="BR53" s="142"/>
      <c r="BS53" s="142"/>
      <c r="BT53" s="142"/>
      <c r="BU53" s="142"/>
      <c r="BV53" s="142"/>
      <c r="BW53" s="142"/>
      <c r="BX53" s="142"/>
      <c r="BY53" s="142"/>
      <c r="BZ53" s="142"/>
      <c r="CA53" s="142"/>
      <c r="CB53" s="142"/>
      <c r="CC53" s="142"/>
      <c r="CD53" s="142"/>
      <c r="CE53" s="142"/>
      <c r="CF53" s="142"/>
      <c r="CG53" s="142"/>
      <c r="CH53" s="142"/>
      <c r="CI53" s="142"/>
      <c r="CJ53" s="142"/>
      <c r="CK53" s="142"/>
      <c r="CL53" s="142"/>
      <c r="CM53" s="142"/>
      <c r="CN53" s="142"/>
      <c r="CO53" s="142"/>
      <c r="CP53" s="142"/>
      <c r="CQ53" s="142"/>
      <c r="CR53" s="142"/>
      <c r="CS53" s="142"/>
      <c r="CT53" s="142"/>
      <c r="CU53" s="142"/>
      <c r="CV53" s="142"/>
      <c r="CW53" s="142"/>
      <c r="CX53" s="142"/>
      <c r="CY53" s="142"/>
      <c r="CZ53" s="142"/>
      <c r="DA53" s="142"/>
      <c r="DB53" s="142"/>
      <c r="DC53" s="142"/>
      <c r="DD53" s="142"/>
      <c r="DE53" s="142"/>
      <c r="DF53" s="142"/>
      <c r="DG53" s="142"/>
      <c r="DH53" s="142"/>
      <c r="DI53" s="142"/>
      <c r="DJ53" s="142"/>
      <c r="DK53" s="142"/>
      <c r="DL53" s="142"/>
      <c r="DM53" s="142"/>
      <c r="DN53" s="142"/>
      <c r="DO53" s="142"/>
      <c r="DP53" s="142"/>
      <c r="DQ53" s="142"/>
      <c r="DR53" s="142"/>
      <c r="DS53" s="142"/>
      <c r="DT53" s="142"/>
      <c r="DU53" s="142"/>
      <c r="DV53" s="142"/>
      <c r="DW53" s="142"/>
      <c r="DX53" s="142"/>
      <c r="DY53" s="142"/>
      <c r="DZ53" s="142"/>
      <c r="EA53" s="142"/>
      <c r="EB53" s="142"/>
      <c r="EC53" s="142"/>
      <c r="ED53" s="142"/>
      <c r="EE53" s="142"/>
      <c r="EF53" s="142"/>
      <c r="EG53" s="142"/>
      <c r="EH53" s="142"/>
      <c r="EI53" s="142"/>
      <c r="EJ53" s="142"/>
      <c r="EK53" s="142"/>
      <c r="EL53" s="142"/>
      <c r="EM53" s="142"/>
      <c r="EN53" s="142"/>
      <c r="EO53" s="142"/>
      <c r="EP53" s="142"/>
      <c r="EQ53" s="142"/>
      <c r="ER53" s="142"/>
      <c r="ES53" s="142"/>
      <c r="ET53" s="142"/>
      <c r="EU53" s="142"/>
      <c r="EV53" s="142"/>
      <c r="EW53" s="142"/>
      <c r="EX53" s="142"/>
      <c r="EY53" s="142"/>
      <c r="EZ53" s="142"/>
      <c r="FA53" s="142"/>
      <c r="FB53" s="142"/>
      <c r="FC53" s="142"/>
      <c r="FD53" s="142"/>
      <c r="FE53" s="142"/>
      <c r="FF53" s="142"/>
      <c r="FG53" s="142"/>
      <c r="FH53" s="142"/>
      <c r="FI53" s="142"/>
      <c r="FJ53" s="142"/>
      <c r="FK53" s="142"/>
      <c r="FL53" s="142"/>
      <c r="FM53" s="142"/>
      <c r="FN53" s="142"/>
      <c r="FO53" s="142"/>
      <c r="FP53" s="142"/>
      <c r="FQ53" s="142"/>
      <c r="FR53" s="142"/>
      <c r="FS53" s="142"/>
      <c r="FT53" s="142"/>
      <c r="FU53" s="142"/>
      <c r="FV53" s="142"/>
      <c r="FW53" s="142"/>
      <c r="FX53" s="142"/>
      <c r="FY53" s="142"/>
      <c r="FZ53" s="142"/>
      <c r="GA53" s="142"/>
      <c r="GB53" s="142"/>
      <c r="GC53" s="142"/>
      <c r="GD53" s="142"/>
      <c r="GE53" s="142"/>
      <c r="GF53" s="142"/>
      <c r="GG53" s="142"/>
      <c r="GH53" s="142"/>
      <c r="GI53" s="142"/>
      <c r="GJ53" s="142"/>
      <c r="GK53" s="142"/>
      <c r="GL53" s="142"/>
      <c r="GM53" s="142"/>
      <c r="GN53" s="142"/>
      <c r="GO53" s="142"/>
      <c r="GP53" s="142"/>
      <c r="GQ53" s="142"/>
      <c r="GR53" s="142"/>
      <c r="GS53" s="142"/>
      <c r="GT53" s="142"/>
      <c r="GU53" s="142"/>
      <c r="GV53" s="142"/>
      <c r="GW53" s="142"/>
      <c r="GX53" s="142"/>
      <c r="GY53" s="142"/>
      <c r="GZ53" s="142"/>
      <c r="HA53" s="142"/>
      <c r="HB53" s="142"/>
      <c r="HC53" s="142"/>
      <c r="HD53" s="142"/>
      <c r="HE53" s="142"/>
      <c r="HF53" s="142"/>
      <c r="HG53" s="142"/>
      <c r="HH53" s="142"/>
      <c r="HI53" s="142"/>
      <c r="HJ53" s="142"/>
      <c r="HK53" s="142"/>
      <c r="HL53" s="142"/>
      <c r="HM53" s="142"/>
      <c r="HN53" s="142"/>
      <c r="HO53" s="142"/>
      <c r="HP53" s="142"/>
      <c r="HQ53" s="142"/>
      <c r="HR53" s="142"/>
      <c r="HS53" s="142"/>
      <c r="HT53" s="142"/>
      <c r="HU53" s="142"/>
      <c r="HV53" s="142"/>
      <c r="HW53" s="142"/>
      <c r="HX53" s="142"/>
      <c r="HY53" s="142"/>
      <c r="HZ53" s="142"/>
      <c r="IA53" s="142"/>
      <c r="IB53" s="142"/>
      <c r="IC53" s="142"/>
      <c r="ID53" s="142"/>
      <c r="IE53" s="142"/>
      <c r="IF53" s="142"/>
      <c r="IG53" s="142"/>
      <c r="IH53" s="142"/>
      <c r="II53" s="142"/>
      <c r="IJ53" s="142"/>
      <c r="IK53" s="142"/>
      <c r="IL53" s="142"/>
      <c r="IM53" s="142"/>
      <c r="IN53" s="142"/>
      <c r="IO53" s="142"/>
      <c r="IP53" s="142"/>
      <c r="IQ53" s="142"/>
      <c r="IR53" s="142"/>
      <c r="IS53" s="142"/>
      <c r="IT53" s="142"/>
      <c r="IU53" s="142"/>
      <c r="IV53" s="142"/>
    </row>
    <row r="54" spans="1:256" s="216" customFormat="1" ht="64.5" customHeight="1" x14ac:dyDescent="0.35">
      <c r="A54" s="228">
        <v>46</v>
      </c>
      <c r="B54" s="730"/>
      <c r="C54" s="679">
        <v>17</v>
      </c>
      <c r="D54" s="343" t="s">
        <v>548</v>
      </c>
      <c r="E54" s="665">
        <f>F54+G54+O56+P55+258+4000</f>
        <v>25115</v>
      </c>
      <c r="F54" s="289"/>
      <c r="G54" s="734">
        <v>3651</v>
      </c>
      <c r="H54" s="733" t="s">
        <v>24</v>
      </c>
      <c r="I54" s="680"/>
      <c r="J54" s="680"/>
      <c r="K54" s="680"/>
      <c r="L54" s="680"/>
      <c r="M54" s="680"/>
      <c r="N54" s="732"/>
      <c r="O54" s="287"/>
      <c r="P54" s="284"/>
      <c r="Q54" s="142"/>
      <c r="R54" s="142"/>
      <c r="S54" s="142"/>
      <c r="T54" s="142"/>
      <c r="U54" s="142"/>
      <c r="V54" s="142"/>
      <c r="W54" s="142"/>
      <c r="X54" s="142"/>
      <c r="Y54" s="142"/>
      <c r="Z54" s="142"/>
      <c r="AA54" s="142"/>
      <c r="AB54" s="142"/>
      <c r="AC54" s="142"/>
      <c r="AD54" s="142"/>
      <c r="AE54" s="142"/>
      <c r="AF54" s="142"/>
      <c r="AG54" s="142"/>
      <c r="AH54" s="142"/>
      <c r="AI54" s="142"/>
      <c r="AJ54" s="142"/>
      <c r="AK54" s="142"/>
      <c r="AL54" s="142"/>
      <c r="AM54" s="142"/>
      <c r="AN54" s="142"/>
      <c r="AO54" s="142"/>
      <c r="AP54" s="142"/>
      <c r="AQ54" s="142"/>
      <c r="AR54" s="142"/>
      <c r="AS54" s="142"/>
      <c r="AT54" s="142"/>
      <c r="AU54" s="142"/>
      <c r="AV54" s="142"/>
      <c r="AW54" s="142"/>
      <c r="AX54" s="142"/>
      <c r="AY54" s="142"/>
      <c r="AZ54" s="142"/>
      <c r="BA54" s="142"/>
      <c r="BB54" s="142"/>
      <c r="BC54" s="142"/>
      <c r="BD54" s="142"/>
      <c r="BE54" s="142"/>
      <c r="BF54" s="142"/>
      <c r="BG54" s="142"/>
      <c r="BH54" s="142"/>
      <c r="BI54" s="142"/>
      <c r="BJ54" s="142"/>
      <c r="BK54" s="142"/>
      <c r="BL54" s="142"/>
      <c r="BM54" s="142"/>
      <c r="BN54" s="142"/>
      <c r="BO54" s="142"/>
      <c r="BP54" s="142"/>
      <c r="BQ54" s="142"/>
      <c r="BR54" s="142"/>
      <c r="BS54" s="142"/>
      <c r="BT54" s="142"/>
      <c r="BU54" s="142"/>
      <c r="BV54" s="142"/>
      <c r="BW54" s="142"/>
      <c r="BX54" s="142"/>
      <c r="BY54" s="142"/>
      <c r="BZ54" s="142"/>
      <c r="CA54" s="142"/>
      <c r="CB54" s="142"/>
      <c r="CC54" s="142"/>
      <c r="CD54" s="142"/>
      <c r="CE54" s="142"/>
      <c r="CF54" s="142"/>
      <c r="CG54" s="142"/>
      <c r="CH54" s="142"/>
      <c r="CI54" s="142"/>
      <c r="CJ54" s="142"/>
      <c r="CK54" s="142"/>
      <c r="CL54" s="142"/>
      <c r="CM54" s="142"/>
      <c r="CN54" s="142"/>
      <c r="CO54" s="142"/>
      <c r="CP54" s="142"/>
      <c r="CQ54" s="142"/>
      <c r="CR54" s="142"/>
      <c r="CS54" s="142"/>
      <c r="CT54" s="142"/>
      <c r="CU54" s="142"/>
      <c r="CV54" s="142"/>
      <c r="CW54" s="142"/>
      <c r="CX54" s="142"/>
      <c r="CY54" s="142"/>
      <c r="CZ54" s="142"/>
      <c r="DA54" s="142"/>
      <c r="DB54" s="142"/>
      <c r="DC54" s="142"/>
      <c r="DD54" s="142"/>
      <c r="DE54" s="142"/>
      <c r="DF54" s="142"/>
      <c r="DG54" s="142"/>
      <c r="DH54" s="142"/>
      <c r="DI54" s="142"/>
      <c r="DJ54" s="142"/>
      <c r="DK54" s="142"/>
      <c r="DL54" s="142"/>
      <c r="DM54" s="142"/>
      <c r="DN54" s="142"/>
      <c r="DO54" s="142"/>
      <c r="DP54" s="142"/>
      <c r="DQ54" s="142"/>
      <c r="DR54" s="142"/>
      <c r="DS54" s="142"/>
      <c r="DT54" s="142"/>
      <c r="DU54" s="142"/>
      <c r="DV54" s="142"/>
      <c r="DW54" s="142"/>
      <c r="DX54" s="142"/>
      <c r="DY54" s="142"/>
      <c r="DZ54" s="142"/>
      <c r="EA54" s="142"/>
      <c r="EB54" s="142"/>
      <c r="EC54" s="142"/>
      <c r="ED54" s="142"/>
      <c r="EE54" s="142"/>
      <c r="EF54" s="142"/>
      <c r="EG54" s="142"/>
      <c r="EH54" s="142"/>
      <c r="EI54" s="142"/>
      <c r="EJ54" s="142"/>
      <c r="EK54" s="142"/>
      <c r="EL54" s="142"/>
      <c r="EM54" s="142"/>
      <c r="EN54" s="142"/>
      <c r="EO54" s="142"/>
      <c r="EP54" s="142"/>
      <c r="EQ54" s="142"/>
      <c r="ER54" s="142"/>
      <c r="ES54" s="142"/>
      <c r="ET54" s="142"/>
      <c r="EU54" s="142"/>
      <c r="EV54" s="142"/>
      <c r="EW54" s="142"/>
      <c r="EX54" s="142"/>
      <c r="EY54" s="142"/>
      <c r="EZ54" s="142"/>
      <c r="FA54" s="142"/>
      <c r="FB54" s="142"/>
      <c r="FC54" s="142"/>
      <c r="FD54" s="142"/>
      <c r="FE54" s="142"/>
      <c r="FF54" s="142"/>
      <c r="FG54" s="142"/>
      <c r="FH54" s="142"/>
      <c r="FI54" s="142"/>
      <c r="FJ54" s="142"/>
      <c r="FK54" s="142"/>
      <c r="FL54" s="142"/>
      <c r="FM54" s="142"/>
      <c r="FN54" s="142"/>
      <c r="FO54" s="142"/>
      <c r="FP54" s="142"/>
      <c r="FQ54" s="142"/>
      <c r="FR54" s="142"/>
      <c r="FS54" s="142"/>
      <c r="FT54" s="142"/>
      <c r="FU54" s="142"/>
      <c r="FV54" s="142"/>
      <c r="FW54" s="142"/>
      <c r="FX54" s="142"/>
      <c r="FY54" s="142"/>
      <c r="FZ54" s="142"/>
      <c r="GA54" s="142"/>
      <c r="GB54" s="142"/>
      <c r="GC54" s="142"/>
      <c r="GD54" s="142"/>
      <c r="GE54" s="142"/>
      <c r="GF54" s="142"/>
      <c r="GG54" s="142"/>
      <c r="GH54" s="142"/>
      <c r="GI54" s="142"/>
      <c r="GJ54" s="142"/>
      <c r="GK54" s="142"/>
      <c r="GL54" s="142"/>
      <c r="GM54" s="142"/>
      <c r="GN54" s="142"/>
      <c r="GO54" s="142"/>
      <c r="GP54" s="142"/>
      <c r="GQ54" s="142"/>
      <c r="GR54" s="142"/>
      <c r="GS54" s="142"/>
      <c r="GT54" s="142"/>
      <c r="GU54" s="142"/>
      <c r="GV54" s="142"/>
      <c r="GW54" s="142"/>
      <c r="GX54" s="142"/>
      <c r="GY54" s="142"/>
      <c r="GZ54" s="142"/>
      <c r="HA54" s="142"/>
      <c r="HB54" s="142"/>
      <c r="HC54" s="142"/>
      <c r="HD54" s="142"/>
      <c r="HE54" s="142"/>
      <c r="HF54" s="142"/>
      <c r="HG54" s="142"/>
      <c r="HH54" s="142"/>
      <c r="HI54" s="142"/>
      <c r="HJ54" s="142"/>
      <c r="HK54" s="142"/>
      <c r="HL54" s="142"/>
      <c r="HM54" s="142"/>
      <c r="HN54" s="142"/>
      <c r="HO54" s="142"/>
      <c r="HP54" s="142"/>
      <c r="HQ54" s="142"/>
      <c r="HR54" s="142"/>
      <c r="HS54" s="142"/>
      <c r="HT54" s="142"/>
      <c r="HU54" s="142"/>
      <c r="HV54" s="142"/>
      <c r="HW54" s="142"/>
      <c r="HX54" s="142"/>
      <c r="HY54" s="142"/>
      <c r="HZ54" s="142"/>
      <c r="IA54" s="142"/>
      <c r="IB54" s="142"/>
      <c r="IC54" s="142"/>
      <c r="ID54" s="142"/>
      <c r="IE54" s="142"/>
      <c r="IF54" s="142"/>
      <c r="IG54" s="142"/>
      <c r="IH54" s="142"/>
      <c r="II54" s="142"/>
      <c r="IJ54" s="142"/>
      <c r="IK54" s="142"/>
      <c r="IL54" s="142"/>
      <c r="IM54" s="142"/>
      <c r="IN54" s="142"/>
      <c r="IO54" s="142"/>
      <c r="IP54" s="142"/>
      <c r="IQ54" s="142"/>
      <c r="IR54" s="142"/>
      <c r="IS54" s="142"/>
      <c r="IT54" s="142"/>
      <c r="IU54" s="142"/>
      <c r="IV54" s="142"/>
    </row>
    <row r="55" spans="1:256" s="216" customFormat="1" ht="18" customHeight="1" x14ac:dyDescent="0.35">
      <c r="A55" s="228">
        <v>47</v>
      </c>
      <c r="B55" s="730"/>
      <c r="C55" s="679"/>
      <c r="D55" s="288" t="s">
        <v>252</v>
      </c>
      <c r="E55" s="289"/>
      <c r="F55" s="289"/>
      <c r="G55" s="731"/>
      <c r="H55" s="291"/>
      <c r="I55" s="680">
        <v>53</v>
      </c>
      <c r="J55" s="680"/>
      <c r="K55" s="680">
        <v>10223</v>
      </c>
      <c r="L55" s="680"/>
      <c r="M55" s="680"/>
      <c r="N55" s="732"/>
      <c r="O55" s="287">
        <f>SUM(I55:N55)</f>
        <v>10276</v>
      </c>
      <c r="P55" s="735">
        <v>10730</v>
      </c>
      <c r="Q55" s="142"/>
      <c r="R55" s="142"/>
      <c r="S55" s="142"/>
      <c r="T55" s="142"/>
      <c r="U55" s="142"/>
      <c r="V55" s="142"/>
      <c r="W55" s="142"/>
      <c r="X55" s="142"/>
      <c r="Y55" s="142"/>
      <c r="Z55" s="142"/>
      <c r="AA55" s="142"/>
      <c r="AB55" s="142"/>
      <c r="AC55" s="142"/>
      <c r="AD55" s="142"/>
      <c r="AE55" s="142"/>
      <c r="AF55" s="142"/>
      <c r="AG55" s="142"/>
      <c r="AH55" s="142"/>
      <c r="AI55" s="142"/>
      <c r="AJ55" s="142"/>
      <c r="AK55" s="142"/>
      <c r="AL55" s="142"/>
      <c r="AM55" s="142"/>
      <c r="AN55" s="142"/>
      <c r="AO55" s="142"/>
      <c r="AP55" s="142"/>
      <c r="AQ55" s="142"/>
      <c r="AR55" s="142"/>
      <c r="AS55" s="142"/>
      <c r="AT55" s="142"/>
      <c r="AU55" s="142"/>
      <c r="AV55" s="142"/>
      <c r="AW55" s="142"/>
      <c r="AX55" s="142"/>
      <c r="AY55" s="142"/>
      <c r="AZ55" s="142"/>
      <c r="BA55" s="142"/>
      <c r="BB55" s="142"/>
      <c r="BC55" s="142"/>
      <c r="BD55" s="142"/>
      <c r="BE55" s="142"/>
      <c r="BF55" s="142"/>
      <c r="BG55" s="142"/>
      <c r="BH55" s="142"/>
      <c r="BI55" s="142"/>
      <c r="BJ55" s="142"/>
      <c r="BK55" s="142"/>
      <c r="BL55" s="142"/>
      <c r="BM55" s="142"/>
      <c r="BN55" s="142"/>
      <c r="BO55" s="142"/>
      <c r="BP55" s="142"/>
      <c r="BQ55" s="142"/>
      <c r="BR55" s="142"/>
      <c r="BS55" s="142"/>
      <c r="BT55" s="142"/>
      <c r="BU55" s="142"/>
      <c r="BV55" s="142"/>
      <c r="BW55" s="142"/>
      <c r="BX55" s="142"/>
      <c r="BY55" s="142"/>
      <c r="BZ55" s="142"/>
      <c r="CA55" s="142"/>
      <c r="CB55" s="142"/>
      <c r="CC55" s="142"/>
      <c r="CD55" s="142"/>
      <c r="CE55" s="142"/>
      <c r="CF55" s="142"/>
      <c r="CG55" s="142"/>
      <c r="CH55" s="142"/>
      <c r="CI55" s="142"/>
      <c r="CJ55" s="142"/>
      <c r="CK55" s="142"/>
      <c r="CL55" s="142"/>
      <c r="CM55" s="142"/>
      <c r="CN55" s="142"/>
      <c r="CO55" s="142"/>
      <c r="CP55" s="142"/>
      <c r="CQ55" s="142"/>
      <c r="CR55" s="142"/>
      <c r="CS55" s="142"/>
      <c r="CT55" s="142"/>
      <c r="CU55" s="142"/>
      <c r="CV55" s="142"/>
      <c r="CW55" s="142"/>
      <c r="CX55" s="142"/>
      <c r="CY55" s="142"/>
      <c r="CZ55" s="142"/>
      <c r="DA55" s="142"/>
      <c r="DB55" s="142"/>
      <c r="DC55" s="142"/>
      <c r="DD55" s="142"/>
      <c r="DE55" s="142"/>
      <c r="DF55" s="142"/>
      <c r="DG55" s="142"/>
      <c r="DH55" s="142"/>
      <c r="DI55" s="142"/>
      <c r="DJ55" s="142"/>
      <c r="DK55" s="142"/>
      <c r="DL55" s="142"/>
      <c r="DM55" s="142"/>
      <c r="DN55" s="142"/>
      <c r="DO55" s="142"/>
      <c r="DP55" s="142"/>
      <c r="DQ55" s="142"/>
      <c r="DR55" s="142"/>
      <c r="DS55" s="142"/>
      <c r="DT55" s="142"/>
      <c r="DU55" s="142"/>
      <c r="DV55" s="142"/>
      <c r="DW55" s="142"/>
      <c r="DX55" s="142"/>
      <c r="DY55" s="142"/>
      <c r="DZ55" s="142"/>
      <c r="EA55" s="142"/>
      <c r="EB55" s="142"/>
      <c r="EC55" s="142"/>
      <c r="ED55" s="142"/>
      <c r="EE55" s="142"/>
      <c r="EF55" s="142"/>
      <c r="EG55" s="142"/>
      <c r="EH55" s="142"/>
      <c r="EI55" s="142"/>
      <c r="EJ55" s="142"/>
      <c r="EK55" s="142"/>
      <c r="EL55" s="142"/>
      <c r="EM55" s="142"/>
      <c r="EN55" s="142"/>
      <c r="EO55" s="142"/>
      <c r="EP55" s="142"/>
      <c r="EQ55" s="142"/>
      <c r="ER55" s="142"/>
      <c r="ES55" s="142"/>
      <c r="ET55" s="142"/>
      <c r="EU55" s="142"/>
      <c r="EV55" s="142"/>
      <c r="EW55" s="142"/>
      <c r="EX55" s="142"/>
      <c r="EY55" s="142"/>
      <c r="EZ55" s="142"/>
      <c r="FA55" s="142"/>
      <c r="FB55" s="142"/>
      <c r="FC55" s="142"/>
      <c r="FD55" s="142"/>
      <c r="FE55" s="142"/>
      <c r="FF55" s="142"/>
      <c r="FG55" s="142"/>
      <c r="FH55" s="142"/>
      <c r="FI55" s="142"/>
      <c r="FJ55" s="142"/>
      <c r="FK55" s="142"/>
      <c r="FL55" s="142"/>
      <c r="FM55" s="142"/>
      <c r="FN55" s="142"/>
      <c r="FO55" s="142"/>
      <c r="FP55" s="142"/>
      <c r="FQ55" s="142"/>
      <c r="FR55" s="142"/>
      <c r="FS55" s="142"/>
      <c r="FT55" s="142"/>
      <c r="FU55" s="142"/>
      <c r="FV55" s="142"/>
      <c r="FW55" s="142"/>
      <c r="FX55" s="142"/>
      <c r="FY55" s="142"/>
      <c r="FZ55" s="142"/>
      <c r="GA55" s="142"/>
      <c r="GB55" s="142"/>
      <c r="GC55" s="142"/>
      <c r="GD55" s="142"/>
      <c r="GE55" s="142"/>
      <c r="GF55" s="142"/>
      <c r="GG55" s="142"/>
      <c r="GH55" s="142"/>
      <c r="GI55" s="142"/>
      <c r="GJ55" s="142"/>
      <c r="GK55" s="142"/>
      <c r="GL55" s="142"/>
      <c r="GM55" s="142"/>
      <c r="GN55" s="142"/>
      <c r="GO55" s="142"/>
      <c r="GP55" s="142"/>
      <c r="GQ55" s="142"/>
      <c r="GR55" s="142"/>
      <c r="GS55" s="142"/>
      <c r="GT55" s="142"/>
      <c r="GU55" s="142"/>
      <c r="GV55" s="142"/>
      <c r="GW55" s="142"/>
      <c r="GX55" s="142"/>
      <c r="GY55" s="142"/>
      <c r="GZ55" s="142"/>
      <c r="HA55" s="142"/>
      <c r="HB55" s="142"/>
      <c r="HC55" s="142"/>
      <c r="HD55" s="142"/>
      <c r="HE55" s="142"/>
      <c r="HF55" s="142"/>
      <c r="HG55" s="142"/>
      <c r="HH55" s="142"/>
      <c r="HI55" s="142"/>
      <c r="HJ55" s="142"/>
      <c r="HK55" s="142"/>
      <c r="HL55" s="142"/>
      <c r="HM55" s="142"/>
      <c r="HN55" s="142"/>
      <c r="HO55" s="142"/>
      <c r="HP55" s="142"/>
      <c r="HQ55" s="142"/>
      <c r="HR55" s="142"/>
      <c r="HS55" s="142"/>
      <c r="HT55" s="142"/>
      <c r="HU55" s="142"/>
      <c r="HV55" s="142"/>
      <c r="HW55" s="142"/>
      <c r="HX55" s="142"/>
      <c r="HY55" s="142"/>
      <c r="HZ55" s="142"/>
      <c r="IA55" s="142"/>
      <c r="IB55" s="142"/>
      <c r="IC55" s="142"/>
      <c r="ID55" s="142"/>
      <c r="IE55" s="142"/>
      <c r="IF55" s="142"/>
      <c r="IG55" s="142"/>
      <c r="IH55" s="142"/>
      <c r="II55" s="142"/>
      <c r="IJ55" s="142"/>
      <c r="IK55" s="142"/>
      <c r="IL55" s="142"/>
      <c r="IM55" s="142"/>
      <c r="IN55" s="142"/>
      <c r="IO55" s="142"/>
      <c r="IP55" s="142"/>
      <c r="IQ55" s="142"/>
      <c r="IR55" s="142"/>
      <c r="IS55" s="142"/>
      <c r="IT55" s="142"/>
      <c r="IU55" s="142"/>
      <c r="IV55" s="142"/>
    </row>
    <row r="56" spans="1:256" s="216" customFormat="1" ht="18" customHeight="1" x14ac:dyDescent="0.35">
      <c r="A56" s="228">
        <v>48</v>
      </c>
      <c r="B56" s="730"/>
      <c r="C56" s="679"/>
      <c r="D56" s="923" t="s">
        <v>921</v>
      </c>
      <c r="E56" s="289"/>
      <c r="F56" s="289"/>
      <c r="G56" s="731"/>
      <c r="H56" s="291"/>
      <c r="I56" s="680">
        <v>453</v>
      </c>
      <c r="J56" s="680">
        <v>52</v>
      </c>
      <c r="K56" s="950">
        <v>5971</v>
      </c>
      <c r="L56" s="950"/>
      <c r="M56" s="950"/>
      <c r="N56" s="1420"/>
      <c r="O56" s="1182">
        <f>SUM(I56:N56)</f>
        <v>6476</v>
      </c>
      <c r="P56" s="934"/>
      <c r="Q56" s="142"/>
      <c r="R56" s="142"/>
      <c r="S56" s="142"/>
      <c r="T56" s="142"/>
      <c r="U56" s="142"/>
      <c r="V56" s="142"/>
      <c r="W56" s="142"/>
      <c r="X56" s="142"/>
      <c r="Y56" s="142"/>
      <c r="Z56" s="142"/>
      <c r="AA56" s="142"/>
      <c r="AB56" s="142"/>
      <c r="AC56" s="142"/>
      <c r="AD56" s="142"/>
      <c r="AE56" s="142"/>
      <c r="AF56" s="142"/>
      <c r="AG56" s="142"/>
      <c r="AH56" s="142"/>
      <c r="AI56" s="142"/>
      <c r="AJ56" s="142"/>
      <c r="AK56" s="142"/>
      <c r="AL56" s="142"/>
      <c r="AM56" s="142"/>
      <c r="AN56" s="142"/>
      <c r="AO56" s="142"/>
      <c r="AP56" s="142"/>
      <c r="AQ56" s="142"/>
      <c r="AR56" s="142"/>
      <c r="AS56" s="142"/>
      <c r="AT56" s="142"/>
      <c r="AU56" s="142"/>
      <c r="AV56" s="142"/>
      <c r="AW56" s="142"/>
      <c r="AX56" s="142"/>
      <c r="AY56" s="142"/>
      <c r="AZ56" s="142"/>
      <c r="BA56" s="142"/>
      <c r="BB56" s="142"/>
      <c r="BC56" s="142"/>
      <c r="BD56" s="142"/>
      <c r="BE56" s="142"/>
      <c r="BF56" s="142"/>
      <c r="BG56" s="142"/>
      <c r="BH56" s="142"/>
      <c r="BI56" s="142"/>
      <c r="BJ56" s="142"/>
      <c r="BK56" s="142"/>
      <c r="BL56" s="142"/>
      <c r="BM56" s="142"/>
      <c r="BN56" s="142"/>
      <c r="BO56" s="142"/>
      <c r="BP56" s="142"/>
      <c r="BQ56" s="142"/>
      <c r="BR56" s="142"/>
      <c r="BS56" s="142"/>
      <c r="BT56" s="142"/>
      <c r="BU56" s="142"/>
      <c r="BV56" s="142"/>
      <c r="BW56" s="142"/>
      <c r="BX56" s="142"/>
      <c r="BY56" s="142"/>
      <c r="BZ56" s="142"/>
      <c r="CA56" s="142"/>
      <c r="CB56" s="142"/>
      <c r="CC56" s="142"/>
      <c r="CD56" s="142"/>
      <c r="CE56" s="142"/>
      <c r="CF56" s="142"/>
      <c r="CG56" s="142"/>
      <c r="CH56" s="142"/>
      <c r="CI56" s="142"/>
      <c r="CJ56" s="142"/>
      <c r="CK56" s="142"/>
      <c r="CL56" s="142"/>
      <c r="CM56" s="142"/>
      <c r="CN56" s="142"/>
      <c r="CO56" s="142"/>
      <c r="CP56" s="142"/>
      <c r="CQ56" s="142"/>
      <c r="CR56" s="142"/>
      <c r="CS56" s="142"/>
      <c r="CT56" s="142"/>
      <c r="CU56" s="142"/>
      <c r="CV56" s="142"/>
      <c r="CW56" s="142"/>
      <c r="CX56" s="142"/>
      <c r="CY56" s="142"/>
      <c r="CZ56" s="142"/>
      <c r="DA56" s="142"/>
      <c r="DB56" s="142"/>
      <c r="DC56" s="142"/>
      <c r="DD56" s="142"/>
      <c r="DE56" s="142"/>
      <c r="DF56" s="142"/>
      <c r="DG56" s="142"/>
      <c r="DH56" s="142"/>
      <c r="DI56" s="142"/>
      <c r="DJ56" s="142"/>
      <c r="DK56" s="142"/>
      <c r="DL56" s="142"/>
      <c r="DM56" s="142"/>
      <c r="DN56" s="142"/>
      <c r="DO56" s="142"/>
      <c r="DP56" s="142"/>
      <c r="DQ56" s="142"/>
      <c r="DR56" s="142"/>
      <c r="DS56" s="142"/>
      <c r="DT56" s="142"/>
      <c r="DU56" s="142"/>
      <c r="DV56" s="142"/>
      <c r="DW56" s="142"/>
      <c r="DX56" s="142"/>
      <c r="DY56" s="142"/>
      <c r="DZ56" s="142"/>
      <c r="EA56" s="142"/>
      <c r="EB56" s="142"/>
      <c r="EC56" s="142"/>
      <c r="ED56" s="142"/>
      <c r="EE56" s="142"/>
      <c r="EF56" s="142"/>
      <c r="EG56" s="142"/>
      <c r="EH56" s="142"/>
      <c r="EI56" s="142"/>
      <c r="EJ56" s="142"/>
      <c r="EK56" s="142"/>
      <c r="EL56" s="142"/>
      <c r="EM56" s="142"/>
      <c r="EN56" s="142"/>
      <c r="EO56" s="142"/>
      <c r="EP56" s="142"/>
      <c r="EQ56" s="142"/>
      <c r="ER56" s="142"/>
      <c r="ES56" s="142"/>
      <c r="ET56" s="142"/>
      <c r="EU56" s="142"/>
      <c r="EV56" s="142"/>
      <c r="EW56" s="142"/>
      <c r="EX56" s="142"/>
      <c r="EY56" s="142"/>
      <c r="EZ56" s="142"/>
      <c r="FA56" s="142"/>
      <c r="FB56" s="142"/>
      <c r="FC56" s="142"/>
      <c r="FD56" s="142"/>
      <c r="FE56" s="142"/>
      <c r="FF56" s="142"/>
      <c r="FG56" s="142"/>
      <c r="FH56" s="142"/>
      <c r="FI56" s="142"/>
      <c r="FJ56" s="142"/>
      <c r="FK56" s="142"/>
      <c r="FL56" s="142"/>
      <c r="FM56" s="142"/>
      <c r="FN56" s="142"/>
      <c r="FO56" s="142"/>
      <c r="FP56" s="142"/>
      <c r="FQ56" s="142"/>
      <c r="FR56" s="142"/>
      <c r="FS56" s="142"/>
      <c r="FT56" s="142"/>
      <c r="FU56" s="142"/>
      <c r="FV56" s="142"/>
      <c r="FW56" s="142"/>
      <c r="FX56" s="142"/>
      <c r="FY56" s="142"/>
      <c r="FZ56" s="142"/>
      <c r="GA56" s="142"/>
      <c r="GB56" s="142"/>
      <c r="GC56" s="142"/>
      <c r="GD56" s="142"/>
      <c r="GE56" s="142"/>
      <c r="GF56" s="142"/>
      <c r="GG56" s="142"/>
      <c r="GH56" s="142"/>
      <c r="GI56" s="142"/>
      <c r="GJ56" s="142"/>
      <c r="GK56" s="142"/>
      <c r="GL56" s="142"/>
      <c r="GM56" s="142"/>
      <c r="GN56" s="142"/>
      <c r="GO56" s="142"/>
      <c r="GP56" s="142"/>
      <c r="GQ56" s="142"/>
      <c r="GR56" s="142"/>
      <c r="GS56" s="142"/>
      <c r="GT56" s="142"/>
      <c r="GU56" s="142"/>
      <c r="GV56" s="142"/>
      <c r="GW56" s="142"/>
      <c r="GX56" s="142"/>
      <c r="GY56" s="142"/>
      <c r="GZ56" s="142"/>
      <c r="HA56" s="142"/>
      <c r="HB56" s="142"/>
      <c r="HC56" s="142"/>
      <c r="HD56" s="142"/>
      <c r="HE56" s="142"/>
      <c r="HF56" s="142"/>
      <c r="HG56" s="142"/>
      <c r="HH56" s="142"/>
      <c r="HI56" s="142"/>
      <c r="HJ56" s="142"/>
      <c r="HK56" s="142"/>
      <c r="HL56" s="142"/>
      <c r="HM56" s="142"/>
      <c r="HN56" s="142"/>
      <c r="HO56" s="142"/>
      <c r="HP56" s="142"/>
      <c r="HQ56" s="142"/>
      <c r="HR56" s="142"/>
      <c r="HS56" s="142"/>
      <c r="HT56" s="142"/>
      <c r="HU56" s="142"/>
      <c r="HV56" s="142"/>
      <c r="HW56" s="142"/>
      <c r="HX56" s="142"/>
      <c r="HY56" s="142"/>
      <c r="HZ56" s="142"/>
      <c r="IA56" s="142"/>
      <c r="IB56" s="142"/>
      <c r="IC56" s="142"/>
      <c r="ID56" s="142"/>
      <c r="IE56" s="142"/>
      <c r="IF56" s="142"/>
      <c r="IG56" s="142"/>
      <c r="IH56" s="142"/>
      <c r="II56" s="142"/>
      <c r="IJ56" s="142"/>
      <c r="IK56" s="142"/>
      <c r="IL56" s="142"/>
      <c r="IM56" s="142"/>
      <c r="IN56" s="142"/>
      <c r="IO56" s="142"/>
      <c r="IP56" s="142"/>
      <c r="IQ56" s="142"/>
      <c r="IR56" s="142"/>
      <c r="IS56" s="142"/>
      <c r="IT56" s="142"/>
      <c r="IU56" s="142"/>
      <c r="IV56" s="142"/>
    </row>
    <row r="57" spans="1:256" s="216" customFormat="1" ht="18" customHeight="1" x14ac:dyDescent="0.35">
      <c r="A57" s="228">
        <v>49</v>
      </c>
      <c r="B57" s="730"/>
      <c r="C57" s="679"/>
      <c r="D57" s="920" t="s">
        <v>972</v>
      </c>
      <c r="E57" s="289"/>
      <c r="F57" s="289"/>
      <c r="G57" s="731"/>
      <c r="H57" s="291"/>
      <c r="I57" s="1753">
        <v>104</v>
      </c>
      <c r="J57" s="1753">
        <v>25</v>
      </c>
      <c r="K57" s="1753">
        <v>1687</v>
      </c>
      <c r="L57" s="680"/>
      <c r="M57" s="680"/>
      <c r="N57" s="732"/>
      <c r="O57" s="922">
        <f>SUM(I57:N57)</f>
        <v>1816</v>
      </c>
      <c r="P57" s="934"/>
      <c r="Q57" s="142"/>
      <c r="R57" s="142"/>
      <c r="S57" s="142"/>
      <c r="T57" s="142"/>
      <c r="U57" s="142"/>
      <c r="V57" s="142"/>
      <c r="W57" s="142"/>
      <c r="X57" s="142"/>
      <c r="Y57" s="142"/>
      <c r="Z57" s="142"/>
      <c r="AA57" s="142"/>
      <c r="AB57" s="142"/>
      <c r="AC57" s="142"/>
      <c r="AD57" s="142"/>
      <c r="AE57" s="142"/>
      <c r="AF57" s="142"/>
      <c r="AG57" s="142"/>
      <c r="AH57" s="142"/>
      <c r="AI57" s="142"/>
      <c r="AJ57" s="142"/>
      <c r="AK57" s="142"/>
      <c r="AL57" s="142"/>
      <c r="AM57" s="142"/>
      <c r="AN57" s="142"/>
      <c r="AO57" s="142"/>
      <c r="AP57" s="142"/>
      <c r="AQ57" s="142"/>
      <c r="AR57" s="142"/>
      <c r="AS57" s="142"/>
      <c r="AT57" s="142"/>
      <c r="AU57" s="142"/>
      <c r="AV57" s="142"/>
      <c r="AW57" s="142"/>
      <c r="AX57" s="142"/>
      <c r="AY57" s="142"/>
      <c r="AZ57" s="142"/>
      <c r="BA57" s="142"/>
      <c r="BB57" s="142"/>
      <c r="BC57" s="142"/>
      <c r="BD57" s="142"/>
      <c r="BE57" s="142"/>
      <c r="BF57" s="142"/>
      <c r="BG57" s="142"/>
      <c r="BH57" s="142"/>
      <c r="BI57" s="142"/>
      <c r="BJ57" s="142"/>
      <c r="BK57" s="142"/>
      <c r="BL57" s="142"/>
      <c r="BM57" s="142"/>
      <c r="BN57" s="142"/>
      <c r="BO57" s="142"/>
      <c r="BP57" s="142"/>
      <c r="BQ57" s="142"/>
      <c r="BR57" s="142"/>
      <c r="BS57" s="142"/>
      <c r="BT57" s="142"/>
      <c r="BU57" s="142"/>
      <c r="BV57" s="142"/>
      <c r="BW57" s="142"/>
      <c r="BX57" s="142"/>
      <c r="BY57" s="142"/>
      <c r="BZ57" s="142"/>
      <c r="CA57" s="142"/>
      <c r="CB57" s="142"/>
      <c r="CC57" s="142"/>
      <c r="CD57" s="142"/>
      <c r="CE57" s="142"/>
      <c r="CF57" s="142"/>
      <c r="CG57" s="142"/>
      <c r="CH57" s="142"/>
      <c r="CI57" s="142"/>
      <c r="CJ57" s="142"/>
      <c r="CK57" s="142"/>
      <c r="CL57" s="142"/>
      <c r="CM57" s="142"/>
      <c r="CN57" s="142"/>
      <c r="CO57" s="142"/>
      <c r="CP57" s="142"/>
      <c r="CQ57" s="142"/>
      <c r="CR57" s="142"/>
      <c r="CS57" s="142"/>
      <c r="CT57" s="142"/>
      <c r="CU57" s="142"/>
      <c r="CV57" s="142"/>
      <c r="CW57" s="142"/>
      <c r="CX57" s="142"/>
      <c r="CY57" s="142"/>
      <c r="CZ57" s="142"/>
      <c r="DA57" s="142"/>
      <c r="DB57" s="142"/>
      <c r="DC57" s="142"/>
      <c r="DD57" s="142"/>
      <c r="DE57" s="142"/>
      <c r="DF57" s="142"/>
      <c r="DG57" s="142"/>
      <c r="DH57" s="142"/>
      <c r="DI57" s="142"/>
      <c r="DJ57" s="142"/>
      <c r="DK57" s="142"/>
      <c r="DL57" s="142"/>
      <c r="DM57" s="142"/>
      <c r="DN57" s="142"/>
      <c r="DO57" s="142"/>
      <c r="DP57" s="142"/>
      <c r="DQ57" s="142"/>
      <c r="DR57" s="142"/>
      <c r="DS57" s="142"/>
      <c r="DT57" s="142"/>
      <c r="DU57" s="142"/>
      <c r="DV57" s="142"/>
      <c r="DW57" s="142"/>
      <c r="DX57" s="142"/>
      <c r="DY57" s="142"/>
      <c r="DZ57" s="142"/>
      <c r="EA57" s="142"/>
      <c r="EB57" s="142"/>
      <c r="EC57" s="142"/>
      <c r="ED57" s="142"/>
      <c r="EE57" s="142"/>
      <c r="EF57" s="142"/>
      <c r="EG57" s="142"/>
      <c r="EH57" s="142"/>
      <c r="EI57" s="142"/>
      <c r="EJ57" s="142"/>
      <c r="EK57" s="142"/>
      <c r="EL57" s="142"/>
      <c r="EM57" s="142"/>
      <c r="EN57" s="142"/>
      <c r="EO57" s="142"/>
      <c r="EP57" s="142"/>
      <c r="EQ57" s="142"/>
      <c r="ER57" s="142"/>
      <c r="ES57" s="142"/>
      <c r="ET57" s="142"/>
      <c r="EU57" s="142"/>
      <c r="EV57" s="142"/>
      <c r="EW57" s="142"/>
      <c r="EX57" s="142"/>
      <c r="EY57" s="142"/>
      <c r="EZ57" s="142"/>
      <c r="FA57" s="142"/>
      <c r="FB57" s="142"/>
      <c r="FC57" s="142"/>
      <c r="FD57" s="142"/>
      <c r="FE57" s="142"/>
      <c r="FF57" s="142"/>
      <c r="FG57" s="142"/>
      <c r="FH57" s="142"/>
      <c r="FI57" s="142"/>
      <c r="FJ57" s="142"/>
      <c r="FK57" s="142"/>
      <c r="FL57" s="142"/>
      <c r="FM57" s="142"/>
      <c r="FN57" s="142"/>
      <c r="FO57" s="142"/>
      <c r="FP57" s="142"/>
      <c r="FQ57" s="142"/>
      <c r="FR57" s="142"/>
      <c r="FS57" s="142"/>
      <c r="FT57" s="142"/>
      <c r="FU57" s="142"/>
      <c r="FV57" s="142"/>
      <c r="FW57" s="142"/>
      <c r="FX57" s="142"/>
      <c r="FY57" s="142"/>
      <c r="FZ57" s="142"/>
      <c r="GA57" s="142"/>
      <c r="GB57" s="142"/>
      <c r="GC57" s="142"/>
      <c r="GD57" s="142"/>
      <c r="GE57" s="142"/>
      <c r="GF57" s="142"/>
      <c r="GG57" s="142"/>
      <c r="GH57" s="142"/>
      <c r="GI57" s="142"/>
      <c r="GJ57" s="142"/>
      <c r="GK57" s="142"/>
      <c r="GL57" s="142"/>
      <c r="GM57" s="142"/>
      <c r="GN57" s="142"/>
      <c r="GO57" s="142"/>
      <c r="GP57" s="142"/>
      <c r="GQ57" s="142"/>
      <c r="GR57" s="142"/>
      <c r="GS57" s="142"/>
      <c r="GT57" s="142"/>
      <c r="GU57" s="142"/>
      <c r="GV57" s="142"/>
      <c r="GW57" s="142"/>
      <c r="GX57" s="142"/>
      <c r="GY57" s="142"/>
      <c r="GZ57" s="142"/>
      <c r="HA57" s="142"/>
      <c r="HB57" s="142"/>
      <c r="HC57" s="142"/>
      <c r="HD57" s="142"/>
      <c r="HE57" s="142"/>
      <c r="HF57" s="142"/>
      <c r="HG57" s="142"/>
      <c r="HH57" s="142"/>
      <c r="HI57" s="142"/>
      <c r="HJ57" s="142"/>
      <c r="HK57" s="142"/>
      <c r="HL57" s="142"/>
      <c r="HM57" s="142"/>
      <c r="HN57" s="142"/>
      <c r="HO57" s="142"/>
      <c r="HP57" s="142"/>
      <c r="HQ57" s="142"/>
      <c r="HR57" s="142"/>
      <c r="HS57" s="142"/>
      <c r="HT57" s="142"/>
      <c r="HU57" s="142"/>
      <c r="HV57" s="142"/>
      <c r="HW57" s="142"/>
      <c r="HX57" s="142"/>
      <c r="HY57" s="142"/>
      <c r="HZ57" s="142"/>
      <c r="IA57" s="142"/>
      <c r="IB57" s="142"/>
      <c r="IC57" s="142"/>
      <c r="ID57" s="142"/>
      <c r="IE57" s="142"/>
      <c r="IF57" s="142"/>
      <c r="IG57" s="142"/>
      <c r="IH57" s="142"/>
      <c r="II57" s="142"/>
      <c r="IJ57" s="142"/>
      <c r="IK57" s="142"/>
      <c r="IL57" s="142"/>
      <c r="IM57" s="142"/>
      <c r="IN57" s="142"/>
      <c r="IO57" s="142"/>
      <c r="IP57" s="142"/>
      <c r="IQ57" s="142"/>
      <c r="IR57" s="142"/>
      <c r="IS57" s="142"/>
      <c r="IT57" s="142"/>
      <c r="IU57" s="142"/>
      <c r="IV57" s="142"/>
    </row>
    <row r="58" spans="1:256" s="216" customFormat="1" ht="22.5" customHeight="1" x14ac:dyDescent="0.35">
      <c r="A58" s="228">
        <v>50</v>
      </c>
      <c r="B58" s="730"/>
      <c r="C58" s="285">
        <v>18</v>
      </c>
      <c r="D58" s="144" t="s">
        <v>552</v>
      </c>
      <c r="E58" s="665">
        <f>F58+G58+O60+P59+13217</f>
        <v>62940</v>
      </c>
      <c r="F58" s="289"/>
      <c r="G58" s="731"/>
      <c r="H58" s="733" t="s">
        <v>24</v>
      </c>
      <c r="I58" s="680"/>
      <c r="J58" s="680"/>
      <c r="K58" s="680"/>
      <c r="L58" s="680"/>
      <c r="M58" s="680"/>
      <c r="N58" s="732"/>
      <c r="O58" s="287"/>
      <c r="P58" s="284"/>
      <c r="Q58" s="142"/>
      <c r="R58" s="142"/>
      <c r="S58" s="142"/>
      <c r="T58" s="142"/>
      <c r="U58" s="142"/>
      <c r="V58" s="142"/>
      <c r="W58" s="142"/>
      <c r="X58" s="142"/>
      <c r="Y58" s="142"/>
      <c r="Z58" s="142"/>
      <c r="AA58" s="142"/>
      <c r="AB58" s="142"/>
      <c r="AC58" s="142"/>
      <c r="AD58" s="142"/>
      <c r="AE58" s="142"/>
      <c r="AF58" s="142"/>
      <c r="AG58" s="142"/>
      <c r="AH58" s="142"/>
      <c r="AI58" s="142"/>
      <c r="AJ58" s="142"/>
      <c r="AK58" s="142"/>
      <c r="AL58" s="142"/>
      <c r="AM58" s="142"/>
      <c r="AN58" s="142"/>
      <c r="AO58" s="142"/>
      <c r="AP58" s="142"/>
      <c r="AQ58" s="142"/>
      <c r="AR58" s="142"/>
      <c r="AS58" s="142"/>
      <c r="AT58" s="142"/>
      <c r="AU58" s="142"/>
      <c r="AV58" s="142"/>
      <c r="AW58" s="142"/>
      <c r="AX58" s="142"/>
      <c r="AY58" s="142"/>
      <c r="AZ58" s="142"/>
      <c r="BA58" s="142"/>
      <c r="BB58" s="142"/>
      <c r="BC58" s="142"/>
      <c r="BD58" s="142"/>
      <c r="BE58" s="142"/>
      <c r="BF58" s="142"/>
      <c r="BG58" s="142"/>
      <c r="BH58" s="142"/>
      <c r="BI58" s="142"/>
      <c r="BJ58" s="142"/>
      <c r="BK58" s="142"/>
      <c r="BL58" s="142"/>
      <c r="BM58" s="142"/>
      <c r="BN58" s="142"/>
      <c r="BO58" s="142"/>
      <c r="BP58" s="142"/>
      <c r="BQ58" s="142"/>
      <c r="BR58" s="142"/>
      <c r="BS58" s="142"/>
      <c r="BT58" s="142"/>
      <c r="BU58" s="142"/>
      <c r="BV58" s="142"/>
      <c r="BW58" s="142"/>
      <c r="BX58" s="142"/>
      <c r="BY58" s="142"/>
      <c r="BZ58" s="142"/>
      <c r="CA58" s="142"/>
      <c r="CB58" s="142"/>
      <c r="CC58" s="142"/>
      <c r="CD58" s="142"/>
      <c r="CE58" s="142"/>
      <c r="CF58" s="142"/>
      <c r="CG58" s="142"/>
      <c r="CH58" s="142"/>
      <c r="CI58" s="142"/>
      <c r="CJ58" s="142"/>
      <c r="CK58" s="142"/>
      <c r="CL58" s="142"/>
      <c r="CM58" s="142"/>
      <c r="CN58" s="142"/>
      <c r="CO58" s="142"/>
      <c r="CP58" s="142"/>
      <c r="CQ58" s="142"/>
      <c r="CR58" s="142"/>
      <c r="CS58" s="142"/>
      <c r="CT58" s="142"/>
      <c r="CU58" s="142"/>
      <c r="CV58" s="142"/>
      <c r="CW58" s="142"/>
      <c r="CX58" s="142"/>
      <c r="CY58" s="142"/>
      <c r="CZ58" s="142"/>
      <c r="DA58" s="142"/>
      <c r="DB58" s="142"/>
      <c r="DC58" s="142"/>
      <c r="DD58" s="142"/>
      <c r="DE58" s="142"/>
      <c r="DF58" s="142"/>
      <c r="DG58" s="142"/>
      <c r="DH58" s="142"/>
      <c r="DI58" s="142"/>
      <c r="DJ58" s="142"/>
      <c r="DK58" s="142"/>
      <c r="DL58" s="142"/>
      <c r="DM58" s="142"/>
      <c r="DN58" s="142"/>
      <c r="DO58" s="142"/>
      <c r="DP58" s="142"/>
      <c r="DQ58" s="142"/>
      <c r="DR58" s="142"/>
      <c r="DS58" s="142"/>
      <c r="DT58" s="142"/>
      <c r="DU58" s="142"/>
      <c r="DV58" s="142"/>
      <c r="DW58" s="142"/>
      <c r="DX58" s="142"/>
      <c r="DY58" s="142"/>
      <c r="DZ58" s="142"/>
      <c r="EA58" s="142"/>
      <c r="EB58" s="142"/>
      <c r="EC58" s="142"/>
      <c r="ED58" s="142"/>
      <c r="EE58" s="142"/>
      <c r="EF58" s="142"/>
      <c r="EG58" s="142"/>
      <c r="EH58" s="142"/>
      <c r="EI58" s="142"/>
      <c r="EJ58" s="142"/>
      <c r="EK58" s="142"/>
      <c r="EL58" s="142"/>
      <c r="EM58" s="142"/>
      <c r="EN58" s="142"/>
      <c r="EO58" s="142"/>
      <c r="EP58" s="142"/>
      <c r="EQ58" s="142"/>
      <c r="ER58" s="142"/>
      <c r="ES58" s="142"/>
      <c r="ET58" s="142"/>
      <c r="EU58" s="142"/>
      <c r="EV58" s="142"/>
      <c r="EW58" s="142"/>
      <c r="EX58" s="142"/>
      <c r="EY58" s="142"/>
      <c r="EZ58" s="142"/>
      <c r="FA58" s="142"/>
      <c r="FB58" s="142"/>
      <c r="FC58" s="142"/>
      <c r="FD58" s="142"/>
      <c r="FE58" s="142"/>
      <c r="FF58" s="142"/>
      <c r="FG58" s="142"/>
      <c r="FH58" s="142"/>
      <c r="FI58" s="142"/>
      <c r="FJ58" s="142"/>
      <c r="FK58" s="142"/>
      <c r="FL58" s="142"/>
      <c r="FM58" s="142"/>
      <c r="FN58" s="142"/>
      <c r="FO58" s="142"/>
      <c r="FP58" s="142"/>
      <c r="FQ58" s="142"/>
      <c r="FR58" s="142"/>
      <c r="FS58" s="142"/>
      <c r="FT58" s="142"/>
      <c r="FU58" s="142"/>
      <c r="FV58" s="142"/>
      <c r="FW58" s="142"/>
      <c r="FX58" s="142"/>
      <c r="FY58" s="142"/>
      <c r="FZ58" s="142"/>
      <c r="GA58" s="142"/>
      <c r="GB58" s="142"/>
      <c r="GC58" s="142"/>
      <c r="GD58" s="142"/>
      <c r="GE58" s="142"/>
      <c r="GF58" s="142"/>
      <c r="GG58" s="142"/>
      <c r="GH58" s="142"/>
      <c r="GI58" s="142"/>
      <c r="GJ58" s="142"/>
      <c r="GK58" s="142"/>
      <c r="GL58" s="142"/>
      <c r="GM58" s="142"/>
      <c r="GN58" s="142"/>
      <c r="GO58" s="142"/>
      <c r="GP58" s="142"/>
      <c r="GQ58" s="142"/>
      <c r="GR58" s="142"/>
      <c r="GS58" s="142"/>
      <c r="GT58" s="142"/>
      <c r="GU58" s="142"/>
      <c r="GV58" s="142"/>
      <c r="GW58" s="142"/>
      <c r="GX58" s="142"/>
      <c r="GY58" s="142"/>
      <c r="GZ58" s="142"/>
      <c r="HA58" s="142"/>
      <c r="HB58" s="142"/>
      <c r="HC58" s="142"/>
      <c r="HD58" s="142"/>
      <c r="HE58" s="142"/>
      <c r="HF58" s="142"/>
      <c r="HG58" s="142"/>
      <c r="HH58" s="142"/>
      <c r="HI58" s="142"/>
      <c r="HJ58" s="142"/>
      <c r="HK58" s="142"/>
      <c r="HL58" s="142"/>
      <c r="HM58" s="142"/>
      <c r="HN58" s="142"/>
      <c r="HO58" s="142"/>
      <c r="HP58" s="142"/>
      <c r="HQ58" s="142"/>
      <c r="HR58" s="142"/>
      <c r="HS58" s="142"/>
      <c r="HT58" s="142"/>
      <c r="HU58" s="142"/>
      <c r="HV58" s="142"/>
      <c r="HW58" s="142"/>
      <c r="HX58" s="142"/>
      <c r="HY58" s="142"/>
      <c r="HZ58" s="142"/>
      <c r="IA58" s="142"/>
      <c r="IB58" s="142"/>
      <c r="IC58" s="142"/>
      <c r="ID58" s="142"/>
      <c r="IE58" s="142"/>
      <c r="IF58" s="142"/>
      <c r="IG58" s="142"/>
      <c r="IH58" s="142"/>
      <c r="II58" s="142"/>
      <c r="IJ58" s="142"/>
      <c r="IK58" s="142"/>
      <c r="IL58" s="142"/>
      <c r="IM58" s="142"/>
      <c r="IN58" s="142"/>
      <c r="IO58" s="142"/>
      <c r="IP58" s="142"/>
      <c r="IQ58" s="142"/>
      <c r="IR58" s="142"/>
      <c r="IS58" s="142"/>
      <c r="IT58" s="142"/>
      <c r="IU58" s="142"/>
      <c r="IV58" s="142"/>
    </row>
    <row r="59" spans="1:256" s="216" customFormat="1" ht="18" customHeight="1" x14ac:dyDescent="0.35">
      <c r="A59" s="228">
        <v>51</v>
      </c>
      <c r="B59" s="730"/>
      <c r="C59" s="679"/>
      <c r="D59" s="288" t="s">
        <v>252</v>
      </c>
      <c r="E59" s="289"/>
      <c r="F59" s="289"/>
      <c r="G59" s="731"/>
      <c r="H59" s="291"/>
      <c r="I59" s="680"/>
      <c r="J59" s="680"/>
      <c r="K59" s="680">
        <v>22029</v>
      </c>
      <c r="L59" s="680"/>
      <c r="M59" s="680"/>
      <c r="N59" s="732"/>
      <c r="O59" s="287">
        <f>SUM(I59:N59)</f>
        <v>22029</v>
      </c>
      <c r="P59" s="735">
        <v>40911</v>
      </c>
      <c r="Q59" s="142"/>
      <c r="R59" s="142"/>
      <c r="S59" s="142"/>
      <c r="T59" s="142"/>
      <c r="U59" s="142"/>
      <c r="V59" s="142"/>
      <c r="W59" s="142"/>
      <c r="X59" s="142"/>
      <c r="Y59" s="142"/>
      <c r="Z59" s="142"/>
      <c r="AA59" s="142"/>
      <c r="AB59" s="142"/>
      <c r="AC59" s="142"/>
      <c r="AD59" s="142"/>
      <c r="AE59" s="142"/>
      <c r="AF59" s="142"/>
      <c r="AG59" s="142"/>
      <c r="AH59" s="142"/>
      <c r="AI59" s="142"/>
      <c r="AJ59" s="142"/>
      <c r="AK59" s="142"/>
      <c r="AL59" s="142"/>
      <c r="AM59" s="142"/>
      <c r="AN59" s="142"/>
      <c r="AO59" s="142"/>
      <c r="AP59" s="142"/>
      <c r="AQ59" s="142"/>
      <c r="AR59" s="142"/>
      <c r="AS59" s="142"/>
      <c r="AT59" s="142"/>
      <c r="AU59" s="142"/>
      <c r="AV59" s="142"/>
      <c r="AW59" s="142"/>
      <c r="AX59" s="142"/>
      <c r="AY59" s="142"/>
      <c r="AZ59" s="142"/>
      <c r="BA59" s="142"/>
      <c r="BB59" s="142"/>
      <c r="BC59" s="142"/>
      <c r="BD59" s="142"/>
      <c r="BE59" s="142"/>
      <c r="BF59" s="142"/>
      <c r="BG59" s="142"/>
      <c r="BH59" s="142"/>
      <c r="BI59" s="142"/>
      <c r="BJ59" s="142"/>
      <c r="BK59" s="142"/>
      <c r="BL59" s="142"/>
      <c r="BM59" s="142"/>
      <c r="BN59" s="142"/>
      <c r="BO59" s="142"/>
      <c r="BP59" s="142"/>
      <c r="BQ59" s="142"/>
      <c r="BR59" s="142"/>
      <c r="BS59" s="142"/>
      <c r="BT59" s="142"/>
      <c r="BU59" s="142"/>
      <c r="BV59" s="142"/>
      <c r="BW59" s="142"/>
      <c r="BX59" s="142"/>
      <c r="BY59" s="142"/>
      <c r="BZ59" s="142"/>
      <c r="CA59" s="142"/>
      <c r="CB59" s="142"/>
      <c r="CC59" s="142"/>
      <c r="CD59" s="142"/>
      <c r="CE59" s="142"/>
      <c r="CF59" s="142"/>
      <c r="CG59" s="142"/>
      <c r="CH59" s="142"/>
      <c r="CI59" s="142"/>
      <c r="CJ59" s="142"/>
      <c r="CK59" s="142"/>
      <c r="CL59" s="142"/>
      <c r="CM59" s="142"/>
      <c r="CN59" s="142"/>
      <c r="CO59" s="142"/>
      <c r="CP59" s="142"/>
      <c r="CQ59" s="142"/>
      <c r="CR59" s="142"/>
      <c r="CS59" s="142"/>
      <c r="CT59" s="142"/>
      <c r="CU59" s="142"/>
      <c r="CV59" s="142"/>
      <c r="CW59" s="142"/>
      <c r="CX59" s="142"/>
      <c r="CY59" s="142"/>
      <c r="CZ59" s="142"/>
      <c r="DA59" s="142"/>
      <c r="DB59" s="142"/>
      <c r="DC59" s="142"/>
      <c r="DD59" s="142"/>
      <c r="DE59" s="142"/>
      <c r="DF59" s="142"/>
      <c r="DG59" s="142"/>
      <c r="DH59" s="142"/>
      <c r="DI59" s="142"/>
      <c r="DJ59" s="142"/>
      <c r="DK59" s="142"/>
      <c r="DL59" s="142"/>
      <c r="DM59" s="142"/>
      <c r="DN59" s="142"/>
      <c r="DO59" s="142"/>
      <c r="DP59" s="142"/>
      <c r="DQ59" s="142"/>
      <c r="DR59" s="142"/>
      <c r="DS59" s="142"/>
      <c r="DT59" s="142"/>
      <c r="DU59" s="142"/>
      <c r="DV59" s="142"/>
      <c r="DW59" s="142"/>
      <c r="DX59" s="142"/>
      <c r="DY59" s="142"/>
      <c r="DZ59" s="142"/>
      <c r="EA59" s="142"/>
      <c r="EB59" s="142"/>
      <c r="EC59" s="142"/>
      <c r="ED59" s="142"/>
      <c r="EE59" s="142"/>
      <c r="EF59" s="142"/>
      <c r="EG59" s="142"/>
      <c r="EH59" s="142"/>
      <c r="EI59" s="142"/>
      <c r="EJ59" s="142"/>
      <c r="EK59" s="142"/>
      <c r="EL59" s="142"/>
      <c r="EM59" s="142"/>
      <c r="EN59" s="142"/>
      <c r="EO59" s="142"/>
      <c r="EP59" s="142"/>
      <c r="EQ59" s="142"/>
      <c r="ER59" s="142"/>
      <c r="ES59" s="142"/>
      <c r="ET59" s="142"/>
      <c r="EU59" s="142"/>
      <c r="EV59" s="142"/>
      <c r="EW59" s="142"/>
      <c r="EX59" s="142"/>
      <c r="EY59" s="142"/>
      <c r="EZ59" s="142"/>
      <c r="FA59" s="142"/>
      <c r="FB59" s="142"/>
      <c r="FC59" s="142"/>
      <c r="FD59" s="142"/>
      <c r="FE59" s="142"/>
      <c r="FF59" s="142"/>
      <c r="FG59" s="142"/>
      <c r="FH59" s="142"/>
      <c r="FI59" s="142"/>
      <c r="FJ59" s="142"/>
      <c r="FK59" s="142"/>
      <c r="FL59" s="142"/>
      <c r="FM59" s="142"/>
      <c r="FN59" s="142"/>
      <c r="FO59" s="142"/>
      <c r="FP59" s="142"/>
      <c r="FQ59" s="142"/>
      <c r="FR59" s="142"/>
      <c r="FS59" s="142"/>
      <c r="FT59" s="142"/>
      <c r="FU59" s="142"/>
      <c r="FV59" s="142"/>
      <c r="FW59" s="142"/>
      <c r="FX59" s="142"/>
      <c r="FY59" s="142"/>
      <c r="FZ59" s="142"/>
      <c r="GA59" s="142"/>
      <c r="GB59" s="142"/>
      <c r="GC59" s="142"/>
      <c r="GD59" s="142"/>
      <c r="GE59" s="142"/>
      <c r="GF59" s="142"/>
      <c r="GG59" s="142"/>
      <c r="GH59" s="142"/>
      <c r="GI59" s="142"/>
      <c r="GJ59" s="142"/>
      <c r="GK59" s="142"/>
      <c r="GL59" s="142"/>
      <c r="GM59" s="142"/>
      <c r="GN59" s="142"/>
      <c r="GO59" s="142"/>
      <c r="GP59" s="142"/>
      <c r="GQ59" s="142"/>
      <c r="GR59" s="142"/>
      <c r="GS59" s="142"/>
      <c r="GT59" s="142"/>
      <c r="GU59" s="142"/>
      <c r="GV59" s="142"/>
      <c r="GW59" s="142"/>
      <c r="GX59" s="142"/>
      <c r="GY59" s="142"/>
      <c r="GZ59" s="142"/>
      <c r="HA59" s="142"/>
      <c r="HB59" s="142"/>
      <c r="HC59" s="142"/>
      <c r="HD59" s="142"/>
      <c r="HE59" s="142"/>
      <c r="HF59" s="142"/>
      <c r="HG59" s="142"/>
      <c r="HH59" s="142"/>
      <c r="HI59" s="142"/>
      <c r="HJ59" s="142"/>
      <c r="HK59" s="142"/>
      <c r="HL59" s="142"/>
      <c r="HM59" s="142"/>
      <c r="HN59" s="142"/>
      <c r="HO59" s="142"/>
      <c r="HP59" s="142"/>
      <c r="HQ59" s="142"/>
      <c r="HR59" s="142"/>
      <c r="HS59" s="142"/>
      <c r="HT59" s="142"/>
      <c r="HU59" s="142"/>
      <c r="HV59" s="142"/>
      <c r="HW59" s="142"/>
      <c r="HX59" s="142"/>
      <c r="HY59" s="142"/>
      <c r="HZ59" s="142"/>
      <c r="IA59" s="142"/>
      <c r="IB59" s="142"/>
      <c r="IC59" s="142"/>
      <c r="ID59" s="142"/>
      <c r="IE59" s="142"/>
      <c r="IF59" s="142"/>
      <c r="IG59" s="142"/>
      <c r="IH59" s="142"/>
      <c r="II59" s="142"/>
      <c r="IJ59" s="142"/>
      <c r="IK59" s="142"/>
      <c r="IL59" s="142"/>
      <c r="IM59" s="142"/>
      <c r="IN59" s="142"/>
      <c r="IO59" s="142"/>
      <c r="IP59" s="142"/>
      <c r="IQ59" s="142"/>
      <c r="IR59" s="142"/>
      <c r="IS59" s="142"/>
      <c r="IT59" s="142"/>
      <c r="IU59" s="142"/>
      <c r="IV59" s="142"/>
    </row>
    <row r="60" spans="1:256" s="216" customFormat="1" ht="18" customHeight="1" x14ac:dyDescent="0.35">
      <c r="A60" s="228">
        <v>52</v>
      </c>
      <c r="B60" s="730"/>
      <c r="C60" s="679"/>
      <c r="D60" s="923" t="s">
        <v>921</v>
      </c>
      <c r="E60" s="289"/>
      <c r="F60" s="289"/>
      <c r="G60" s="731"/>
      <c r="H60" s="291"/>
      <c r="I60" s="950">
        <v>400</v>
      </c>
      <c r="J60" s="950">
        <v>52</v>
      </c>
      <c r="K60" s="950">
        <v>8260</v>
      </c>
      <c r="L60" s="950"/>
      <c r="M60" s="950">
        <v>100</v>
      </c>
      <c r="N60" s="1420"/>
      <c r="O60" s="1182">
        <f>SUM(I60:N60)</f>
        <v>8812</v>
      </c>
      <c r="P60" s="934"/>
      <c r="Q60" s="142"/>
      <c r="R60" s="142"/>
      <c r="S60" s="142"/>
      <c r="T60" s="142"/>
      <c r="U60" s="142"/>
      <c r="V60" s="142"/>
      <c r="W60" s="142"/>
      <c r="X60" s="142"/>
      <c r="Y60" s="142"/>
      <c r="Z60" s="142"/>
      <c r="AA60" s="142"/>
      <c r="AB60" s="142"/>
      <c r="AC60" s="142"/>
      <c r="AD60" s="142"/>
      <c r="AE60" s="142"/>
      <c r="AF60" s="142"/>
      <c r="AG60" s="142"/>
      <c r="AH60" s="142"/>
      <c r="AI60" s="142"/>
      <c r="AJ60" s="142"/>
      <c r="AK60" s="142"/>
      <c r="AL60" s="142"/>
      <c r="AM60" s="142"/>
      <c r="AN60" s="142"/>
      <c r="AO60" s="142"/>
      <c r="AP60" s="142"/>
      <c r="AQ60" s="142"/>
      <c r="AR60" s="142"/>
      <c r="AS60" s="142"/>
      <c r="AT60" s="142"/>
      <c r="AU60" s="142"/>
      <c r="AV60" s="142"/>
      <c r="AW60" s="142"/>
      <c r="AX60" s="142"/>
      <c r="AY60" s="142"/>
      <c r="AZ60" s="142"/>
      <c r="BA60" s="142"/>
      <c r="BB60" s="142"/>
      <c r="BC60" s="142"/>
      <c r="BD60" s="142"/>
      <c r="BE60" s="142"/>
      <c r="BF60" s="142"/>
      <c r="BG60" s="142"/>
      <c r="BH60" s="142"/>
      <c r="BI60" s="142"/>
      <c r="BJ60" s="142"/>
      <c r="BK60" s="142"/>
      <c r="BL60" s="142"/>
      <c r="BM60" s="142"/>
      <c r="BN60" s="142"/>
      <c r="BO60" s="142"/>
      <c r="BP60" s="142"/>
      <c r="BQ60" s="142"/>
      <c r="BR60" s="142"/>
      <c r="BS60" s="142"/>
      <c r="BT60" s="142"/>
      <c r="BU60" s="142"/>
      <c r="BV60" s="142"/>
      <c r="BW60" s="142"/>
      <c r="BX60" s="142"/>
      <c r="BY60" s="142"/>
      <c r="BZ60" s="142"/>
      <c r="CA60" s="142"/>
      <c r="CB60" s="142"/>
      <c r="CC60" s="142"/>
      <c r="CD60" s="142"/>
      <c r="CE60" s="142"/>
      <c r="CF60" s="142"/>
      <c r="CG60" s="142"/>
      <c r="CH60" s="142"/>
      <c r="CI60" s="142"/>
      <c r="CJ60" s="142"/>
      <c r="CK60" s="142"/>
      <c r="CL60" s="142"/>
      <c r="CM60" s="142"/>
      <c r="CN60" s="142"/>
      <c r="CO60" s="142"/>
      <c r="CP60" s="142"/>
      <c r="CQ60" s="142"/>
      <c r="CR60" s="142"/>
      <c r="CS60" s="142"/>
      <c r="CT60" s="142"/>
      <c r="CU60" s="142"/>
      <c r="CV60" s="142"/>
      <c r="CW60" s="142"/>
      <c r="CX60" s="142"/>
      <c r="CY60" s="142"/>
      <c r="CZ60" s="142"/>
      <c r="DA60" s="142"/>
      <c r="DB60" s="142"/>
      <c r="DC60" s="142"/>
      <c r="DD60" s="142"/>
      <c r="DE60" s="142"/>
      <c r="DF60" s="142"/>
      <c r="DG60" s="142"/>
      <c r="DH60" s="142"/>
      <c r="DI60" s="142"/>
      <c r="DJ60" s="142"/>
      <c r="DK60" s="142"/>
      <c r="DL60" s="142"/>
      <c r="DM60" s="142"/>
      <c r="DN60" s="142"/>
      <c r="DO60" s="142"/>
      <c r="DP60" s="142"/>
      <c r="DQ60" s="142"/>
      <c r="DR60" s="142"/>
      <c r="DS60" s="142"/>
      <c r="DT60" s="142"/>
      <c r="DU60" s="142"/>
      <c r="DV60" s="142"/>
      <c r="DW60" s="142"/>
      <c r="DX60" s="142"/>
      <c r="DY60" s="142"/>
      <c r="DZ60" s="142"/>
      <c r="EA60" s="142"/>
      <c r="EB60" s="142"/>
      <c r="EC60" s="142"/>
      <c r="ED60" s="142"/>
      <c r="EE60" s="142"/>
      <c r="EF60" s="142"/>
      <c r="EG60" s="142"/>
      <c r="EH60" s="142"/>
      <c r="EI60" s="142"/>
      <c r="EJ60" s="142"/>
      <c r="EK60" s="142"/>
      <c r="EL60" s="142"/>
      <c r="EM60" s="142"/>
      <c r="EN60" s="142"/>
      <c r="EO60" s="142"/>
      <c r="EP60" s="142"/>
      <c r="EQ60" s="142"/>
      <c r="ER60" s="142"/>
      <c r="ES60" s="142"/>
      <c r="ET60" s="142"/>
      <c r="EU60" s="142"/>
      <c r="EV60" s="142"/>
      <c r="EW60" s="142"/>
      <c r="EX60" s="142"/>
      <c r="EY60" s="142"/>
      <c r="EZ60" s="142"/>
      <c r="FA60" s="142"/>
      <c r="FB60" s="142"/>
      <c r="FC60" s="142"/>
      <c r="FD60" s="142"/>
      <c r="FE60" s="142"/>
      <c r="FF60" s="142"/>
      <c r="FG60" s="142"/>
      <c r="FH60" s="142"/>
      <c r="FI60" s="142"/>
      <c r="FJ60" s="142"/>
      <c r="FK60" s="142"/>
      <c r="FL60" s="142"/>
      <c r="FM60" s="142"/>
      <c r="FN60" s="142"/>
      <c r="FO60" s="142"/>
      <c r="FP60" s="142"/>
      <c r="FQ60" s="142"/>
      <c r="FR60" s="142"/>
      <c r="FS60" s="142"/>
      <c r="FT60" s="142"/>
      <c r="FU60" s="142"/>
      <c r="FV60" s="142"/>
      <c r="FW60" s="142"/>
      <c r="FX60" s="142"/>
      <c r="FY60" s="142"/>
      <c r="FZ60" s="142"/>
      <c r="GA60" s="142"/>
      <c r="GB60" s="142"/>
      <c r="GC60" s="142"/>
      <c r="GD60" s="142"/>
      <c r="GE60" s="142"/>
      <c r="GF60" s="142"/>
      <c r="GG60" s="142"/>
      <c r="GH60" s="142"/>
      <c r="GI60" s="142"/>
      <c r="GJ60" s="142"/>
      <c r="GK60" s="142"/>
      <c r="GL60" s="142"/>
      <c r="GM60" s="142"/>
      <c r="GN60" s="142"/>
      <c r="GO60" s="142"/>
      <c r="GP60" s="142"/>
      <c r="GQ60" s="142"/>
      <c r="GR60" s="142"/>
      <c r="GS60" s="142"/>
      <c r="GT60" s="142"/>
      <c r="GU60" s="142"/>
      <c r="GV60" s="142"/>
      <c r="GW60" s="142"/>
      <c r="GX60" s="142"/>
      <c r="GY60" s="142"/>
      <c r="GZ60" s="142"/>
      <c r="HA60" s="142"/>
      <c r="HB60" s="142"/>
      <c r="HC60" s="142"/>
      <c r="HD60" s="142"/>
      <c r="HE60" s="142"/>
      <c r="HF60" s="142"/>
      <c r="HG60" s="142"/>
      <c r="HH60" s="142"/>
      <c r="HI60" s="142"/>
      <c r="HJ60" s="142"/>
      <c r="HK60" s="142"/>
      <c r="HL60" s="142"/>
      <c r="HM60" s="142"/>
      <c r="HN60" s="142"/>
      <c r="HO60" s="142"/>
      <c r="HP60" s="142"/>
      <c r="HQ60" s="142"/>
      <c r="HR60" s="142"/>
      <c r="HS60" s="142"/>
      <c r="HT60" s="142"/>
      <c r="HU60" s="142"/>
      <c r="HV60" s="142"/>
      <c r="HW60" s="142"/>
      <c r="HX60" s="142"/>
      <c r="HY60" s="142"/>
      <c r="HZ60" s="142"/>
      <c r="IA60" s="142"/>
      <c r="IB60" s="142"/>
      <c r="IC60" s="142"/>
      <c r="ID60" s="142"/>
      <c r="IE60" s="142"/>
      <c r="IF60" s="142"/>
      <c r="IG60" s="142"/>
      <c r="IH60" s="142"/>
      <c r="II60" s="142"/>
      <c r="IJ60" s="142"/>
      <c r="IK60" s="142"/>
      <c r="IL60" s="142"/>
      <c r="IM60" s="142"/>
      <c r="IN60" s="142"/>
      <c r="IO60" s="142"/>
      <c r="IP60" s="142"/>
      <c r="IQ60" s="142"/>
      <c r="IR60" s="142"/>
      <c r="IS60" s="142"/>
      <c r="IT60" s="142"/>
      <c r="IU60" s="142"/>
      <c r="IV60" s="142"/>
    </row>
    <row r="61" spans="1:256" s="216" customFormat="1" ht="18" customHeight="1" x14ac:dyDescent="0.35">
      <c r="A61" s="228">
        <v>53</v>
      </c>
      <c r="B61" s="730"/>
      <c r="C61" s="679"/>
      <c r="D61" s="920" t="s">
        <v>972</v>
      </c>
      <c r="E61" s="289"/>
      <c r="F61" s="289"/>
      <c r="G61" s="731"/>
      <c r="H61" s="291"/>
      <c r="I61" s="1753">
        <v>76</v>
      </c>
      <c r="J61" s="1753">
        <v>5</v>
      </c>
      <c r="K61" s="1753">
        <v>1653</v>
      </c>
      <c r="L61" s="950"/>
      <c r="M61" s="1753">
        <v>0</v>
      </c>
      <c r="N61" s="732"/>
      <c r="O61" s="922">
        <f>SUM(I61:N61)</f>
        <v>1734</v>
      </c>
      <c r="P61" s="934"/>
      <c r="Q61" s="142"/>
      <c r="R61" s="142"/>
      <c r="S61" s="142"/>
      <c r="T61" s="142"/>
      <c r="U61" s="142"/>
      <c r="V61" s="142"/>
      <c r="W61" s="142"/>
      <c r="X61" s="142"/>
      <c r="Y61" s="142"/>
      <c r="Z61" s="142"/>
      <c r="AA61" s="142"/>
      <c r="AB61" s="142"/>
      <c r="AC61" s="142"/>
      <c r="AD61" s="142"/>
      <c r="AE61" s="142"/>
      <c r="AF61" s="142"/>
      <c r="AG61" s="142"/>
      <c r="AH61" s="142"/>
      <c r="AI61" s="142"/>
      <c r="AJ61" s="142"/>
      <c r="AK61" s="142"/>
      <c r="AL61" s="142"/>
      <c r="AM61" s="142"/>
      <c r="AN61" s="142"/>
      <c r="AO61" s="142"/>
      <c r="AP61" s="142"/>
      <c r="AQ61" s="142"/>
      <c r="AR61" s="142"/>
      <c r="AS61" s="142"/>
      <c r="AT61" s="142"/>
      <c r="AU61" s="142"/>
      <c r="AV61" s="142"/>
      <c r="AW61" s="142"/>
      <c r="AX61" s="142"/>
      <c r="AY61" s="142"/>
      <c r="AZ61" s="142"/>
      <c r="BA61" s="142"/>
      <c r="BB61" s="142"/>
      <c r="BC61" s="142"/>
      <c r="BD61" s="142"/>
      <c r="BE61" s="142"/>
      <c r="BF61" s="142"/>
      <c r="BG61" s="142"/>
      <c r="BH61" s="142"/>
      <c r="BI61" s="142"/>
      <c r="BJ61" s="142"/>
      <c r="BK61" s="142"/>
      <c r="BL61" s="142"/>
      <c r="BM61" s="142"/>
      <c r="BN61" s="142"/>
      <c r="BO61" s="142"/>
      <c r="BP61" s="142"/>
      <c r="BQ61" s="142"/>
      <c r="BR61" s="142"/>
      <c r="BS61" s="142"/>
      <c r="BT61" s="142"/>
      <c r="BU61" s="142"/>
      <c r="BV61" s="142"/>
      <c r="BW61" s="142"/>
      <c r="BX61" s="142"/>
      <c r="BY61" s="142"/>
      <c r="BZ61" s="142"/>
      <c r="CA61" s="142"/>
      <c r="CB61" s="142"/>
      <c r="CC61" s="142"/>
      <c r="CD61" s="142"/>
      <c r="CE61" s="142"/>
      <c r="CF61" s="142"/>
      <c r="CG61" s="142"/>
      <c r="CH61" s="142"/>
      <c r="CI61" s="142"/>
      <c r="CJ61" s="142"/>
      <c r="CK61" s="142"/>
      <c r="CL61" s="142"/>
      <c r="CM61" s="142"/>
      <c r="CN61" s="142"/>
      <c r="CO61" s="142"/>
      <c r="CP61" s="142"/>
      <c r="CQ61" s="142"/>
      <c r="CR61" s="142"/>
      <c r="CS61" s="142"/>
      <c r="CT61" s="142"/>
      <c r="CU61" s="142"/>
      <c r="CV61" s="142"/>
      <c r="CW61" s="142"/>
      <c r="CX61" s="142"/>
      <c r="CY61" s="142"/>
      <c r="CZ61" s="142"/>
      <c r="DA61" s="142"/>
      <c r="DB61" s="142"/>
      <c r="DC61" s="142"/>
      <c r="DD61" s="142"/>
      <c r="DE61" s="142"/>
      <c r="DF61" s="142"/>
      <c r="DG61" s="142"/>
      <c r="DH61" s="142"/>
      <c r="DI61" s="142"/>
      <c r="DJ61" s="142"/>
      <c r="DK61" s="142"/>
      <c r="DL61" s="142"/>
      <c r="DM61" s="142"/>
      <c r="DN61" s="142"/>
      <c r="DO61" s="142"/>
      <c r="DP61" s="142"/>
      <c r="DQ61" s="142"/>
      <c r="DR61" s="142"/>
      <c r="DS61" s="142"/>
      <c r="DT61" s="142"/>
      <c r="DU61" s="142"/>
      <c r="DV61" s="142"/>
      <c r="DW61" s="142"/>
      <c r="DX61" s="142"/>
      <c r="DY61" s="142"/>
      <c r="DZ61" s="142"/>
      <c r="EA61" s="142"/>
      <c r="EB61" s="142"/>
      <c r="EC61" s="142"/>
      <c r="ED61" s="142"/>
      <c r="EE61" s="142"/>
      <c r="EF61" s="142"/>
      <c r="EG61" s="142"/>
      <c r="EH61" s="142"/>
      <c r="EI61" s="142"/>
      <c r="EJ61" s="142"/>
      <c r="EK61" s="142"/>
      <c r="EL61" s="142"/>
      <c r="EM61" s="142"/>
      <c r="EN61" s="142"/>
      <c r="EO61" s="142"/>
      <c r="EP61" s="142"/>
      <c r="EQ61" s="142"/>
      <c r="ER61" s="142"/>
      <c r="ES61" s="142"/>
      <c r="ET61" s="142"/>
      <c r="EU61" s="142"/>
      <c r="EV61" s="142"/>
      <c r="EW61" s="142"/>
      <c r="EX61" s="142"/>
      <c r="EY61" s="142"/>
      <c r="EZ61" s="142"/>
      <c r="FA61" s="142"/>
      <c r="FB61" s="142"/>
      <c r="FC61" s="142"/>
      <c r="FD61" s="142"/>
      <c r="FE61" s="142"/>
      <c r="FF61" s="142"/>
      <c r="FG61" s="142"/>
      <c r="FH61" s="142"/>
      <c r="FI61" s="142"/>
      <c r="FJ61" s="142"/>
      <c r="FK61" s="142"/>
      <c r="FL61" s="142"/>
      <c r="FM61" s="142"/>
      <c r="FN61" s="142"/>
      <c r="FO61" s="142"/>
      <c r="FP61" s="142"/>
      <c r="FQ61" s="142"/>
      <c r="FR61" s="142"/>
      <c r="FS61" s="142"/>
      <c r="FT61" s="142"/>
      <c r="FU61" s="142"/>
      <c r="FV61" s="142"/>
      <c r="FW61" s="142"/>
      <c r="FX61" s="142"/>
      <c r="FY61" s="142"/>
      <c r="FZ61" s="142"/>
      <c r="GA61" s="142"/>
      <c r="GB61" s="142"/>
      <c r="GC61" s="142"/>
      <c r="GD61" s="142"/>
      <c r="GE61" s="142"/>
      <c r="GF61" s="142"/>
      <c r="GG61" s="142"/>
      <c r="GH61" s="142"/>
      <c r="GI61" s="142"/>
      <c r="GJ61" s="142"/>
      <c r="GK61" s="142"/>
      <c r="GL61" s="142"/>
      <c r="GM61" s="142"/>
      <c r="GN61" s="142"/>
      <c r="GO61" s="142"/>
      <c r="GP61" s="142"/>
      <c r="GQ61" s="142"/>
      <c r="GR61" s="142"/>
      <c r="GS61" s="142"/>
      <c r="GT61" s="142"/>
      <c r="GU61" s="142"/>
      <c r="GV61" s="142"/>
      <c r="GW61" s="142"/>
      <c r="GX61" s="142"/>
      <c r="GY61" s="142"/>
      <c r="GZ61" s="142"/>
      <c r="HA61" s="142"/>
      <c r="HB61" s="142"/>
      <c r="HC61" s="142"/>
      <c r="HD61" s="142"/>
      <c r="HE61" s="142"/>
      <c r="HF61" s="142"/>
      <c r="HG61" s="142"/>
      <c r="HH61" s="142"/>
      <c r="HI61" s="142"/>
      <c r="HJ61" s="142"/>
      <c r="HK61" s="142"/>
      <c r="HL61" s="142"/>
      <c r="HM61" s="142"/>
      <c r="HN61" s="142"/>
      <c r="HO61" s="142"/>
      <c r="HP61" s="142"/>
      <c r="HQ61" s="142"/>
      <c r="HR61" s="142"/>
      <c r="HS61" s="142"/>
      <c r="HT61" s="142"/>
      <c r="HU61" s="142"/>
      <c r="HV61" s="142"/>
      <c r="HW61" s="142"/>
      <c r="HX61" s="142"/>
      <c r="HY61" s="142"/>
      <c r="HZ61" s="142"/>
      <c r="IA61" s="142"/>
      <c r="IB61" s="142"/>
      <c r="IC61" s="142"/>
      <c r="ID61" s="142"/>
      <c r="IE61" s="142"/>
      <c r="IF61" s="142"/>
      <c r="IG61" s="142"/>
      <c r="IH61" s="142"/>
      <c r="II61" s="142"/>
      <c r="IJ61" s="142"/>
      <c r="IK61" s="142"/>
      <c r="IL61" s="142"/>
      <c r="IM61" s="142"/>
      <c r="IN61" s="142"/>
      <c r="IO61" s="142"/>
      <c r="IP61" s="142"/>
      <c r="IQ61" s="142"/>
      <c r="IR61" s="142"/>
      <c r="IS61" s="142"/>
      <c r="IT61" s="142"/>
      <c r="IU61" s="142"/>
      <c r="IV61" s="142"/>
    </row>
    <row r="62" spans="1:256" s="216" customFormat="1" ht="22.5" customHeight="1" x14ac:dyDescent="0.35">
      <c r="A62" s="228">
        <v>54</v>
      </c>
      <c r="B62" s="730"/>
      <c r="C62" s="285">
        <v>19</v>
      </c>
      <c r="D62" s="144" t="s">
        <v>553</v>
      </c>
      <c r="E62" s="665">
        <f>F62+G62+O64+P63+9270</f>
        <v>75600</v>
      </c>
      <c r="F62" s="289"/>
      <c r="G62" s="731"/>
      <c r="H62" s="733" t="s">
        <v>24</v>
      </c>
      <c r="I62" s="680"/>
      <c r="J62" s="680"/>
      <c r="K62" s="680"/>
      <c r="L62" s="680"/>
      <c r="M62" s="680"/>
      <c r="N62" s="732"/>
      <c r="O62" s="287"/>
      <c r="P62" s="284"/>
      <c r="Q62" s="142"/>
      <c r="R62" s="142"/>
      <c r="S62" s="142"/>
      <c r="T62" s="142"/>
      <c r="U62" s="142"/>
      <c r="V62" s="142"/>
      <c r="W62" s="142"/>
      <c r="X62" s="142"/>
      <c r="Y62" s="142"/>
      <c r="Z62" s="142"/>
      <c r="AA62" s="142"/>
      <c r="AB62" s="142"/>
      <c r="AC62" s="142"/>
      <c r="AD62" s="142"/>
      <c r="AE62" s="142"/>
      <c r="AF62" s="142"/>
      <c r="AG62" s="142"/>
      <c r="AH62" s="142"/>
      <c r="AI62" s="142"/>
      <c r="AJ62" s="142"/>
      <c r="AK62" s="142"/>
      <c r="AL62" s="142"/>
      <c r="AM62" s="142"/>
      <c r="AN62" s="142"/>
      <c r="AO62" s="142"/>
      <c r="AP62" s="142"/>
      <c r="AQ62" s="142"/>
      <c r="AR62" s="142"/>
      <c r="AS62" s="142"/>
      <c r="AT62" s="142"/>
      <c r="AU62" s="142"/>
      <c r="AV62" s="142"/>
      <c r="AW62" s="142"/>
      <c r="AX62" s="142"/>
      <c r="AY62" s="142"/>
      <c r="AZ62" s="142"/>
      <c r="BA62" s="142"/>
      <c r="BB62" s="142"/>
      <c r="BC62" s="142"/>
      <c r="BD62" s="142"/>
      <c r="BE62" s="142"/>
      <c r="BF62" s="142"/>
      <c r="BG62" s="142"/>
      <c r="BH62" s="142"/>
      <c r="BI62" s="142"/>
      <c r="BJ62" s="142"/>
      <c r="BK62" s="142"/>
      <c r="BL62" s="142"/>
      <c r="BM62" s="142"/>
      <c r="BN62" s="142"/>
      <c r="BO62" s="142"/>
      <c r="BP62" s="142"/>
      <c r="BQ62" s="142"/>
      <c r="BR62" s="142"/>
      <c r="BS62" s="142"/>
      <c r="BT62" s="142"/>
      <c r="BU62" s="142"/>
      <c r="BV62" s="142"/>
      <c r="BW62" s="142"/>
      <c r="BX62" s="142"/>
      <c r="BY62" s="142"/>
      <c r="BZ62" s="142"/>
      <c r="CA62" s="142"/>
      <c r="CB62" s="142"/>
      <c r="CC62" s="142"/>
      <c r="CD62" s="142"/>
      <c r="CE62" s="142"/>
      <c r="CF62" s="142"/>
      <c r="CG62" s="142"/>
      <c r="CH62" s="142"/>
      <c r="CI62" s="142"/>
      <c r="CJ62" s="142"/>
      <c r="CK62" s="142"/>
      <c r="CL62" s="142"/>
      <c r="CM62" s="142"/>
      <c r="CN62" s="142"/>
      <c r="CO62" s="142"/>
      <c r="CP62" s="142"/>
      <c r="CQ62" s="142"/>
      <c r="CR62" s="142"/>
      <c r="CS62" s="142"/>
      <c r="CT62" s="142"/>
      <c r="CU62" s="142"/>
      <c r="CV62" s="142"/>
      <c r="CW62" s="142"/>
      <c r="CX62" s="142"/>
      <c r="CY62" s="142"/>
      <c r="CZ62" s="142"/>
      <c r="DA62" s="142"/>
      <c r="DB62" s="142"/>
      <c r="DC62" s="142"/>
      <c r="DD62" s="142"/>
      <c r="DE62" s="142"/>
      <c r="DF62" s="142"/>
      <c r="DG62" s="142"/>
      <c r="DH62" s="142"/>
      <c r="DI62" s="142"/>
      <c r="DJ62" s="142"/>
      <c r="DK62" s="142"/>
      <c r="DL62" s="142"/>
      <c r="DM62" s="142"/>
      <c r="DN62" s="142"/>
      <c r="DO62" s="142"/>
      <c r="DP62" s="142"/>
      <c r="DQ62" s="142"/>
      <c r="DR62" s="142"/>
      <c r="DS62" s="142"/>
      <c r="DT62" s="142"/>
      <c r="DU62" s="142"/>
      <c r="DV62" s="142"/>
      <c r="DW62" s="142"/>
      <c r="DX62" s="142"/>
      <c r="DY62" s="142"/>
      <c r="DZ62" s="142"/>
      <c r="EA62" s="142"/>
      <c r="EB62" s="142"/>
      <c r="EC62" s="142"/>
      <c r="ED62" s="142"/>
      <c r="EE62" s="142"/>
      <c r="EF62" s="142"/>
      <c r="EG62" s="142"/>
      <c r="EH62" s="142"/>
      <c r="EI62" s="142"/>
      <c r="EJ62" s="142"/>
      <c r="EK62" s="142"/>
      <c r="EL62" s="142"/>
      <c r="EM62" s="142"/>
      <c r="EN62" s="142"/>
      <c r="EO62" s="142"/>
      <c r="EP62" s="142"/>
      <c r="EQ62" s="142"/>
      <c r="ER62" s="142"/>
      <c r="ES62" s="142"/>
      <c r="ET62" s="142"/>
      <c r="EU62" s="142"/>
      <c r="EV62" s="142"/>
      <c r="EW62" s="142"/>
      <c r="EX62" s="142"/>
      <c r="EY62" s="142"/>
      <c r="EZ62" s="142"/>
      <c r="FA62" s="142"/>
      <c r="FB62" s="142"/>
      <c r="FC62" s="142"/>
      <c r="FD62" s="142"/>
      <c r="FE62" s="142"/>
      <c r="FF62" s="142"/>
      <c r="FG62" s="142"/>
      <c r="FH62" s="142"/>
      <c r="FI62" s="142"/>
      <c r="FJ62" s="142"/>
      <c r="FK62" s="142"/>
      <c r="FL62" s="142"/>
      <c r="FM62" s="142"/>
      <c r="FN62" s="142"/>
      <c r="FO62" s="142"/>
      <c r="FP62" s="142"/>
      <c r="FQ62" s="142"/>
      <c r="FR62" s="142"/>
      <c r="FS62" s="142"/>
      <c r="FT62" s="142"/>
      <c r="FU62" s="142"/>
      <c r="FV62" s="142"/>
      <c r="FW62" s="142"/>
      <c r="FX62" s="142"/>
      <c r="FY62" s="142"/>
      <c r="FZ62" s="142"/>
      <c r="GA62" s="142"/>
      <c r="GB62" s="142"/>
      <c r="GC62" s="142"/>
      <c r="GD62" s="142"/>
      <c r="GE62" s="142"/>
      <c r="GF62" s="142"/>
      <c r="GG62" s="142"/>
      <c r="GH62" s="142"/>
      <c r="GI62" s="142"/>
      <c r="GJ62" s="142"/>
      <c r="GK62" s="142"/>
      <c r="GL62" s="142"/>
      <c r="GM62" s="142"/>
      <c r="GN62" s="142"/>
      <c r="GO62" s="142"/>
      <c r="GP62" s="142"/>
      <c r="GQ62" s="142"/>
      <c r="GR62" s="142"/>
      <c r="GS62" s="142"/>
      <c r="GT62" s="142"/>
      <c r="GU62" s="142"/>
      <c r="GV62" s="142"/>
      <c r="GW62" s="142"/>
      <c r="GX62" s="142"/>
      <c r="GY62" s="142"/>
      <c r="GZ62" s="142"/>
      <c r="HA62" s="142"/>
      <c r="HB62" s="142"/>
      <c r="HC62" s="142"/>
      <c r="HD62" s="142"/>
      <c r="HE62" s="142"/>
      <c r="HF62" s="142"/>
      <c r="HG62" s="142"/>
      <c r="HH62" s="142"/>
      <c r="HI62" s="142"/>
      <c r="HJ62" s="142"/>
      <c r="HK62" s="142"/>
      <c r="HL62" s="142"/>
      <c r="HM62" s="142"/>
      <c r="HN62" s="142"/>
      <c r="HO62" s="142"/>
      <c r="HP62" s="142"/>
      <c r="HQ62" s="142"/>
      <c r="HR62" s="142"/>
      <c r="HS62" s="142"/>
      <c r="HT62" s="142"/>
      <c r="HU62" s="142"/>
      <c r="HV62" s="142"/>
      <c r="HW62" s="142"/>
      <c r="HX62" s="142"/>
      <c r="HY62" s="142"/>
      <c r="HZ62" s="142"/>
      <c r="IA62" s="142"/>
      <c r="IB62" s="142"/>
      <c r="IC62" s="142"/>
      <c r="ID62" s="142"/>
      <c r="IE62" s="142"/>
      <c r="IF62" s="142"/>
      <c r="IG62" s="142"/>
      <c r="IH62" s="142"/>
      <c r="II62" s="142"/>
      <c r="IJ62" s="142"/>
      <c r="IK62" s="142"/>
      <c r="IL62" s="142"/>
      <c r="IM62" s="142"/>
      <c r="IN62" s="142"/>
      <c r="IO62" s="142"/>
      <c r="IP62" s="142"/>
      <c r="IQ62" s="142"/>
      <c r="IR62" s="142"/>
      <c r="IS62" s="142"/>
      <c r="IT62" s="142"/>
      <c r="IU62" s="142"/>
      <c r="IV62" s="142"/>
    </row>
    <row r="63" spans="1:256" s="216" customFormat="1" ht="18" customHeight="1" x14ac:dyDescent="0.35">
      <c r="A63" s="228">
        <v>55</v>
      </c>
      <c r="B63" s="730"/>
      <c r="C63" s="679"/>
      <c r="D63" s="288" t="s">
        <v>252</v>
      </c>
      <c r="E63" s="289"/>
      <c r="F63" s="289"/>
      <c r="G63" s="731"/>
      <c r="H63" s="291"/>
      <c r="I63" s="680"/>
      <c r="J63" s="680"/>
      <c r="K63" s="680">
        <v>18900</v>
      </c>
      <c r="L63" s="680"/>
      <c r="M63" s="680"/>
      <c r="N63" s="732"/>
      <c r="O63" s="287">
        <f>SUM(I63:N63)</f>
        <v>18900</v>
      </c>
      <c r="P63" s="735">
        <v>56700</v>
      </c>
      <c r="Q63" s="142"/>
      <c r="R63" s="142"/>
      <c r="S63" s="142"/>
      <c r="T63" s="142"/>
      <c r="U63" s="142"/>
      <c r="V63" s="142"/>
      <c r="W63" s="142"/>
      <c r="X63" s="142"/>
      <c r="Y63" s="142"/>
      <c r="Z63" s="142"/>
      <c r="AA63" s="142"/>
      <c r="AB63" s="142"/>
      <c r="AC63" s="142"/>
      <c r="AD63" s="142"/>
      <c r="AE63" s="142"/>
      <c r="AF63" s="142"/>
      <c r="AG63" s="142"/>
      <c r="AH63" s="142"/>
      <c r="AI63" s="142"/>
      <c r="AJ63" s="142"/>
      <c r="AK63" s="142"/>
      <c r="AL63" s="142"/>
      <c r="AM63" s="142"/>
      <c r="AN63" s="142"/>
      <c r="AO63" s="142"/>
      <c r="AP63" s="142"/>
      <c r="AQ63" s="142"/>
      <c r="AR63" s="142"/>
      <c r="AS63" s="142"/>
      <c r="AT63" s="142"/>
      <c r="AU63" s="142"/>
      <c r="AV63" s="142"/>
      <c r="AW63" s="142"/>
      <c r="AX63" s="142"/>
      <c r="AY63" s="142"/>
      <c r="AZ63" s="142"/>
      <c r="BA63" s="142"/>
      <c r="BB63" s="142"/>
      <c r="BC63" s="142"/>
      <c r="BD63" s="142"/>
      <c r="BE63" s="142"/>
      <c r="BF63" s="142"/>
      <c r="BG63" s="142"/>
      <c r="BH63" s="142"/>
      <c r="BI63" s="142"/>
      <c r="BJ63" s="142"/>
      <c r="BK63" s="142"/>
      <c r="BL63" s="142"/>
      <c r="BM63" s="142"/>
      <c r="BN63" s="142"/>
      <c r="BO63" s="142"/>
      <c r="BP63" s="142"/>
      <c r="BQ63" s="142"/>
      <c r="BR63" s="142"/>
      <c r="BS63" s="142"/>
      <c r="BT63" s="142"/>
      <c r="BU63" s="142"/>
      <c r="BV63" s="142"/>
      <c r="BW63" s="142"/>
      <c r="BX63" s="142"/>
      <c r="BY63" s="142"/>
      <c r="BZ63" s="142"/>
      <c r="CA63" s="142"/>
      <c r="CB63" s="142"/>
      <c r="CC63" s="142"/>
      <c r="CD63" s="142"/>
      <c r="CE63" s="142"/>
      <c r="CF63" s="142"/>
      <c r="CG63" s="142"/>
      <c r="CH63" s="142"/>
      <c r="CI63" s="142"/>
      <c r="CJ63" s="142"/>
      <c r="CK63" s="142"/>
      <c r="CL63" s="142"/>
      <c r="CM63" s="142"/>
      <c r="CN63" s="142"/>
      <c r="CO63" s="142"/>
      <c r="CP63" s="142"/>
      <c r="CQ63" s="142"/>
      <c r="CR63" s="142"/>
      <c r="CS63" s="142"/>
      <c r="CT63" s="142"/>
      <c r="CU63" s="142"/>
      <c r="CV63" s="142"/>
      <c r="CW63" s="142"/>
      <c r="CX63" s="142"/>
      <c r="CY63" s="142"/>
      <c r="CZ63" s="142"/>
      <c r="DA63" s="142"/>
      <c r="DB63" s="142"/>
      <c r="DC63" s="142"/>
      <c r="DD63" s="142"/>
      <c r="DE63" s="142"/>
      <c r="DF63" s="142"/>
      <c r="DG63" s="142"/>
      <c r="DH63" s="142"/>
      <c r="DI63" s="142"/>
      <c r="DJ63" s="142"/>
      <c r="DK63" s="142"/>
      <c r="DL63" s="142"/>
      <c r="DM63" s="142"/>
      <c r="DN63" s="142"/>
      <c r="DO63" s="142"/>
      <c r="DP63" s="142"/>
      <c r="DQ63" s="142"/>
      <c r="DR63" s="142"/>
      <c r="DS63" s="142"/>
      <c r="DT63" s="142"/>
      <c r="DU63" s="142"/>
      <c r="DV63" s="142"/>
      <c r="DW63" s="142"/>
      <c r="DX63" s="142"/>
      <c r="DY63" s="142"/>
      <c r="DZ63" s="142"/>
      <c r="EA63" s="142"/>
      <c r="EB63" s="142"/>
      <c r="EC63" s="142"/>
      <c r="ED63" s="142"/>
      <c r="EE63" s="142"/>
      <c r="EF63" s="142"/>
      <c r="EG63" s="142"/>
      <c r="EH63" s="142"/>
      <c r="EI63" s="142"/>
      <c r="EJ63" s="142"/>
      <c r="EK63" s="142"/>
      <c r="EL63" s="142"/>
      <c r="EM63" s="142"/>
      <c r="EN63" s="142"/>
      <c r="EO63" s="142"/>
      <c r="EP63" s="142"/>
      <c r="EQ63" s="142"/>
      <c r="ER63" s="142"/>
      <c r="ES63" s="142"/>
      <c r="ET63" s="142"/>
      <c r="EU63" s="142"/>
      <c r="EV63" s="142"/>
      <c r="EW63" s="142"/>
      <c r="EX63" s="142"/>
      <c r="EY63" s="142"/>
      <c r="EZ63" s="142"/>
      <c r="FA63" s="142"/>
      <c r="FB63" s="142"/>
      <c r="FC63" s="142"/>
      <c r="FD63" s="142"/>
      <c r="FE63" s="142"/>
      <c r="FF63" s="142"/>
      <c r="FG63" s="142"/>
      <c r="FH63" s="142"/>
      <c r="FI63" s="142"/>
      <c r="FJ63" s="142"/>
      <c r="FK63" s="142"/>
      <c r="FL63" s="142"/>
      <c r="FM63" s="142"/>
      <c r="FN63" s="142"/>
      <c r="FO63" s="142"/>
      <c r="FP63" s="142"/>
      <c r="FQ63" s="142"/>
      <c r="FR63" s="142"/>
      <c r="FS63" s="142"/>
      <c r="FT63" s="142"/>
      <c r="FU63" s="142"/>
      <c r="FV63" s="142"/>
      <c r="FW63" s="142"/>
      <c r="FX63" s="142"/>
      <c r="FY63" s="142"/>
      <c r="FZ63" s="142"/>
      <c r="GA63" s="142"/>
      <c r="GB63" s="142"/>
      <c r="GC63" s="142"/>
      <c r="GD63" s="142"/>
      <c r="GE63" s="142"/>
      <c r="GF63" s="142"/>
      <c r="GG63" s="142"/>
      <c r="GH63" s="142"/>
      <c r="GI63" s="142"/>
      <c r="GJ63" s="142"/>
      <c r="GK63" s="142"/>
      <c r="GL63" s="142"/>
      <c r="GM63" s="142"/>
      <c r="GN63" s="142"/>
      <c r="GO63" s="142"/>
      <c r="GP63" s="142"/>
      <c r="GQ63" s="142"/>
      <c r="GR63" s="142"/>
      <c r="GS63" s="142"/>
      <c r="GT63" s="142"/>
      <c r="GU63" s="142"/>
      <c r="GV63" s="142"/>
      <c r="GW63" s="142"/>
      <c r="GX63" s="142"/>
      <c r="GY63" s="142"/>
      <c r="GZ63" s="142"/>
      <c r="HA63" s="142"/>
      <c r="HB63" s="142"/>
      <c r="HC63" s="142"/>
      <c r="HD63" s="142"/>
      <c r="HE63" s="142"/>
      <c r="HF63" s="142"/>
      <c r="HG63" s="142"/>
      <c r="HH63" s="142"/>
      <c r="HI63" s="142"/>
      <c r="HJ63" s="142"/>
      <c r="HK63" s="142"/>
      <c r="HL63" s="142"/>
      <c r="HM63" s="142"/>
      <c r="HN63" s="142"/>
      <c r="HO63" s="142"/>
      <c r="HP63" s="142"/>
      <c r="HQ63" s="142"/>
      <c r="HR63" s="142"/>
      <c r="HS63" s="142"/>
      <c r="HT63" s="142"/>
      <c r="HU63" s="142"/>
      <c r="HV63" s="142"/>
      <c r="HW63" s="142"/>
      <c r="HX63" s="142"/>
      <c r="HY63" s="142"/>
      <c r="HZ63" s="142"/>
      <c r="IA63" s="142"/>
      <c r="IB63" s="142"/>
      <c r="IC63" s="142"/>
      <c r="ID63" s="142"/>
      <c r="IE63" s="142"/>
      <c r="IF63" s="142"/>
      <c r="IG63" s="142"/>
      <c r="IH63" s="142"/>
      <c r="II63" s="142"/>
      <c r="IJ63" s="142"/>
      <c r="IK63" s="142"/>
      <c r="IL63" s="142"/>
      <c r="IM63" s="142"/>
      <c r="IN63" s="142"/>
      <c r="IO63" s="142"/>
      <c r="IP63" s="142"/>
      <c r="IQ63" s="142"/>
      <c r="IR63" s="142"/>
      <c r="IS63" s="142"/>
      <c r="IT63" s="142"/>
      <c r="IU63" s="142"/>
      <c r="IV63" s="142"/>
    </row>
    <row r="64" spans="1:256" s="216" customFormat="1" ht="18" customHeight="1" x14ac:dyDescent="0.35">
      <c r="A64" s="228">
        <v>56</v>
      </c>
      <c r="B64" s="730"/>
      <c r="C64" s="679"/>
      <c r="D64" s="923" t="s">
        <v>921</v>
      </c>
      <c r="E64" s="289"/>
      <c r="F64" s="289"/>
      <c r="G64" s="731"/>
      <c r="H64" s="291"/>
      <c r="I64" s="950">
        <v>400</v>
      </c>
      <c r="J64" s="950">
        <v>52</v>
      </c>
      <c r="K64" s="950">
        <v>9178</v>
      </c>
      <c r="L64" s="950"/>
      <c r="M64" s="950"/>
      <c r="N64" s="1420"/>
      <c r="O64" s="1182">
        <f>SUM(I64:N64)</f>
        <v>9630</v>
      </c>
      <c r="P64" s="934"/>
      <c r="Q64" s="142"/>
      <c r="R64" s="142"/>
      <c r="S64" s="142"/>
      <c r="T64" s="142"/>
      <c r="U64" s="142"/>
      <c r="V64" s="142"/>
      <c r="W64" s="142"/>
      <c r="X64" s="142"/>
      <c r="Y64" s="142"/>
      <c r="Z64" s="142"/>
      <c r="AA64" s="142"/>
      <c r="AB64" s="142"/>
      <c r="AC64" s="142"/>
      <c r="AD64" s="142"/>
      <c r="AE64" s="142"/>
      <c r="AF64" s="142"/>
      <c r="AG64" s="142"/>
      <c r="AH64" s="142"/>
      <c r="AI64" s="142"/>
      <c r="AJ64" s="142"/>
      <c r="AK64" s="142"/>
      <c r="AL64" s="142"/>
      <c r="AM64" s="142"/>
      <c r="AN64" s="142"/>
      <c r="AO64" s="142"/>
      <c r="AP64" s="142"/>
      <c r="AQ64" s="142"/>
      <c r="AR64" s="142"/>
      <c r="AS64" s="142"/>
      <c r="AT64" s="142"/>
      <c r="AU64" s="142"/>
      <c r="AV64" s="142"/>
      <c r="AW64" s="142"/>
      <c r="AX64" s="142"/>
      <c r="AY64" s="142"/>
      <c r="AZ64" s="142"/>
      <c r="BA64" s="142"/>
      <c r="BB64" s="142"/>
      <c r="BC64" s="142"/>
      <c r="BD64" s="142"/>
      <c r="BE64" s="142"/>
      <c r="BF64" s="142"/>
      <c r="BG64" s="142"/>
      <c r="BH64" s="142"/>
      <c r="BI64" s="142"/>
      <c r="BJ64" s="142"/>
      <c r="BK64" s="142"/>
      <c r="BL64" s="142"/>
      <c r="BM64" s="142"/>
      <c r="BN64" s="142"/>
      <c r="BO64" s="142"/>
      <c r="BP64" s="142"/>
      <c r="BQ64" s="142"/>
      <c r="BR64" s="142"/>
      <c r="BS64" s="142"/>
      <c r="BT64" s="142"/>
      <c r="BU64" s="142"/>
      <c r="BV64" s="142"/>
      <c r="BW64" s="142"/>
      <c r="BX64" s="142"/>
      <c r="BY64" s="142"/>
      <c r="BZ64" s="142"/>
      <c r="CA64" s="142"/>
      <c r="CB64" s="142"/>
      <c r="CC64" s="142"/>
      <c r="CD64" s="142"/>
      <c r="CE64" s="142"/>
      <c r="CF64" s="142"/>
      <c r="CG64" s="142"/>
      <c r="CH64" s="142"/>
      <c r="CI64" s="142"/>
      <c r="CJ64" s="142"/>
      <c r="CK64" s="142"/>
      <c r="CL64" s="142"/>
      <c r="CM64" s="142"/>
      <c r="CN64" s="142"/>
      <c r="CO64" s="142"/>
      <c r="CP64" s="142"/>
      <c r="CQ64" s="142"/>
      <c r="CR64" s="142"/>
      <c r="CS64" s="142"/>
      <c r="CT64" s="142"/>
      <c r="CU64" s="142"/>
      <c r="CV64" s="142"/>
      <c r="CW64" s="142"/>
      <c r="CX64" s="142"/>
      <c r="CY64" s="142"/>
      <c r="CZ64" s="142"/>
      <c r="DA64" s="142"/>
      <c r="DB64" s="142"/>
      <c r="DC64" s="142"/>
      <c r="DD64" s="142"/>
      <c r="DE64" s="142"/>
      <c r="DF64" s="142"/>
      <c r="DG64" s="142"/>
      <c r="DH64" s="142"/>
      <c r="DI64" s="142"/>
      <c r="DJ64" s="142"/>
      <c r="DK64" s="142"/>
      <c r="DL64" s="142"/>
      <c r="DM64" s="142"/>
      <c r="DN64" s="142"/>
      <c r="DO64" s="142"/>
      <c r="DP64" s="142"/>
      <c r="DQ64" s="142"/>
      <c r="DR64" s="142"/>
      <c r="DS64" s="142"/>
      <c r="DT64" s="142"/>
      <c r="DU64" s="142"/>
      <c r="DV64" s="142"/>
      <c r="DW64" s="142"/>
      <c r="DX64" s="142"/>
      <c r="DY64" s="142"/>
      <c r="DZ64" s="142"/>
      <c r="EA64" s="142"/>
      <c r="EB64" s="142"/>
      <c r="EC64" s="142"/>
      <c r="ED64" s="142"/>
      <c r="EE64" s="142"/>
      <c r="EF64" s="142"/>
      <c r="EG64" s="142"/>
      <c r="EH64" s="142"/>
      <c r="EI64" s="142"/>
      <c r="EJ64" s="142"/>
      <c r="EK64" s="142"/>
      <c r="EL64" s="142"/>
      <c r="EM64" s="142"/>
      <c r="EN64" s="142"/>
      <c r="EO64" s="142"/>
      <c r="EP64" s="142"/>
      <c r="EQ64" s="142"/>
      <c r="ER64" s="142"/>
      <c r="ES64" s="142"/>
      <c r="ET64" s="142"/>
      <c r="EU64" s="142"/>
      <c r="EV64" s="142"/>
      <c r="EW64" s="142"/>
      <c r="EX64" s="142"/>
      <c r="EY64" s="142"/>
      <c r="EZ64" s="142"/>
      <c r="FA64" s="142"/>
      <c r="FB64" s="142"/>
      <c r="FC64" s="142"/>
      <c r="FD64" s="142"/>
      <c r="FE64" s="142"/>
      <c r="FF64" s="142"/>
      <c r="FG64" s="142"/>
      <c r="FH64" s="142"/>
      <c r="FI64" s="142"/>
      <c r="FJ64" s="142"/>
      <c r="FK64" s="142"/>
      <c r="FL64" s="142"/>
      <c r="FM64" s="142"/>
      <c r="FN64" s="142"/>
      <c r="FO64" s="142"/>
      <c r="FP64" s="142"/>
      <c r="FQ64" s="142"/>
      <c r="FR64" s="142"/>
      <c r="FS64" s="142"/>
      <c r="FT64" s="142"/>
      <c r="FU64" s="142"/>
      <c r="FV64" s="142"/>
      <c r="FW64" s="142"/>
      <c r="FX64" s="142"/>
      <c r="FY64" s="142"/>
      <c r="FZ64" s="142"/>
      <c r="GA64" s="142"/>
      <c r="GB64" s="142"/>
      <c r="GC64" s="142"/>
      <c r="GD64" s="142"/>
      <c r="GE64" s="142"/>
      <c r="GF64" s="142"/>
      <c r="GG64" s="142"/>
      <c r="GH64" s="142"/>
      <c r="GI64" s="142"/>
      <c r="GJ64" s="142"/>
      <c r="GK64" s="142"/>
      <c r="GL64" s="142"/>
      <c r="GM64" s="142"/>
      <c r="GN64" s="142"/>
      <c r="GO64" s="142"/>
      <c r="GP64" s="142"/>
      <c r="GQ64" s="142"/>
      <c r="GR64" s="142"/>
      <c r="GS64" s="142"/>
      <c r="GT64" s="142"/>
      <c r="GU64" s="142"/>
      <c r="GV64" s="142"/>
      <c r="GW64" s="142"/>
      <c r="GX64" s="142"/>
      <c r="GY64" s="142"/>
      <c r="GZ64" s="142"/>
      <c r="HA64" s="142"/>
      <c r="HB64" s="142"/>
      <c r="HC64" s="142"/>
      <c r="HD64" s="142"/>
      <c r="HE64" s="142"/>
      <c r="HF64" s="142"/>
      <c r="HG64" s="142"/>
      <c r="HH64" s="142"/>
      <c r="HI64" s="142"/>
      <c r="HJ64" s="142"/>
      <c r="HK64" s="142"/>
      <c r="HL64" s="142"/>
      <c r="HM64" s="142"/>
      <c r="HN64" s="142"/>
      <c r="HO64" s="142"/>
      <c r="HP64" s="142"/>
      <c r="HQ64" s="142"/>
      <c r="HR64" s="142"/>
      <c r="HS64" s="142"/>
      <c r="HT64" s="142"/>
      <c r="HU64" s="142"/>
      <c r="HV64" s="142"/>
      <c r="HW64" s="142"/>
      <c r="HX64" s="142"/>
      <c r="HY64" s="142"/>
      <c r="HZ64" s="142"/>
      <c r="IA64" s="142"/>
      <c r="IB64" s="142"/>
      <c r="IC64" s="142"/>
      <c r="ID64" s="142"/>
      <c r="IE64" s="142"/>
      <c r="IF64" s="142"/>
      <c r="IG64" s="142"/>
      <c r="IH64" s="142"/>
      <c r="II64" s="142"/>
      <c r="IJ64" s="142"/>
      <c r="IK64" s="142"/>
      <c r="IL64" s="142"/>
      <c r="IM64" s="142"/>
      <c r="IN64" s="142"/>
      <c r="IO64" s="142"/>
      <c r="IP64" s="142"/>
      <c r="IQ64" s="142"/>
      <c r="IR64" s="142"/>
      <c r="IS64" s="142"/>
      <c r="IT64" s="142"/>
      <c r="IU64" s="142"/>
      <c r="IV64" s="142"/>
    </row>
    <row r="65" spans="1:256" s="216" customFormat="1" ht="18" customHeight="1" x14ac:dyDescent="0.35">
      <c r="A65" s="228">
        <v>57</v>
      </c>
      <c r="B65" s="730"/>
      <c r="C65" s="679"/>
      <c r="D65" s="920" t="s">
        <v>972</v>
      </c>
      <c r="E65" s="289"/>
      <c r="F65" s="289"/>
      <c r="G65" s="731"/>
      <c r="H65" s="291"/>
      <c r="I65" s="1753">
        <v>0</v>
      </c>
      <c r="J65" s="1753">
        <v>0</v>
      </c>
      <c r="K65" s="1753">
        <v>432</v>
      </c>
      <c r="L65" s="680"/>
      <c r="M65" s="680"/>
      <c r="N65" s="732"/>
      <c r="O65" s="922">
        <f>SUM(I65:N65)</f>
        <v>432</v>
      </c>
      <c r="P65" s="934"/>
      <c r="Q65" s="142"/>
      <c r="R65" s="142"/>
      <c r="S65" s="142"/>
      <c r="T65" s="142"/>
      <c r="U65" s="142"/>
      <c r="V65" s="142"/>
      <c r="W65" s="142"/>
      <c r="X65" s="142"/>
      <c r="Y65" s="142"/>
      <c r="Z65" s="142"/>
      <c r="AA65" s="142"/>
      <c r="AB65" s="142"/>
      <c r="AC65" s="142"/>
      <c r="AD65" s="142"/>
      <c r="AE65" s="142"/>
      <c r="AF65" s="142"/>
      <c r="AG65" s="142"/>
      <c r="AH65" s="142"/>
      <c r="AI65" s="142"/>
      <c r="AJ65" s="142"/>
      <c r="AK65" s="142"/>
      <c r="AL65" s="142"/>
      <c r="AM65" s="142"/>
      <c r="AN65" s="142"/>
      <c r="AO65" s="142"/>
      <c r="AP65" s="142"/>
      <c r="AQ65" s="142"/>
      <c r="AR65" s="142"/>
      <c r="AS65" s="142"/>
      <c r="AT65" s="142"/>
      <c r="AU65" s="142"/>
      <c r="AV65" s="142"/>
      <c r="AW65" s="142"/>
      <c r="AX65" s="142"/>
      <c r="AY65" s="142"/>
      <c r="AZ65" s="142"/>
      <c r="BA65" s="142"/>
      <c r="BB65" s="142"/>
      <c r="BC65" s="142"/>
      <c r="BD65" s="142"/>
      <c r="BE65" s="142"/>
      <c r="BF65" s="142"/>
      <c r="BG65" s="142"/>
      <c r="BH65" s="142"/>
      <c r="BI65" s="142"/>
      <c r="BJ65" s="142"/>
      <c r="BK65" s="142"/>
      <c r="BL65" s="142"/>
      <c r="BM65" s="142"/>
      <c r="BN65" s="142"/>
      <c r="BO65" s="142"/>
      <c r="BP65" s="142"/>
      <c r="BQ65" s="142"/>
      <c r="BR65" s="142"/>
      <c r="BS65" s="142"/>
      <c r="BT65" s="142"/>
      <c r="BU65" s="142"/>
      <c r="BV65" s="142"/>
      <c r="BW65" s="142"/>
      <c r="BX65" s="142"/>
      <c r="BY65" s="142"/>
      <c r="BZ65" s="142"/>
      <c r="CA65" s="142"/>
      <c r="CB65" s="142"/>
      <c r="CC65" s="142"/>
      <c r="CD65" s="142"/>
      <c r="CE65" s="142"/>
      <c r="CF65" s="142"/>
      <c r="CG65" s="142"/>
      <c r="CH65" s="142"/>
      <c r="CI65" s="142"/>
      <c r="CJ65" s="142"/>
      <c r="CK65" s="142"/>
      <c r="CL65" s="142"/>
      <c r="CM65" s="142"/>
      <c r="CN65" s="142"/>
      <c r="CO65" s="142"/>
      <c r="CP65" s="142"/>
      <c r="CQ65" s="142"/>
      <c r="CR65" s="142"/>
      <c r="CS65" s="142"/>
      <c r="CT65" s="142"/>
      <c r="CU65" s="142"/>
      <c r="CV65" s="142"/>
      <c r="CW65" s="142"/>
      <c r="CX65" s="142"/>
      <c r="CY65" s="142"/>
      <c r="CZ65" s="142"/>
      <c r="DA65" s="142"/>
      <c r="DB65" s="142"/>
      <c r="DC65" s="142"/>
      <c r="DD65" s="142"/>
      <c r="DE65" s="142"/>
      <c r="DF65" s="142"/>
      <c r="DG65" s="142"/>
      <c r="DH65" s="142"/>
      <c r="DI65" s="142"/>
      <c r="DJ65" s="142"/>
      <c r="DK65" s="142"/>
      <c r="DL65" s="142"/>
      <c r="DM65" s="142"/>
      <c r="DN65" s="142"/>
      <c r="DO65" s="142"/>
      <c r="DP65" s="142"/>
      <c r="DQ65" s="142"/>
      <c r="DR65" s="142"/>
      <c r="DS65" s="142"/>
      <c r="DT65" s="142"/>
      <c r="DU65" s="142"/>
      <c r="DV65" s="142"/>
      <c r="DW65" s="142"/>
      <c r="DX65" s="142"/>
      <c r="DY65" s="142"/>
      <c r="DZ65" s="142"/>
      <c r="EA65" s="142"/>
      <c r="EB65" s="142"/>
      <c r="EC65" s="142"/>
      <c r="ED65" s="142"/>
      <c r="EE65" s="142"/>
      <c r="EF65" s="142"/>
      <c r="EG65" s="142"/>
      <c r="EH65" s="142"/>
      <c r="EI65" s="142"/>
      <c r="EJ65" s="142"/>
      <c r="EK65" s="142"/>
      <c r="EL65" s="142"/>
      <c r="EM65" s="142"/>
      <c r="EN65" s="142"/>
      <c r="EO65" s="142"/>
      <c r="EP65" s="142"/>
      <c r="EQ65" s="142"/>
      <c r="ER65" s="142"/>
      <c r="ES65" s="142"/>
      <c r="ET65" s="142"/>
      <c r="EU65" s="142"/>
      <c r="EV65" s="142"/>
      <c r="EW65" s="142"/>
      <c r="EX65" s="142"/>
      <c r="EY65" s="142"/>
      <c r="EZ65" s="142"/>
      <c r="FA65" s="142"/>
      <c r="FB65" s="142"/>
      <c r="FC65" s="142"/>
      <c r="FD65" s="142"/>
      <c r="FE65" s="142"/>
      <c r="FF65" s="142"/>
      <c r="FG65" s="142"/>
      <c r="FH65" s="142"/>
      <c r="FI65" s="142"/>
      <c r="FJ65" s="142"/>
      <c r="FK65" s="142"/>
      <c r="FL65" s="142"/>
      <c r="FM65" s="142"/>
      <c r="FN65" s="142"/>
      <c r="FO65" s="142"/>
      <c r="FP65" s="142"/>
      <c r="FQ65" s="142"/>
      <c r="FR65" s="142"/>
      <c r="FS65" s="142"/>
      <c r="FT65" s="142"/>
      <c r="FU65" s="142"/>
      <c r="FV65" s="142"/>
      <c r="FW65" s="142"/>
      <c r="FX65" s="142"/>
      <c r="FY65" s="142"/>
      <c r="FZ65" s="142"/>
      <c r="GA65" s="142"/>
      <c r="GB65" s="142"/>
      <c r="GC65" s="142"/>
      <c r="GD65" s="142"/>
      <c r="GE65" s="142"/>
      <c r="GF65" s="142"/>
      <c r="GG65" s="142"/>
      <c r="GH65" s="142"/>
      <c r="GI65" s="142"/>
      <c r="GJ65" s="142"/>
      <c r="GK65" s="142"/>
      <c r="GL65" s="142"/>
      <c r="GM65" s="142"/>
      <c r="GN65" s="142"/>
      <c r="GO65" s="142"/>
      <c r="GP65" s="142"/>
      <c r="GQ65" s="142"/>
      <c r="GR65" s="142"/>
      <c r="GS65" s="142"/>
      <c r="GT65" s="142"/>
      <c r="GU65" s="142"/>
      <c r="GV65" s="142"/>
      <c r="GW65" s="142"/>
      <c r="GX65" s="142"/>
      <c r="GY65" s="142"/>
      <c r="GZ65" s="142"/>
      <c r="HA65" s="142"/>
      <c r="HB65" s="142"/>
      <c r="HC65" s="142"/>
      <c r="HD65" s="142"/>
      <c r="HE65" s="142"/>
      <c r="HF65" s="142"/>
      <c r="HG65" s="142"/>
      <c r="HH65" s="142"/>
      <c r="HI65" s="142"/>
      <c r="HJ65" s="142"/>
      <c r="HK65" s="142"/>
      <c r="HL65" s="142"/>
      <c r="HM65" s="142"/>
      <c r="HN65" s="142"/>
      <c r="HO65" s="142"/>
      <c r="HP65" s="142"/>
      <c r="HQ65" s="142"/>
      <c r="HR65" s="142"/>
      <c r="HS65" s="142"/>
      <c r="HT65" s="142"/>
      <c r="HU65" s="142"/>
      <c r="HV65" s="142"/>
      <c r="HW65" s="142"/>
      <c r="HX65" s="142"/>
      <c r="HY65" s="142"/>
      <c r="HZ65" s="142"/>
      <c r="IA65" s="142"/>
      <c r="IB65" s="142"/>
      <c r="IC65" s="142"/>
      <c r="ID65" s="142"/>
      <c r="IE65" s="142"/>
      <c r="IF65" s="142"/>
      <c r="IG65" s="142"/>
      <c r="IH65" s="142"/>
      <c r="II65" s="142"/>
      <c r="IJ65" s="142"/>
      <c r="IK65" s="142"/>
      <c r="IL65" s="142"/>
      <c r="IM65" s="142"/>
      <c r="IN65" s="142"/>
      <c r="IO65" s="142"/>
      <c r="IP65" s="142"/>
      <c r="IQ65" s="142"/>
      <c r="IR65" s="142"/>
      <c r="IS65" s="142"/>
      <c r="IT65" s="142"/>
      <c r="IU65" s="142"/>
      <c r="IV65" s="142"/>
    </row>
    <row r="66" spans="1:256" s="216" customFormat="1" ht="22.5" customHeight="1" x14ac:dyDescent="0.35">
      <c r="A66" s="228">
        <v>58</v>
      </c>
      <c r="B66" s="730"/>
      <c r="C66" s="285">
        <v>20</v>
      </c>
      <c r="D66" s="144" t="s">
        <v>554</v>
      </c>
      <c r="E66" s="665">
        <f>F66+G66+O68+P67</f>
        <v>9694</v>
      </c>
      <c r="F66" s="289"/>
      <c r="G66" s="731"/>
      <c r="H66" s="733" t="s">
        <v>24</v>
      </c>
      <c r="I66" s="680"/>
      <c r="J66" s="680"/>
      <c r="K66" s="680"/>
      <c r="L66" s="680"/>
      <c r="M66" s="680"/>
      <c r="N66" s="732"/>
      <c r="O66" s="287"/>
      <c r="P66" s="284"/>
      <c r="Q66" s="142"/>
      <c r="R66" s="142"/>
      <c r="S66" s="142"/>
      <c r="T66" s="142"/>
      <c r="U66" s="142"/>
      <c r="V66" s="142"/>
      <c r="W66" s="142"/>
      <c r="X66" s="142"/>
      <c r="Y66" s="142"/>
      <c r="Z66" s="142"/>
      <c r="AA66" s="142"/>
      <c r="AB66" s="142"/>
      <c r="AC66" s="142"/>
      <c r="AD66" s="142"/>
      <c r="AE66" s="142"/>
      <c r="AF66" s="142"/>
      <c r="AG66" s="142"/>
      <c r="AH66" s="142"/>
      <c r="AI66" s="142"/>
      <c r="AJ66" s="142"/>
      <c r="AK66" s="142"/>
      <c r="AL66" s="142"/>
      <c r="AM66" s="142"/>
      <c r="AN66" s="142"/>
      <c r="AO66" s="142"/>
      <c r="AP66" s="142"/>
      <c r="AQ66" s="142"/>
      <c r="AR66" s="142"/>
      <c r="AS66" s="142"/>
      <c r="AT66" s="142"/>
      <c r="AU66" s="142"/>
      <c r="AV66" s="142"/>
      <c r="AW66" s="142"/>
      <c r="AX66" s="142"/>
      <c r="AY66" s="142"/>
      <c r="AZ66" s="142"/>
      <c r="BA66" s="142"/>
      <c r="BB66" s="142"/>
      <c r="BC66" s="142"/>
      <c r="BD66" s="142"/>
      <c r="BE66" s="142"/>
      <c r="BF66" s="142"/>
      <c r="BG66" s="142"/>
      <c r="BH66" s="142"/>
      <c r="BI66" s="142"/>
      <c r="BJ66" s="142"/>
      <c r="BK66" s="142"/>
      <c r="BL66" s="142"/>
      <c r="BM66" s="142"/>
      <c r="BN66" s="142"/>
      <c r="BO66" s="142"/>
      <c r="BP66" s="142"/>
      <c r="BQ66" s="142"/>
      <c r="BR66" s="142"/>
      <c r="BS66" s="142"/>
      <c r="BT66" s="142"/>
      <c r="BU66" s="142"/>
      <c r="BV66" s="142"/>
      <c r="BW66" s="142"/>
      <c r="BX66" s="142"/>
      <c r="BY66" s="142"/>
      <c r="BZ66" s="142"/>
      <c r="CA66" s="142"/>
      <c r="CB66" s="142"/>
      <c r="CC66" s="142"/>
      <c r="CD66" s="142"/>
      <c r="CE66" s="142"/>
      <c r="CF66" s="142"/>
      <c r="CG66" s="142"/>
      <c r="CH66" s="142"/>
      <c r="CI66" s="142"/>
      <c r="CJ66" s="142"/>
      <c r="CK66" s="142"/>
      <c r="CL66" s="142"/>
      <c r="CM66" s="142"/>
      <c r="CN66" s="142"/>
      <c r="CO66" s="142"/>
      <c r="CP66" s="142"/>
      <c r="CQ66" s="142"/>
      <c r="CR66" s="142"/>
      <c r="CS66" s="142"/>
      <c r="CT66" s="142"/>
      <c r="CU66" s="142"/>
      <c r="CV66" s="142"/>
      <c r="CW66" s="142"/>
      <c r="CX66" s="142"/>
      <c r="CY66" s="142"/>
      <c r="CZ66" s="142"/>
      <c r="DA66" s="142"/>
      <c r="DB66" s="142"/>
      <c r="DC66" s="142"/>
      <c r="DD66" s="142"/>
      <c r="DE66" s="142"/>
      <c r="DF66" s="142"/>
      <c r="DG66" s="142"/>
      <c r="DH66" s="142"/>
      <c r="DI66" s="142"/>
      <c r="DJ66" s="142"/>
      <c r="DK66" s="142"/>
      <c r="DL66" s="142"/>
      <c r="DM66" s="142"/>
      <c r="DN66" s="142"/>
      <c r="DO66" s="142"/>
      <c r="DP66" s="142"/>
      <c r="DQ66" s="142"/>
      <c r="DR66" s="142"/>
      <c r="DS66" s="142"/>
      <c r="DT66" s="142"/>
      <c r="DU66" s="142"/>
      <c r="DV66" s="142"/>
      <c r="DW66" s="142"/>
      <c r="DX66" s="142"/>
      <c r="DY66" s="142"/>
      <c r="DZ66" s="142"/>
      <c r="EA66" s="142"/>
      <c r="EB66" s="142"/>
      <c r="EC66" s="142"/>
      <c r="ED66" s="142"/>
      <c r="EE66" s="142"/>
      <c r="EF66" s="142"/>
      <c r="EG66" s="142"/>
      <c r="EH66" s="142"/>
      <c r="EI66" s="142"/>
      <c r="EJ66" s="142"/>
      <c r="EK66" s="142"/>
      <c r="EL66" s="142"/>
      <c r="EM66" s="142"/>
      <c r="EN66" s="142"/>
      <c r="EO66" s="142"/>
      <c r="EP66" s="142"/>
      <c r="EQ66" s="142"/>
      <c r="ER66" s="142"/>
      <c r="ES66" s="142"/>
      <c r="ET66" s="142"/>
      <c r="EU66" s="142"/>
      <c r="EV66" s="142"/>
      <c r="EW66" s="142"/>
      <c r="EX66" s="142"/>
      <c r="EY66" s="142"/>
      <c r="EZ66" s="142"/>
      <c r="FA66" s="142"/>
      <c r="FB66" s="142"/>
      <c r="FC66" s="142"/>
      <c r="FD66" s="142"/>
      <c r="FE66" s="142"/>
      <c r="FF66" s="142"/>
      <c r="FG66" s="142"/>
      <c r="FH66" s="142"/>
      <c r="FI66" s="142"/>
      <c r="FJ66" s="142"/>
      <c r="FK66" s="142"/>
      <c r="FL66" s="142"/>
      <c r="FM66" s="142"/>
      <c r="FN66" s="142"/>
      <c r="FO66" s="142"/>
      <c r="FP66" s="142"/>
      <c r="FQ66" s="142"/>
      <c r="FR66" s="142"/>
      <c r="FS66" s="142"/>
      <c r="FT66" s="142"/>
      <c r="FU66" s="142"/>
      <c r="FV66" s="142"/>
      <c r="FW66" s="142"/>
      <c r="FX66" s="142"/>
      <c r="FY66" s="142"/>
      <c r="FZ66" s="142"/>
      <c r="GA66" s="142"/>
      <c r="GB66" s="142"/>
      <c r="GC66" s="142"/>
      <c r="GD66" s="142"/>
      <c r="GE66" s="142"/>
      <c r="GF66" s="142"/>
      <c r="GG66" s="142"/>
      <c r="GH66" s="142"/>
      <c r="GI66" s="142"/>
      <c r="GJ66" s="142"/>
      <c r="GK66" s="142"/>
      <c r="GL66" s="142"/>
      <c r="GM66" s="142"/>
      <c r="GN66" s="142"/>
      <c r="GO66" s="142"/>
      <c r="GP66" s="142"/>
      <c r="GQ66" s="142"/>
      <c r="GR66" s="142"/>
      <c r="GS66" s="142"/>
      <c r="GT66" s="142"/>
      <c r="GU66" s="142"/>
      <c r="GV66" s="142"/>
      <c r="GW66" s="142"/>
      <c r="GX66" s="142"/>
      <c r="GY66" s="142"/>
      <c r="GZ66" s="142"/>
      <c r="HA66" s="142"/>
      <c r="HB66" s="142"/>
      <c r="HC66" s="142"/>
      <c r="HD66" s="142"/>
      <c r="HE66" s="142"/>
      <c r="HF66" s="142"/>
      <c r="HG66" s="142"/>
      <c r="HH66" s="142"/>
      <c r="HI66" s="142"/>
      <c r="HJ66" s="142"/>
      <c r="HK66" s="142"/>
      <c r="HL66" s="142"/>
      <c r="HM66" s="142"/>
      <c r="HN66" s="142"/>
      <c r="HO66" s="142"/>
      <c r="HP66" s="142"/>
      <c r="HQ66" s="142"/>
      <c r="HR66" s="142"/>
      <c r="HS66" s="142"/>
      <c r="HT66" s="142"/>
      <c r="HU66" s="142"/>
      <c r="HV66" s="142"/>
      <c r="HW66" s="142"/>
      <c r="HX66" s="142"/>
      <c r="HY66" s="142"/>
      <c r="HZ66" s="142"/>
      <c r="IA66" s="142"/>
      <c r="IB66" s="142"/>
      <c r="IC66" s="142"/>
      <c r="ID66" s="142"/>
      <c r="IE66" s="142"/>
      <c r="IF66" s="142"/>
      <c r="IG66" s="142"/>
      <c r="IH66" s="142"/>
      <c r="II66" s="142"/>
      <c r="IJ66" s="142"/>
      <c r="IK66" s="142"/>
      <c r="IL66" s="142"/>
      <c r="IM66" s="142"/>
      <c r="IN66" s="142"/>
      <c r="IO66" s="142"/>
      <c r="IP66" s="142"/>
      <c r="IQ66" s="142"/>
      <c r="IR66" s="142"/>
      <c r="IS66" s="142"/>
      <c r="IT66" s="142"/>
      <c r="IU66" s="142"/>
      <c r="IV66" s="142"/>
    </row>
    <row r="67" spans="1:256" s="216" customFormat="1" ht="18" customHeight="1" x14ac:dyDescent="0.35">
      <c r="A67" s="228">
        <v>59</v>
      </c>
      <c r="B67" s="730"/>
      <c r="C67" s="679"/>
      <c r="D67" s="288" t="s">
        <v>252</v>
      </c>
      <c r="E67" s="289"/>
      <c r="F67" s="289"/>
      <c r="G67" s="731"/>
      <c r="H67" s="291"/>
      <c r="I67" s="680"/>
      <c r="J67" s="680"/>
      <c r="K67" s="680">
        <v>3694</v>
      </c>
      <c r="L67" s="680"/>
      <c r="M67" s="680"/>
      <c r="N67" s="732"/>
      <c r="O67" s="287">
        <f>SUM(I67:N67)</f>
        <v>3694</v>
      </c>
      <c r="P67" s="735">
        <v>6000</v>
      </c>
      <c r="Q67" s="142"/>
      <c r="R67" s="142"/>
      <c r="S67" s="142"/>
      <c r="T67" s="142"/>
      <c r="U67" s="142"/>
      <c r="V67" s="142"/>
      <c r="W67" s="142"/>
      <c r="X67" s="142"/>
      <c r="Y67" s="142"/>
      <c r="Z67" s="142"/>
      <c r="AA67" s="142"/>
      <c r="AB67" s="142"/>
      <c r="AC67" s="142"/>
      <c r="AD67" s="142"/>
      <c r="AE67" s="142"/>
      <c r="AF67" s="142"/>
      <c r="AG67" s="142"/>
      <c r="AH67" s="142"/>
      <c r="AI67" s="142"/>
      <c r="AJ67" s="142"/>
      <c r="AK67" s="142"/>
      <c r="AL67" s="142"/>
      <c r="AM67" s="142"/>
      <c r="AN67" s="142"/>
      <c r="AO67" s="142"/>
      <c r="AP67" s="142"/>
      <c r="AQ67" s="142"/>
      <c r="AR67" s="142"/>
      <c r="AS67" s="142"/>
      <c r="AT67" s="142"/>
      <c r="AU67" s="142"/>
      <c r="AV67" s="142"/>
      <c r="AW67" s="142"/>
      <c r="AX67" s="142"/>
      <c r="AY67" s="142"/>
      <c r="AZ67" s="142"/>
      <c r="BA67" s="142"/>
      <c r="BB67" s="142"/>
      <c r="BC67" s="142"/>
      <c r="BD67" s="142"/>
      <c r="BE67" s="142"/>
      <c r="BF67" s="142"/>
      <c r="BG67" s="142"/>
      <c r="BH67" s="142"/>
      <c r="BI67" s="142"/>
      <c r="BJ67" s="142"/>
      <c r="BK67" s="142"/>
      <c r="BL67" s="142"/>
      <c r="BM67" s="142"/>
      <c r="BN67" s="142"/>
      <c r="BO67" s="142"/>
      <c r="BP67" s="142"/>
      <c r="BQ67" s="142"/>
      <c r="BR67" s="142"/>
      <c r="BS67" s="142"/>
      <c r="BT67" s="142"/>
      <c r="BU67" s="142"/>
      <c r="BV67" s="142"/>
      <c r="BW67" s="142"/>
      <c r="BX67" s="142"/>
      <c r="BY67" s="142"/>
      <c r="BZ67" s="142"/>
      <c r="CA67" s="142"/>
      <c r="CB67" s="142"/>
      <c r="CC67" s="142"/>
      <c r="CD67" s="142"/>
      <c r="CE67" s="142"/>
      <c r="CF67" s="142"/>
      <c r="CG67" s="142"/>
      <c r="CH67" s="142"/>
      <c r="CI67" s="142"/>
      <c r="CJ67" s="142"/>
      <c r="CK67" s="142"/>
      <c r="CL67" s="142"/>
      <c r="CM67" s="142"/>
      <c r="CN67" s="142"/>
      <c r="CO67" s="142"/>
      <c r="CP67" s="142"/>
      <c r="CQ67" s="142"/>
      <c r="CR67" s="142"/>
      <c r="CS67" s="142"/>
      <c r="CT67" s="142"/>
      <c r="CU67" s="142"/>
      <c r="CV67" s="142"/>
      <c r="CW67" s="142"/>
      <c r="CX67" s="142"/>
      <c r="CY67" s="142"/>
      <c r="CZ67" s="142"/>
      <c r="DA67" s="142"/>
      <c r="DB67" s="142"/>
      <c r="DC67" s="142"/>
      <c r="DD67" s="142"/>
      <c r="DE67" s="142"/>
      <c r="DF67" s="142"/>
      <c r="DG67" s="142"/>
      <c r="DH67" s="142"/>
      <c r="DI67" s="142"/>
      <c r="DJ67" s="142"/>
      <c r="DK67" s="142"/>
      <c r="DL67" s="142"/>
      <c r="DM67" s="142"/>
      <c r="DN67" s="142"/>
      <c r="DO67" s="142"/>
      <c r="DP67" s="142"/>
      <c r="DQ67" s="142"/>
      <c r="DR67" s="142"/>
      <c r="DS67" s="142"/>
      <c r="DT67" s="142"/>
      <c r="DU67" s="142"/>
      <c r="DV67" s="142"/>
      <c r="DW67" s="142"/>
      <c r="DX67" s="142"/>
      <c r="DY67" s="142"/>
      <c r="DZ67" s="142"/>
      <c r="EA67" s="142"/>
      <c r="EB67" s="142"/>
      <c r="EC67" s="142"/>
      <c r="ED67" s="142"/>
      <c r="EE67" s="142"/>
      <c r="EF67" s="142"/>
      <c r="EG67" s="142"/>
      <c r="EH67" s="142"/>
      <c r="EI67" s="142"/>
      <c r="EJ67" s="142"/>
      <c r="EK67" s="142"/>
      <c r="EL67" s="142"/>
      <c r="EM67" s="142"/>
      <c r="EN67" s="142"/>
      <c r="EO67" s="142"/>
      <c r="EP67" s="142"/>
      <c r="EQ67" s="142"/>
      <c r="ER67" s="142"/>
      <c r="ES67" s="142"/>
      <c r="ET67" s="142"/>
      <c r="EU67" s="142"/>
      <c r="EV67" s="142"/>
      <c r="EW67" s="142"/>
      <c r="EX67" s="142"/>
      <c r="EY67" s="142"/>
      <c r="EZ67" s="142"/>
      <c r="FA67" s="142"/>
      <c r="FB67" s="142"/>
      <c r="FC67" s="142"/>
      <c r="FD67" s="142"/>
      <c r="FE67" s="142"/>
      <c r="FF67" s="142"/>
      <c r="FG67" s="142"/>
      <c r="FH67" s="142"/>
      <c r="FI67" s="142"/>
      <c r="FJ67" s="142"/>
      <c r="FK67" s="142"/>
      <c r="FL67" s="142"/>
      <c r="FM67" s="142"/>
      <c r="FN67" s="142"/>
      <c r="FO67" s="142"/>
      <c r="FP67" s="142"/>
      <c r="FQ67" s="142"/>
      <c r="FR67" s="142"/>
      <c r="FS67" s="142"/>
      <c r="FT67" s="142"/>
      <c r="FU67" s="142"/>
      <c r="FV67" s="142"/>
      <c r="FW67" s="142"/>
      <c r="FX67" s="142"/>
      <c r="FY67" s="142"/>
      <c r="FZ67" s="142"/>
      <c r="GA67" s="142"/>
      <c r="GB67" s="142"/>
      <c r="GC67" s="142"/>
      <c r="GD67" s="142"/>
      <c r="GE67" s="142"/>
      <c r="GF67" s="142"/>
      <c r="GG67" s="142"/>
      <c r="GH67" s="142"/>
      <c r="GI67" s="142"/>
      <c r="GJ67" s="142"/>
      <c r="GK67" s="142"/>
      <c r="GL67" s="142"/>
      <c r="GM67" s="142"/>
      <c r="GN67" s="142"/>
      <c r="GO67" s="142"/>
      <c r="GP67" s="142"/>
      <c r="GQ67" s="142"/>
      <c r="GR67" s="142"/>
      <c r="GS67" s="142"/>
      <c r="GT67" s="142"/>
      <c r="GU67" s="142"/>
      <c r="GV67" s="142"/>
      <c r="GW67" s="142"/>
      <c r="GX67" s="142"/>
      <c r="GY67" s="142"/>
      <c r="GZ67" s="142"/>
      <c r="HA67" s="142"/>
      <c r="HB67" s="142"/>
      <c r="HC67" s="142"/>
      <c r="HD67" s="142"/>
      <c r="HE67" s="142"/>
      <c r="HF67" s="142"/>
      <c r="HG67" s="142"/>
      <c r="HH67" s="142"/>
      <c r="HI67" s="142"/>
      <c r="HJ67" s="142"/>
      <c r="HK67" s="142"/>
      <c r="HL67" s="142"/>
      <c r="HM67" s="142"/>
      <c r="HN67" s="142"/>
      <c r="HO67" s="142"/>
      <c r="HP67" s="142"/>
      <c r="HQ67" s="142"/>
      <c r="HR67" s="142"/>
      <c r="HS67" s="142"/>
      <c r="HT67" s="142"/>
      <c r="HU67" s="142"/>
      <c r="HV67" s="142"/>
      <c r="HW67" s="142"/>
      <c r="HX67" s="142"/>
      <c r="HY67" s="142"/>
      <c r="HZ67" s="142"/>
      <c r="IA67" s="142"/>
      <c r="IB67" s="142"/>
      <c r="IC67" s="142"/>
      <c r="ID67" s="142"/>
      <c r="IE67" s="142"/>
      <c r="IF67" s="142"/>
      <c r="IG67" s="142"/>
      <c r="IH67" s="142"/>
      <c r="II67" s="142"/>
      <c r="IJ67" s="142"/>
      <c r="IK67" s="142"/>
      <c r="IL67" s="142"/>
      <c r="IM67" s="142"/>
      <c r="IN67" s="142"/>
      <c r="IO67" s="142"/>
      <c r="IP67" s="142"/>
      <c r="IQ67" s="142"/>
      <c r="IR67" s="142"/>
      <c r="IS67" s="142"/>
      <c r="IT67" s="142"/>
      <c r="IU67" s="142"/>
      <c r="IV67" s="142"/>
    </row>
    <row r="68" spans="1:256" s="216" customFormat="1" ht="18" customHeight="1" x14ac:dyDescent="0.35">
      <c r="A68" s="228">
        <v>60</v>
      </c>
      <c r="B68" s="730"/>
      <c r="C68" s="679"/>
      <c r="D68" s="923" t="s">
        <v>921</v>
      </c>
      <c r="E68" s="289"/>
      <c r="F68" s="289"/>
      <c r="G68" s="731"/>
      <c r="H68" s="291"/>
      <c r="I68" s="680"/>
      <c r="J68" s="680"/>
      <c r="K68" s="950">
        <v>3694</v>
      </c>
      <c r="L68" s="680"/>
      <c r="M68" s="680"/>
      <c r="N68" s="732"/>
      <c r="O68" s="1182">
        <f>SUM(I68:N68)</f>
        <v>3694</v>
      </c>
      <c r="P68" s="934"/>
      <c r="Q68" s="142"/>
      <c r="R68" s="142"/>
      <c r="S68" s="142"/>
      <c r="T68" s="142"/>
      <c r="U68" s="142"/>
      <c r="V68" s="142"/>
      <c r="W68" s="142"/>
      <c r="X68" s="142"/>
      <c r="Y68" s="142"/>
      <c r="Z68" s="142"/>
      <c r="AA68" s="142"/>
      <c r="AB68" s="142"/>
      <c r="AC68" s="142"/>
      <c r="AD68" s="142"/>
      <c r="AE68" s="142"/>
      <c r="AF68" s="142"/>
      <c r="AG68" s="142"/>
      <c r="AH68" s="142"/>
      <c r="AI68" s="142"/>
      <c r="AJ68" s="142"/>
      <c r="AK68" s="142"/>
      <c r="AL68" s="142"/>
      <c r="AM68" s="142"/>
      <c r="AN68" s="142"/>
      <c r="AO68" s="142"/>
      <c r="AP68" s="142"/>
      <c r="AQ68" s="142"/>
      <c r="AR68" s="142"/>
      <c r="AS68" s="142"/>
      <c r="AT68" s="142"/>
      <c r="AU68" s="142"/>
      <c r="AV68" s="142"/>
      <c r="AW68" s="142"/>
      <c r="AX68" s="142"/>
      <c r="AY68" s="142"/>
      <c r="AZ68" s="142"/>
      <c r="BA68" s="142"/>
      <c r="BB68" s="142"/>
      <c r="BC68" s="142"/>
      <c r="BD68" s="142"/>
      <c r="BE68" s="142"/>
      <c r="BF68" s="142"/>
      <c r="BG68" s="142"/>
      <c r="BH68" s="142"/>
      <c r="BI68" s="142"/>
      <c r="BJ68" s="142"/>
      <c r="BK68" s="142"/>
      <c r="BL68" s="142"/>
      <c r="BM68" s="142"/>
      <c r="BN68" s="142"/>
      <c r="BO68" s="142"/>
      <c r="BP68" s="142"/>
      <c r="BQ68" s="142"/>
      <c r="BR68" s="142"/>
      <c r="BS68" s="142"/>
      <c r="BT68" s="142"/>
      <c r="BU68" s="142"/>
      <c r="BV68" s="142"/>
      <c r="BW68" s="142"/>
      <c r="BX68" s="142"/>
      <c r="BY68" s="142"/>
      <c r="BZ68" s="142"/>
      <c r="CA68" s="142"/>
      <c r="CB68" s="142"/>
      <c r="CC68" s="142"/>
      <c r="CD68" s="142"/>
      <c r="CE68" s="142"/>
      <c r="CF68" s="142"/>
      <c r="CG68" s="142"/>
      <c r="CH68" s="142"/>
      <c r="CI68" s="142"/>
      <c r="CJ68" s="142"/>
      <c r="CK68" s="142"/>
      <c r="CL68" s="142"/>
      <c r="CM68" s="142"/>
      <c r="CN68" s="142"/>
      <c r="CO68" s="142"/>
      <c r="CP68" s="142"/>
      <c r="CQ68" s="142"/>
      <c r="CR68" s="142"/>
      <c r="CS68" s="142"/>
      <c r="CT68" s="142"/>
      <c r="CU68" s="142"/>
      <c r="CV68" s="142"/>
      <c r="CW68" s="142"/>
      <c r="CX68" s="142"/>
      <c r="CY68" s="142"/>
      <c r="CZ68" s="142"/>
      <c r="DA68" s="142"/>
      <c r="DB68" s="142"/>
      <c r="DC68" s="142"/>
      <c r="DD68" s="142"/>
      <c r="DE68" s="142"/>
      <c r="DF68" s="142"/>
      <c r="DG68" s="142"/>
      <c r="DH68" s="142"/>
      <c r="DI68" s="142"/>
      <c r="DJ68" s="142"/>
      <c r="DK68" s="142"/>
      <c r="DL68" s="142"/>
      <c r="DM68" s="142"/>
      <c r="DN68" s="142"/>
      <c r="DO68" s="142"/>
      <c r="DP68" s="142"/>
      <c r="DQ68" s="142"/>
      <c r="DR68" s="142"/>
      <c r="DS68" s="142"/>
      <c r="DT68" s="142"/>
      <c r="DU68" s="142"/>
      <c r="DV68" s="142"/>
      <c r="DW68" s="142"/>
      <c r="DX68" s="142"/>
      <c r="DY68" s="142"/>
      <c r="DZ68" s="142"/>
      <c r="EA68" s="142"/>
      <c r="EB68" s="142"/>
      <c r="EC68" s="142"/>
      <c r="ED68" s="142"/>
      <c r="EE68" s="142"/>
      <c r="EF68" s="142"/>
      <c r="EG68" s="142"/>
      <c r="EH68" s="142"/>
      <c r="EI68" s="142"/>
      <c r="EJ68" s="142"/>
      <c r="EK68" s="142"/>
      <c r="EL68" s="142"/>
      <c r="EM68" s="142"/>
      <c r="EN68" s="142"/>
      <c r="EO68" s="142"/>
      <c r="EP68" s="142"/>
      <c r="EQ68" s="142"/>
      <c r="ER68" s="142"/>
      <c r="ES68" s="142"/>
      <c r="ET68" s="142"/>
      <c r="EU68" s="142"/>
      <c r="EV68" s="142"/>
      <c r="EW68" s="142"/>
      <c r="EX68" s="142"/>
      <c r="EY68" s="142"/>
      <c r="EZ68" s="142"/>
      <c r="FA68" s="142"/>
      <c r="FB68" s="142"/>
      <c r="FC68" s="142"/>
      <c r="FD68" s="142"/>
      <c r="FE68" s="142"/>
      <c r="FF68" s="142"/>
      <c r="FG68" s="142"/>
      <c r="FH68" s="142"/>
      <c r="FI68" s="142"/>
      <c r="FJ68" s="142"/>
      <c r="FK68" s="142"/>
      <c r="FL68" s="142"/>
      <c r="FM68" s="142"/>
      <c r="FN68" s="142"/>
      <c r="FO68" s="142"/>
      <c r="FP68" s="142"/>
      <c r="FQ68" s="142"/>
      <c r="FR68" s="142"/>
      <c r="FS68" s="142"/>
      <c r="FT68" s="142"/>
      <c r="FU68" s="142"/>
      <c r="FV68" s="142"/>
      <c r="FW68" s="142"/>
      <c r="FX68" s="142"/>
      <c r="FY68" s="142"/>
      <c r="FZ68" s="142"/>
      <c r="GA68" s="142"/>
      <c r="GB68" s="142"/>
      <c r="GC68" s="142"/>
      <c r="GD68" s="142"/>
      <c r="GE68" s="142"/>
      <c r="GF68" s="142"/>
      <c r="GG68" s="142"/>
      <c r="GH68" s="142"/>
      <c r="GI68" s="142"/>
      <c r="GJ68" s="142"/>
      <c r="GK68" s="142"/>
      <c r="GL68" s="142"/>
      <c r="GM68" s="142"/>
      <c r="GN68" s="142"/>
      <c r="GO68" s="142"/>
      <c r="GP68" s="142"/>
      <c r="GQ68" s="142"/>
      <c r="GR68" s="142"/>
      <c r="GS68" s="142"/>
      <c r="GT68" s="142"/>
      <c r="GU68" s="142"/>
      <c r="GV68" s="142"/>
      <c r="GW68" s="142"/>
      <c r="GX68" s="142"/>
      <c r="GY68" s="142"/>
      <c r="GZ68" s="142"/>
      <c r="HA68" s="142"/>
      <c r="HB68" s="142"/>
      <c r="HC68" s="142"/>
      <c r="HD68" s="142"/>
      <c r="HE68" s="142"/>
      <c r="HF68" s="142"/>
      <c r="HG68" s="142"/>
      <c r="HH68" s="142"/>
      <c r="HI68" s="142"/>
      <c r="HJ68" s="142"/>
      <c r="HK68" s="142"/>
      <c r="HL68" s="142"/>
      <c r="HM68" s="142"/>
      <c r="HN68" s="142"/>
      <c r="HO68" s="142"/>
      <c r="HP68" s="142"/>
      <c r="HQ68" s="142"/>
      <c r="HR68" s="142"/>
      <c r="HS68" s="142"/>
      <c r="HT68" s="142"/>
      <c r="HU68" s="142"/>
      <c r="HV68" s="142"/>
      <c r="HW68" s="142"/>
      <c r="HX68" s="142"/>
      <c r="HY68" s="142"/>
      <c r="HZ68" s="142"/>
      <c r="IA68" s="142"/>
      <c r="IB68" s="142"/>
      <c r="IC68" s="142"/>
      <c r="ID68" s="142"/>
      <c r="IE68" s="142"/>
      <c r="IF68" s="142"/>
      <c r="IG68" s="142"/>
      <c r="IH68" s="142"/>
      <c r="II68" s="142"/>
      <c r="IJ68" s="142"/>
      <c r="IK68" s="142"/>
      <c r="IL68" s="142"/>
      <c r="IM68" s="142"/>
      <c r="IN68" s="142"/>
      <c r="IO68" s="142"/>
      <c r="IP68" s="142"/>
      <c r="IQ68" s="142"/>
      <c r="IR68" s="142"/>
      <c r="IS68" s="142"/>
      <c r="IT68" s="142"/>
      <c r="IU68" s="142"/>
      <c r="IV68" s="142"/>
    </row>
    <row r="69" spans="1:256" s="216" customFormat="1" ht="18" customHeight="1" x14ac:dyDescent="0.35">
      <c r="A69" s="228">
        <v>61</v>
      </c>
      <c r="B69" s="730"/>
      <c r="C69" s="679"/>
      <c r="D69" s="920" t="s">
        <v>973</v>
      </c>
      <c r="E69" s="289"/>
      <c r="F69" s="289"/>
      <c r="G69" s="731"/>
      <c r="H69" s="291"/>
      <c r="I69" s="680"/>
      <c r="J69" s="680"/>
      <c r="K69" s="1753">
        <v>0</v>
      </c>
      <c r="L69" s="680"/>
      <c r="M69" s="680"/>
      <c r="N69" s="732"/>
      <c r="O69" s="922">
        <f>SUM(I69:N69)</f>
        <v>0</v>
      </c>
      <c r="P69" s="934"/>
      <c r="Q69" s="142"/>
      <c r="R69" s="142"/>
      <c r="S69" s="142"/>
      <c r="T69" s="142"/>
      <c r="U69" s="142"/>
      <c r="V69" s="142"/>
      <c r="W69" s="142"/>
      <c r="X69" s="142"/>
      <c r="Y69" s="142"/>
      <c r="Z69" s="142"/>
      <c r="AA69" s="142"/>
      <c r="AB69" s="142"/>
      <c r="AC69" s="142"/>
      <c r="AD69" s="142"/>
      <c r="AE69" s="142"/>
      <c r="AF69" s="142"/>
      <c r="AG69" s="142"/>
      <c r="AH69" s="142"/>
      <c r="AI69" s="142"/>
      <c r="AJ69" s="142"/>
      <c r="AK69" s="142"/>
      <c r="AL69" s="142"/>
      <c r="AM69" s="142"/>
      <c r="AN69" s="142"/>
      <c r="AO69" s="142"/>
      <c r="AP69" s="142"/>
      <c r="AQ69" s="142"/>
      <c r="AR69" s="142"/>
      <c r="AS69" s="142"/>
      <c r="AT69" s="142"/>
      <c r="AU69" s="142"/>
      <c r="AV69" s="142"/>
      <c r="AW69" s="142"/>
      <c r="AX69" s="142"/>
      <c r="AY69" s="142"/>
      <c r="AZ69" s="142"/>
      <c r="BA69" s="142"/>
      <c r="BB69" s="142"/>
      <c r="BC69" s="142"/>
      <c r="BD69" s="142"/>
      <c r="BE69" s="142"/>
      <c r="BF69" s="142"/>
      <c r="BG69" s="142"/>
      <c r="BH69" s="142"/>
      <c r="BI69" s="142"/>
      <c r="BJ69" s="142"/>
      <c r="BK69" s="142"/>
      <c r="BL69" s="142"/>
      <c r="BM69" s="142"/>
      <c r="BN69" s="142"/>
      <c r="BO69" s="142"/>
      <c r="BP69" s="142"/>
      <c r="BQ69" s="142"/>
      <c r="BR69" s="142"/>
      <c r="BS69" s="142"/>
      <c r="BT69" s="142"/>
      <c r="BU69" s="142"/>
      <c r="BV69" s="142"/>
      <c r="BW69" s="142"/>
      <c r="BX69" s="142"/>
      <c r="BY69" s="142"/>
      <c r="BZ69" s="142"/>
      <c r="CA69" s="142"/>
      <c r="CB69" s="142"/>
      <c r="CC69" s="142"/>
      <c r="CD69" s="142"/>
      <c r="CE69" s="142"/>
      <c r="CF69" s="142"/>
      <c r="CG69" s="142"/>
      <c r="CH69" s="142"/>
      <c r="CI69" s="142"/>
      <c r="CJ69" s="142"/>
      <c r="CK69" s="142"/>
      <c r="CL69" s="142"/>
      <c r="CM69" s="142"/>
      <c r="CN69" s="142"/>
      <c r="CO69" s="142"/>
      <c r="CP69" s="142"/>
      <c r="CQ69" s="142"/>
      <c r="CR69" s="142"/>
      <c r="CS69" s="142"/>
      <c r="CT69" s="142"/>
      <c r="CU69" s="142"/>
      <c r="CV69" s="142"/>
      <c r="CW69" s="142"/>
      <c r="CX69" s="142"/>
      <c r="CY69" s="142"/>
      <c r="CZ69" s="142"/>
      <c r="DA69" s="142"/>
      <c r="DB69" s="142"/>
      <c r="DC69" s="142"/>
      <c r="DD69" s="142"/>
      <c r="DE69" s="142"/>
      <c r="DF69" s="142"/>
      <c r="DG69" s="142"/>
      <c r="DH69" s="142"/>
      <c r="DI69" s="142"/>
      <c r="DJ69" s="142"/>
      <c r="DK69" s="142"/>
      <c r="DL69" s="142"/>
      <c r="DM69" s="142"/>
      <c r="DN69" s="142"/>
      <c r="DO69" s="142"/>
      <c r="DP69" s="142"/>
      <c r="DQ69" s="142"/>
      <c r="DR69" s="142"/>
      <c r="DS69" s="142"/>
      <c r="DT69" s="142"/>
      <c r="DU69" s="142"/>
      <c r="DV69" s="142"/>
      <c r="DW69" s="142"/>
      <c r="DX69" s="142"/>
      <c r="DY69" s="142"/>
      <c r="DZ69" s="142"/>
      <c r="EA69" s="142"/>
      <c r="EB69" s="142"/>
      <c r="EC69" s="142"/>
      <c r="ED69" s="142"/>
      <c r="EE69" s="142"/>
      <c r="EF69" s="142"/>
      <c r="EG69" s="142"/>
      <c r="EH69" s="142"/>
      <c r="EI69" s="142"/>
      <c r="EJ69" s="142"/>
      <c r="EK69" s="142"/>
      <c r="EL69" s="142"/>
      <c r="EM69" s="142"/>
      <c r="EN69" s="142"/>
      <c r="EO69" s="142"/>
      <c r="EP69" s="142"/>
      <c r="EQ69" s="142"/>
      <c r="ER69" s="142"/>
      <c r="ES69" s="142"/>
      <c r="ET69" s="142"/>
      <c r="EU69" s="142"/>
      <c r="EV69" s="142"/>
      <c r="EW69" s="142"/>
      <c r="EX69" s="142"/>
      <c r="EY69" s="142"/>
      <c r="EZ69" s="142"/>
      <c r="FA69" s="142"/>
      <c r="FB69" s="142"/>
      <c r="FC69" s="142"/>
      <c r="FD69" s="142"/>
      <c r="FE69" s="142"/>
      <c r="FF69" s="142"/>
      <c r="FG69" s="142"/>
      <c r="FH69" s="142"/>
      <c r="FI69" s="142"/>
      <c r="FJ69" s="142"/>
      <c r="FK69" s="142"/>
      <c r="FL69" s="142"/>
      <c r="FM69" s="142"/>
      <c r="FN69" s="142"/>
      <c r="FO69" s="142"/>
      <c r="FP69" s="142"/>
      <c r="FQ69" s="142"/>
      <c r="FR69" s="142"/>
      <c r="FS69" s="142"/>
      <c r="FT69" s="142"/>
      <c r="FU69" s="142"/>
      <c r="FV69" s="142"/>
      <c r="FW69" s="142"/>
      <c r="FX69" s="142"/>
      <c r="FY69" s="142"/>
      <c r="FZ69" s="142"/>
      <c r="GA69" s="142"/>
      <c r="GB69" s="142"/>
      <c r="GC69" s="142"/>
      <c r="GD69" s="142"/>
      <c r="GE69" s="142"/>
      <c r="GF69" s="142"/>
      <c r="GG69" s="142"/>
      <c r="GH69" s="142"/>
      <c r="GI69" s="142"/>
      <c r="GJ69" s="142"/>
      <c r="GK69" s="142"/>
      <c r="GL69" s="142"/>
      <c r="GM69" s="142"/>
      <c r="GN69" s="142"/>
      <c r="GO69" s="142"/>
      <c r="GP69" s="142"/>
      <c r="GQ69" s="142"/>
      <c r="GR69" s="142"/>
      <c r="GS69" s="142"/>
      <c r="GT69" s="142"/>
      <c r="GU69" s="142"/>
      <c r="GV69" s="142"/>
      <c r="GW69" s="142"/>
      <c r="GX69" s="142"/>
      <c r="GY69" s="142"/>
      <c r="GZ69" s="142"/>
      <c r="HA69" s="142"/>
      <c r="HB69" s="142"/>
      <c r="HC69" s="142"/>
      <c r="HD69" s="142"/>
      <c r="HE69" s="142"/>
      <c r="HF69" s="142"/>
      <c r="HG69" s="142"/>
      <c r="HH69" s="142"/>
      <c r="HI69" s="142"/>
      <c r="HJ69" s="142"/>
      <c r="HK69" s="142"/>
      <c r="HL69" s="142"/>
      <c r="HM69" s="142"/>
      <c r="HN69" s="142"/>
      <c r="HO69" s="142"/>
      <c r="HP69" s="142"/>
      <c r="HQ69" s="142"/>
      <c r="HR69" s="142"/>
      <c r="HS69" s="142"/>
      <c r="HT69" s="142"/>
      <c r="HU69" s="142"/>
      <c r="HV69" s="142"/>
      <c r="HW69" s="142"/>
      <c r="HX69" s="142"/>
      <c r="HY69" s="142"/>
      <c r="HZ69" s="142"/>
      <c r="IA69" s="142"/>
      <c r="IB69" s="142"/>
      <c r="IC69" s="142"/>
      <c r="ID69" s="142"/>
      <c r="IE69" s="142"/>
      <c r="IF69" s="142"/>
      <c r="IG69" s="142"/>
      <c r="IH69" s="142"/>
      <c r="II69" s="142"/>
      <c r="IJ69" s="142"/>
      <c r="IK69" s="142"/>
      <c r="IL69" s="142"/>
      <c r="IM69" s="142"/>
      <c r="IN69" s="142"/>
      <c r="IO69" s="142"/>
      <c r="IP69" s="142"/>
      <c r="IQ69" s="142"/>
      <c r="IR69" s="142"/>
      <c r="IS69" s="142"/>
      <c r="IT69" s="142"/>
      <c r="IU69" s="142"/>
      <c r="IV69" s="142"/>
    </row>
    <row r="70" spans="1:256" s="216" customFormat="1" ht="22.5" customHeight="1" x14ac:dyDescent="0.35">
      <c r="A70" s="228">
        <v>62</v>
      </c>
      <c r="B70" s="730"/>
      <c r="C70" s="285">
        <v>21</v>
      </c>
      <c r="D70" s="144" t="s">
        <v>555</v>
      </c>
      <c r="E70" s="665">
        <f>F70+G70+O72+P71</f>
        <v>0</v>
      </c>
      <c r="F70" s="289"/>
      <c r="G70" s="731"/>
      <c r="H70" s="733" t="s">
        <v>24</v>
      </c>
      <c r="I70" s="680"/>
      <c r="J70" s="680"/>
      <c r="K70" s="680"/>
      <c r="L70" s="680"/>
      <c r="M70" s="680"/>
      <c r="N70" s="732"/>
      <c r="O70" s="287"/>
      <c r="P70" s="284"/>
      <c r="Q70" s="142"/>
      <c r="R70" s="142"/>
      <c r="S70" s="142"/>
      <c r="T70" s="142"/>
      <c r="U70" s="142"/>
      <c r="V70" s="142"/>
      <c r="W70" s="142"/>
      <c r="X70" s="142"/>
      <c r="Y70" s="142"/>
      <c r="Z70" s="142"/>
      <c r="AA70" s="142"/>
      <c r="AB70" s="142"/>
      <c r="AC70" s="142"/>
      <c r="AD70" s="142"/>
      <c r="AE70" s="142"/>
      <c r="AF70" s="142"/>
      <c r="AG70" s="142"/>
      <c r="AH70" s="142"/>
      <c r="AI70" s="142"/>
      <c r="AJ70" s="142"/>
      <c r="AK70" s="142"/>
      <c r="AL70" s="142"/>
      <c r="AM70" s="142"/>
      <c r="AN70" s="142"/>
      <c r="AO70" s="142"/>
      <c r="AP70" s="142"/>
      <c r="AQ70" s="142"/>
      <c r="AR70" s="142"/>
      <c r="AS70" s="142"/>
      <c r="AT70" s="142"/>
      <c r="AU70" s="142"/>
      <c r="AV70" s="142"/>
      <c r="AW70" s="142"/>
      <c r="AX70" s="142"/>
      <c r="AY70" s="142"/>
      <c r="AZ70" s="142"/>
      <c r="BA70" s="142"/>
      <c r="BB70" s="142"/>
      <c r="BC70" s="142"/>
      <c r="BD70" s="142"/>
      <c r="BE70" s="142"/>
      <c r="BF70" s="142"/>
      <c r="BG70" s="142"/>
      <c r="BH70" s="142"/>
      <c r="BI70" s="142"/>
      <c r="BJ70" s="142"/>
      <c r="BK70" s="142"/>
      <c r="BL70" s="142"/>
      <c r="BM70" s="142"/>
      <c r="BN70" s="142"/>
      <c r="BO70" s="142"/>
      <c r="BP70" s="142"/>
      <c r="BQ70" s="142"/>
      <c r="BR70" s="142"/>
      <c r="BS70" s="142"/>
      <c r="BT70" s="142"/>
      <c r="BU70" s="142"/>
      <c r="BV70" s="142"/>
      <c r="BW70" s="142"/>
      <c r="BX70" s="142"/>
      <c r="BY70" s="142"/>
      <c r="BZ70" s="142"/>
      <c r="CA70" s="142"/>
      <c r="CB70" s="142"/>
      <c r="CC70" s="142"/>
      <c r="CD70" s="142"/>
      <c r="CE70" s="142"/>
      <c r="CF70" s="142"/>
      <c r="CG70" s="142"/>
      <c r="CH70" s="142"/>
      <c r="CI70" s="142"/>
      <c r="CJ70" s="142"/>
      <c r="CK70" s="142"/>
      <c r="CL70" s="142"/>
      <c r="CM70" s="142"/>
      <c r="CN70" s="142"/>
      <c r="CO70" s="142"/>
      <c r="CP70" s="142"/>
      <c r="CQ70" s="142"/>
      <c r="CR70" s="142"/>
      <c r="CS70" s="142"/>
      <c r="CT70" s="142"/>
      <c r="CU70" s="142"/>
      <c r="CV70" s="142"/>
      <c r="CW70" s="142"/>
      <c r="CX70" s="142"/>
      <c r="CY70" s="142"/>
      <c r="CZ70" s="142"/>
      <c r="DA70" s="142"/>
      <c r="DB70" s="142"/>
      <c r="DC70" s="142"/>
      <c r="DD70" s="142"/>
      <c r="DE70" s="142"/>
      <c r="DF70" s="142"/>
      <c r="DG70" s="142"/>
      <c r="DH70" s="142"/>
      <c r="DI70" s="142"/>
      <c r="DJ70" s="142"/>
      <c r="DK70" s="142"/>
      <c r="DL70" s="142"/>
      <c r="DM70" s="142"/>
      <c r="DN70" s="142"/>
      <c r="DO70" s="142"/>
      <c r="DP70" s="142"/>
      <c r="DQ70" s="142"/>
      <c r="DR70" s="142"/>
      <c r="DS70" s="142"/>
      <c r="DT70" s="142"/>
      <c r="DU70" s="142"/>
      <c r="DV70" s="142"/>
      <c r="DW70" s="142"/>
      <c r="DX70" s="142"/>
      <c r="DY70" s="142"/>
      <c r="DZ70" s="142"/>
      <c r="EA70" s="142"/>
      <c r="EB70" s="142"/>
      <c r="EC70" s="142"/>
      <c r="ED70" s="142"/>
      <c r="EE70" s="142"/>
      <c r="EF70" s="142"/>
      <c r="EG70" s="142"/>
      <c r="EH70" s="142"/>
      <c r="EI70" s="142"/>
      <c r="EJ70" s="142"/>
      <c r="EK70" s="142"/>
      <c r="EL70" s="142"/>
      <c r="EM70" s="142"/>
      <c r="EN70" s="142"/>
      <c r="EO70" s="142"/>
      <c r="EP70" s="142"/>
      <c r="EQ70" s="142"/>
      <c r="ER70" s="142"/>
      <c r="ES70" s="142"/>
      <c r="ET70" s="142"/>
      <c r="EU70" s="142"/>
      <c r="EV70" s="142"/>
      <c r="EW70" s="142"/>
      <c r="EX70" s="142"/>
      <c r="EY70" s="142"/>
      <c r="EZ70" s="142"/>
      <c r="FA70" s="142"/>
      <c r="FB70" s="142"/>
      <c r="FC70" s="142"/>
      <c r="FD70" s="142"/>
      <c r="FE70" s="142"/>
      <c r="FF70" s="142"/>
      <c r="FG70" s="142"/>
      <c r="FH70" s="142"/>
      <c r="FI70" s="142"/>
      <c r="FJ70" s="142"/>
      <c r="FK70" s="142"/>
      <c r="FL70" s="142"/>
      <c r="FM70" s="142"/>
      <c r="FN70" s="142"/>
      <c r="FO70" s="142"/>
      <c r="FP70" s="142"/>
      <c r="FQ70" s="142"/>
      <c r="FR70" s="142"/>
      <c r="FS70" s="142"/>
      <c r="FT70" s="142"/>
      <c r="FU70" s="142"/>
      <c r="FV70" s="142"/>
      <c r="FW70" s="142"/>
      <c r="FX70" s="142"/>
      <c r="FY70" s="142"/>
      <c r="FZ70" s="142"/>
      <c r="GA70" s="142"/>
      <c r="GB70" s="142"/>
      <c r="GC70" s="142"/>
      <c r="GD70" s="142"/>
      <c r="GE70" s="142"/>
      <c r="GF70" s="142"/>
      <c r="GG70" s="142"/>
      <c r="GH70" s="142"/>
      <c r="GI70" s="142"/>
      <c r="GJ70" s="142"/>
      <c r="GK70" s="142"/>
      <c r="GL70" s="142"/>
      <c r="GM70" s="142"/>
      <c r="GN70" s="142"/>
      <c r="GO70" s="142"/>
      <c r="GP70" s="142"/>
      <c r="GQ70" s="142"/>
      <c r="GR70" s="142"/>
      <c r="GS70" s="142"/>
      <c r="GT70" s="142"/>
      <c r="GU70" s="142"/>
      <c r="GV70" s="142"/>
      <c r="GW70" s="142"/>
      <c r="GX70" s="142"/>
      <c r="GY70" s="142"/>
      <c r="GZ70" s="142"/>
      <c r="HA70" s="142"/>
      <c r="HB70" s="142"/>
      <c r="HC70" s="142"/>
      <c r="HD70" s="142"/>
      <c r="HE70" s="142"/>
      <c r="HF70" s="142"/>
      <c r="HG70" s="142"/>
      <c r="HH70" s="142"/>
      <c r="HI70" s="142"/>
      <c r="HJ70" s="142"/>
      <c r="HK70" s="142"/>
      <c r="HL70" s="142"/>
      <c r="HM70" s="142"/>
      <c r="HN70" s="142"/>
      <c r="HO70" s="142"/>
      <c r="HP70" s="142"/>
      <c r="HQ70" s="142"/>
      <c r="HR70" s="142"/>
      <c r="HS70" s="142"/>
      <c r="HT70" s="142"/>
      <c r="HU70" s="142"/>
      <c r="HV70" s="142"/>
      <c r="HW70" s="142"/>
      <c r="HX70" s="142"/>
      <c r="HY70" s="142"/>
      <c r="HZ70" s="142"/>
      <c r="IA70" s="142"/>
      <c r="IB70" s="142"/>
      <c r="IC70" s="142"/>
      <c r="ID70" s="142"/>
      <c r="IE70" s="142"/>
      <c r="IF70" s="142"/>
      <c r="IG70" s="142"/>
      <c r="IH70" s="142"/>
      <c r="II70" s="142"/>
      <c r="IJ70" s="142"/>
      <c r="IK70" s="142"/>
      <c r="IL70" s="142"/>
      <c r="IM70" s="142"/>
      <c r="IN70" s="142"/>
      <c r="IO70" s="142"/>
      <c r="IP70" s="142"/>
      <c r="IQ70" s="142"/>
      <c r="IR70" s="142"/>
      <c r="IS70" s="142"/>
      <c r="IT70" s="142"/>
      <c r="IU70" s="142"/>
      <c r="IV70" s="142"/>
    </row>
    <row r="71" spans="1:256" s="216" customFormat="1" ht="18" customHeight="1" x14ac:dyDescent="0.35">
      <c r="A71" s="228">
        <v>63</v>
      </c>
      <c r="B71" s="730"/>
      <c r="C71" s="679"/>
      <c r="D71" s="288" t="s">
        <v>252</v>
      </c>
      <c r="E71" s="289"/>
      <c r="F71" s="289"/>
      <c r="G71" s="731"/>
      <c r="H71" s="291"/>
      <c r="I71" s="680"/>
      <c r="J71" s="680"/>
      <c r="K71" s="680">
        <v>500</v>
      </c>
      <c r="L71" s="680"/>
      <c r="M71" s="680"/>
      <c r="N71" s="732"/>
      <c r="O71" s="287">
        <f>SUM(I71:N71)</f>
        <v>500</v>
      </c>
      <c r="P71" s="935"/>
      <c r="Q71" s="142"/>
      <c r="R71" s="142"/>
      <c r="S71" s="142"/>
      <c r="T71" s="142"/>
      <c r="U71" s="142"/>
      <c r="V71" s="142"/>
      <c r="W71" s="142"/>
      <c r="X71" s="142"/>
      <c r="Y71" s="142"/>
      <c r="Z71" s="142"/>
      <c r="AA71" s="142"/>
      <c r="AB71" s="142"/>
      <c r="AC71" s="142"/>
      <c r="AD71" s="142"/>
      <c r="AE71" s="142"/>
      <c r="AF71" s="142"/>
      <c r="AG71" s="142"/>
      <c r="AH71" s="142"/>
      <c r="AI71" s="142"/>
      <c r="AJ71" s="142"/>
      <c r="AK71" s="142"/>
      <c r="AL71" s="142"/>
      <c r="AM71" s="142"/>
      <c r="AN71" s="142"/>
      <c r="AO71" s="142"/>
      <c r="AP71" s="142"/>
      <c r="AQ71" s="142"/>
      <c r="AR71" s="142"/>
      <c r="AS71" s="142"/>
      <c r="AT71" s="142"/>
      <c r="AU71" s="142"/>
      <c r="AV71" s="142"/>
      <c r="AW71" s="142"/>
      <c r="AX71" s="142"/>
      <c r="AY71" s="142"/>
      <c r="AZ71" s="142"/>
      <c r="BA71" s="142"/>
      <c r="BB71" s="142"/>
      <c r="BC71" s="142"/>
      <c r="BD71" s="142"/>
      <c r="BE71" s="142"/>
      <c r="BF71" s="142"/>
      <c r="BG71" s="142"/>
      <c r="BH71" s="142"/>
      <c r="BI71" s="142"/>
      <c r="BJ71" s="142"/>
      <c r="BK71" s="142"/>
      <c r="BL71" s="142"/>
      <c r="BM71" s="142"/>
      <c r="BN71" s="142"/>
      <c r="BO71" s="142"/>
      <c r="BP71" s="142"/>
      <c r="BQ71" s="142"/>
      <c r="BR71" s="142"/>
      <c r="BS71" s="142"/>
      <c r="BT71" s="142"/>
      <c r="BU71" s="142"/>
      <c r="BV71" s="142"/>
      <c r="BW71" s="142"/>
      <c r="BX71" s="142"/>
      <c r="BY71" s="142"/>
      <c r="BZ71" s="142"/>
      <c r="CA71" s="142"/>
      <c r="CB71" s="142"/>
      <c r="CC71" s="142"/>
      <c r="CD71" s="142"/>
      <c r="CE71" s="142"/>
      <c r="CF71" s="142"/>
      <c r="CG71" s="142"/>
      <c r="CH71" s="142"/>
      <c r="CI71" s="142"/>
      <c r="CJ71" s="142"/>
      <c r="CK71" s="142"/>
      <c r="CL71" s="142"/>
      <c r="CM71" s="142"/>
      <c r="CN71" s="142"/>
      <c r="CO71" s="142"/>
      <c r="CP71" s="142"/>
      <c r="CQ71" s="142"/>
      <c r="CR71" s="142"/>
      <c r="CS71" s="142"/>
      <c r="CT71" s="142"/>
      <c r="CU71" s="142"/>
      <c r="CV71" s="142"/>
      <c r="CW71" s="142"/>
      <c r="CX71" s="142"/>
      <c r="CY71" s="142"/>
      <c r="CZ71" s="142"/>
      <c r="DA71" s="142"/>
      <c r="DB71" s="142"/>
      <c r="DC71" s="142"/>
      <c r="DD71" s="142"/>
      <c r="DE71" s="142"/>
      <c r="DF71" s="142"/>
      <c r="DG71" s="142"/>
      <c r="DH71" s="142"/>
      <c r="DI71" s="142"/>
      <c r="DJ71" s="142"/>
      <c r="DK71" s="142"/>
      <c r="DL71" s="142"/>
      <c r="DM71" s="142"/>
      <c r="DN71" s="142"/>
      <c r="DO71" s="142"/>
      <c r="DP71" s="142"/>
      <c r="DQ71" s="142"/>
      <c r="DR71" s="142"/>
      <c r="DS71" s="142"/>
      <c r="DT71" s="142"/>
      <c r="DU71" s="142"/>
      <c r="DV71" s="142"/>
      <c r="DW71" s="142"/>
      <c r="DX71" s="142"/>
      <c r="DY71" s="142"/>
      <c r="DZ71" s="142"/>
      <c r="EA71" s="142"/>
      <c r="EB71" s="142"/>
      <c r="EC71" s="142"/>
      <c r="ED71" s="142"/>
      <c r="EE71" s="142"/>
      <c r="EF71" s="142"/>
      <c r="EG71" s="142"/>
      <c r="EH71" s="142"/>
      <c r="EI71" s="142"/>
      <c r="EJ71" s="142"/>
      <c r="EK71" s="142"/>
      <c r="EL71" s="142"/>
      <c r="EM71" s="142"/>
      <c r="EN71" s="142"/>
      <c r="EO71" s="142"/>
      <c r="EP71" s="142"/>
      <c r="EQ71" s="142"/>
      <c r="ER71" s="142"/>
      <c r="ES71" s="142"/>
      <c r="ET71" s="142"/>
      <c r="EU71" s="142"/>
      <c r="EV71" s="142"/>
      <c r="EW71" s="142"/>
      <c r="EX71" s="142"/>
      <c r="EY71" s="142"/>
      <c r="EZ71" s="142"/>
      <c r="FA71" s="142"/>
      <c r="FB71" s="142"/>
      <c r="FC71" s="142"/>
      <c r="FD71" s="142"/>
      <c r="FE71" s="142"/>
      <c r="FF71" s="142"/>
      <c r="FG71" s="142"/>
      <c r="FH71" s="142"/>
      <c r="FI71" s="142"/>
      <c r="FJ71" s="142"/>
      <c r="FK71" s="142"/>
      <c r="FL71" s="142"/>
      <c r="FM71" s="142"/>
      <c r="FN71" s="142"/>
      <c r="FO71" s="142"/>
      <c r="FP71" s="142"/>
      <c r="FQ71" s="142"/>
      <c r="FR71" s="142"/>
      <c r="FS71" s="142"/>
      <c r="FT71" s="142"/>
      <c r="FU71" s="142"/>
      <c r="FV71" s="142"/>
      <c r="FW71" s="142"/>
      <c r="FX71" s="142"/>
      <c r="FY71" s="142"/>
      <c r="FZ71" s="142"/>
      <c r="GA71" s="142"/>
      <c r="GB71" s="142"/>
      <c r="GC71" s="142"/>
      <c r="GD71" s="142"/>
      <c r="GE71" s="142"/>
      <c r="GF71" s="142"/>
      <c r="GG71" s="142"/>
      <c r="GH71" s="142"/>
      <c r="GI71" s="142"/>
      <c r="GJ71" s="142"/>
      <c r="GK71" s="142"/>
      <c r="GL71" s="142"/>
      <c r="GM71" s="142"/>
      <c r="GN71" s="142"/>
      <c r="GO71" s="142"/>
      <c r="GP71" s="142"/>
      <c r="GQ71" s="142"/>
      <c r="GR71" s="142"/>
      <c r="GS71" s="142"/>
      <c r="GT71" s="142"/>
      <c r="GU71" s="142"/>
      <c r="GV71" s="142"/>
      <c r="GW71" s="142"/>
      <c r="GX71" s="142"/>
      <c r="GY71" s="142"/>
      <c r="GZ71" s="142"/>
      <c r="HA71" s="142"/>
      <c r="HB71" s="142"/>
      <c r="HC71" s="142"/>
      <c r="HD71" s="142"/>
      <c r="HE71" s="142"/>
      <c r="HF71" s="142"/>
      <c r="HG71" s="142"/>
      <c r="HH71" s="142"/>
      <c r="HI71" s="142"/>
      <c r="HJ71" s="142"/>
      <c r="HK71" s="142"/>
      <c r="HL71" s="142"/>
      <c r="HM71" s="142"/>
      <c r="HN71" s="142"/>
      <c r="HO71" s="142"/>
      <c r="HP71" s="142"/>
      <c r="HQ71" s="142"/>
      <c r="HR71" s="142"/>
      <c r="HS71" s="142"/>
      <c r="HT71" s="142"/>
      <c r="HU71" s="142"/>
      <c r="HV71" s="142"/>
      <c r="HW71" s="142"/>
      <c r="HX71" s="142"/>
      <c r="HY71" s="142"/>
      <c r="HZ71" s="142"/>
      <c r="IA71" s="142"/>
      <c r="IB71" s="142"/>
      <c r="IC71" s="142"/>
      <c r="ID71" s="142"/>
      <c r="IE71" s="142"/>
      <c r="IF71" s="142"/>
      <c r="IG71" s="142"/>
      <c r="IH71" s="142"/>
      <c r="II71" s="142"/>
      <c r="IJ71" s="142"/>
      <c r="IK71" s="142"/>
      <c r="IL71" s="142"/>
      <c r="IM71" s="142"/>
      <c r="IN71" s="142"/>
      <c r="IO71" s="142"/>
      <c r="IP71" s="142"/>
      <c r="IQ71" s="142"/>
      <c r="IR71" s="142"/>
      <c r="IS71" s="142"/>
      <c r="IT71" s="142"/>
      <c r="IU71" s="142"/>
      <c r="IV71" s="142"/>
    </row>
    <row r="72" spans="1:256" s="216" customFormat="1" ht="18" customHeight="1" x14ac:dyDescent="0.35">
      <c r="A72" s="228">
        <v>64</v>
      </c>
      <c r="B72" s="730"/>
      <c r="C72" s="679"/>
      <c r="D72" s="923" t="s">
        <v>921</v>
      </c>
      <c r="E72" s="289"/>
      <c r="F72" s="289"/>
      <c r="G72" s="731"/>
      <c r="H72" s="291"/>
      <c r="I72" s="950"/>
      <c r="J72" s="950"/>
      <c r="K72" s="950">
        <v>0</v>
      </c>
      <c r="L72" s="950"/>
      <c r="M72" s="950"/>
      <c r="N72" s="1420"/>
      <c r="O72" s="1182">
        <f>SUM(I72:N72)</f>
        <v>0</v>
      </c>
      <c r="P72" s="935"/>
      <c r="Q72" s="142"/>
      <c r="R72" s="142"/>
      <c r="S72" s="142"/>
      <c r="T72" s="142"/>
      <c r="U72" s="142"/>
      <c r="V72" s="142"/>
      <c r="W72" s="142"/>
      <c r="X72" s="142"/>
      <c r="Y72" s="142"/>
      <c r="Z72" s="142"/>
      <c r="AA72" s="142"/>
      <c r="AB72" s="142"/>
      <c r="AC72" s="142"/>
      <c r="AD72" s="142"/>
      <c r="AE72" s="142"/>
      <c r="AF72" s="142"/>
      <c r="AG72" s="142"/>
      <c r="AH72" s="142"/>
      <c r="AI72" s="142"/>
      <c r="AJ72" s="142"/>
      <c r="AK72" s="142"/>
      <c r="AL72" s="142"/>
      <c r="AM72" s="142"/>
      <c r="AN72" s="142"/>
      <c r="AO72" s="142"/>
      <c r="AP72" s="142"/>
      <c r="AQ72" s="142"/>
      <c r="AR72" s="142"/>
      <c r="AS72" s="142"/>
      <c r="AT72" s="142"/>
      <c r="AU72" s="142"/>
      <c r="AV72" s="142"/>
      <c r="AW72" s="142"/>
      <c r="AX72" s="142"/>
      <c r="AY72" s="142"/>
      <c r="AZ72" s="142"/>
      <c r="BA72" s="142"/>
      <c r="BB72" s="142"/>
      <c r="BC72" s="142"/>
      <c r="BD72" s="142"/>
      <c r="BE72" s="142"/>
      <c r="BF72" s="142"/>
      <c r="BG72" s="142"/>
      <c r="BH72" s="142"/>
      <c r="BI72" s="142"/>
      <c r="BJ72" s="142"/>
      <c r="BK72" s="142"/>
      <c r="BL72" s="142"/>
      <c r="BM72" s="142"/>
      <c r="BN72" s="142"/>
      <c r="BO72" s="142"/>
      <c r="BP72" s="142"/>
      <c r="BQ72" s="142"/>
      <c r="BR72" s="142"/>
      <c r="BS72" s="142"/>
      <c r="BT72" s="142"/>
      <c r="BU72" s="142"/>
      <c r="BV72" s="142"/>
      <c r="BW72" s="142"/>
      <c r="BX72" s="142"/>
      <c r="BY72" s="142"/>
      <c r="BZ72" s="142"/>
      <c r="CA72" s="142"/>
      <c r="CB72" s="142"/>
      <c r="CC72" s="142"/>
      <c r="CD72" s="142"/>
      <c r="CE72" s="142"/>
      <c r="CF72" s="142"/>
      <c r="CG72" s="142"/>
      <c r="CH72" s="142"/>
      <c r="CI72" s="142"/>
      <c r="CJ72" s="142"/>
      <c r="CK72" s="142"/>
      <c r="CL72" s="142"/>
      <c r="CM72" s="142"/>
      <c r="CN72" s="142"/>
      <c r="CO72" s="142"/>
      <c r="CP72" s="142"/>
      <c r="CQ72" s="142"/>
      <c r="CR72" s="142"/>
      <c r="CS72" s="142"/>
      <c r="CT72" s="142"/>
      <c r="CU72" s="142"/>
      <c r="CV72" s="142"/>
      <c r="CW72" s="142"/>
      <c r="CX72" s="142"/>
      <c r="CY72" s="142"/>
      <c r="CZ72" s="142"/>
      <c r="DA72" s="142"/>
      <c r="DB72" s="142"/>
      <c r="DC72" s="142"/>
      <c r="DD72" s="142"/>
      <c r="DE72" s="142"/>
      <c r="DF72" s="142"/>
      <c r="DG72" s="142"/>
      <c r="DH72" s="142"/>
      <c r="DI72" s="142"/>
      <c r="DJ72" s="142"/>
      <c r="DK72" s="142"/>
      <c r="DL72" s="142"/>
      <c r="DM72" s="142"/>
      <c r="DN72" s="142"/>
      <c r="DO72" s="142"/>
      <c r="DP72" s="142"/>
      <c r="DQ72" s="142"/>
      <c r="DR72" s="142"/>
      <c r="DS72" s="142"/>
      <c r="DT72" s="142"/>
      <c r="DU72" s="142"/>
      <c r="DV72" s="142"/>
      <c r="DW72" s="142"/>
      <c r="DX72" s="142"/>
      <c r="DY72" s="142"/>
      <c r="DZ72" s="142"/>
      <c r="EA72" s="142"/>
      <c r="EB72" s="142"/>
      <c r="EC72" s="142"/>
      <c r="ED72" s="142"/>
      <c r="EE72" s="142"/>
      <c r="EF72" s="142"/>
      <c r="EG72" s="142"/>
      <c r="EH72" s="142"/>
      <c r="EI72" s="142"/>
      <c r="EJ72" s="142"/>
      <c r="EK72" s="142"/>
      <c r="EL72" s="142"/>
      <c r="EM72" s="142"/>
      <c r="EN72" s="142"/>
      <c r="EO72" s="142"/>
      <c r="EP72" s="142"/>
      <c r="EQ72" s="142"/>
      <c r="ER72" s="142"/>
      <c r="ES72" s="142"/>
      <c r="ET72" s="142"/>
      <c r="EU72" s="142"/>
      <c r="EV72" s="142"/>
      <c r="EW72" s="142"/>
      <c r="EX72" s="142"/>
      <c r="EY72" s="142"/>
      <c r="EZ72" s="142"/>
      <c r="FA72" s="142"/>
      <c r="FB72" s="142"/>
      <c r="FC72" s="142"/>
      <c r="FD72" s="142"/>
      <c r="FE72" s="142"/>
      <c r="FF72" s="142"/>
      <c r="FG72" s="142"/>
      <c r="FH72" s="142"/>
      <c r="FI72" s="142"/>
      <c r="FJ72" s="142"/>
      <c r="FK72" s="142"/>
      <c r="FL72" s="142"/>
      <c r="FM72" s="142"/>
      <c r="FN72" s="142"/>
      <c r="FO72" s="142"/>
      <c r="FP72" s="142"/>
      <c r="FQ72" s="142"/>
      <c r="FR72" s="142"/>
      <c r="FS72" s="142"/>
      <c r="FT72" s="142"/>
      <c r="FU72" s="142"/>
      <c r="FV72" s="142"/>
      <c r="FW72" s="142"/>
      <c r="FX72" s="142"/>
      <c r="FY72" s="142"/>
      <c r="FZ72" s="142"/>
      <c r="GA72" s="142"/>
      <c r="GB72" s="142"/>
      <c r="GC72" s="142"/>
      <c r="GD72" s="142"/>
      <c r="GE72" s="142"/>
      <c r="GF72" s="142"/>
      <c r="GG72" s="142"/>
      <c r="GH72" s="142"/>
      <c r="GI72" s="142"/>
      <c r="GJ72" s="142"/>
      <c r="GK72" s="142"/>
      <c r="GL72" s="142"/>
      <c r="GM72" s="142"/>
      <c r="GN72" s="142"/>
      <c r="GO72" s="142"/>
      <c r="GP72" s="142"/>
      <c r="GQ72" s="142"/>
      <c r="GR72" s="142"/>
      <c r="GS72" s="142"/>
      <c r="GT72" s="142"/>
      <c r="GU72" s="142"/>
      <c r="GV72" s="142"/>
      <c r="GW72" s="142"/>
      <c r="GX72" s="142"/>
      <c r="GY72" s="142"/>
      <c r="GZ72" s="142"/>
      <c r="HA72" s="142"/>
      <c r="HB72" s="142"/>
      <c r="HC72" s="142"/>
      <c r="HD72" s="142"/>
      <c r="HE72" s="142"/>
      <c r="HF72" s="142"/>
      <c r="HG72" s="142"/>
      <c r="HH72" s="142"/>
      <c r="HI72" s="142"/>
      <c r="HJ72" s="142"/>
      <c r="HK72" s="142"/>
      <c r="HL72" s="142"/>
      <c r="HM72" s="142"/>
      <c r="HN72" s="142"/>
      <c r="HO72" s="142"/>
      <c r="HP72" s="142"/>
      <c r="HQ72" s="142"/>
      <c r="HR72" s="142"/>
      <c r="HS72" s="142"/>
      <c r="HT72" s="142"/>
      <c r="HU72" s="142"/>
      <c r="HV72" s="142"/>
      <c r="HW72" s="142"/>
      <c r="HX72" s="142"/>
      <c r="HY72" s="142"/>
      <c r="HZ72" s="142"/>
      <c r="IA72" s="142"/>
      <c r="IB72" s="142"/>
      <c r="IC72" s="142"/>
      <c r="ID72" s="142"/>
      <c r="IE72" s="142"/>
      <c r="IF72" s="142"/>
      <c r="IG72" s="142"/>
      <c r="IH72" s="142"/>
      <c r="II72" s="142"/>
      <c r="IJ72" s="142"/>
      <c r="IK72" s="142"/>
      <c r="IL72" s="142"/>
      <c r="IM72" s="142"/>
      <c r="IN72" s="142"/>
      <c r="IO72" s="142"/>
      <c r="IP72" s="142"/>
      <c r="IQ72" s="142"/>
      <c r="IR72" s="142"/>
      <c r="IS72" s="142"/>
      <c r="IT72" s="142"/>
      <c r="IU72" s="142"/>
      <c r="IV72" s="142"/>
    </row>
    <row r="73" spans="1:256" s="216" customFormat="1" ht="18" customHeight="1" thickBot="1" x14ac:dyDescent="0.4">
      <c r="A73" s="228">
        <v>65</v>
      </c>
      <c r="B73" s="924"/>
      <c r="C73" s="937"/>
      <c r="D73" s="1692" t="s">
        <v>973</v>
      </c>
      <c r="E73" s="938"/>
      <c r="F73" s="938"/>
      <c r="G73" s="936"/>
      <c r="H73" s="683"/>
      <c r="I73" s="684"/>
      <c r="J73" s="684"/>
      <c r="K73" s="1693">
        <v>0</v>
      </c>
      <c r="L73" s="684"/>
      <c r="M73" s="684"/>
      <c r="N73" s="685"/>
      <c r="O73" s="1694">
        <f>SUM(I73:N73)</f>
        <v>0</v>
      </c>
      <c r="P73" s="736"/>
      <c r="Q73" s="142"/>
      <c r="R73" s="142"/>
      <c r="S73" s="142"/>
      <c r="T73" s="142"/>
      <c r="U73" s="142"/>
      <c r="V73" s="142"/>
      <c r="W73" s="142"/>
      <c r="X73" s="142"/>
      <c r="Y73" s="142"/>
      <c r="Z73" s="142"/>
      <c r="AA73" s="142"/>
      <c r="AB73" s="142"/>
      <c r="AC73" s="142"/>
      <c r="AD73" s="142"/>
      <c r="AE73" s="142"/>
      <c r="AF73" s="142"/>
      <c r="AG73" s="142"/>
      <c r="AH73" s="142"/>
      <c r="AI73" s="142"/>
      <c r="AJ73" s="142"/>
      <c r="AK73" s="142"/>
      <c r="AL73" s="142"/>
      <c r="AM73" s="142"/>
      <c r="AN73" s="142"/>
      <c r="AO73" s="142"/>
      <c r="AP73" s="142"/>
      <c r="AQ73" s="142"/>
      <c r="AR73" s="142"/>
      <c r="AS73" s="142"/>
      <c r="AT73" s="142"/>
      <c r="AU73" s="142"/>
      <c r="AV73" s="142"/>
      <c r="AW73" s="142"/>
      <c r="AX73" s="142"/>
      <c r="AY73" s="142"/>
      <c r="AZ73" s="142"/>
      <c r="BA73" s="142"/>
      <c r="BB73" s="142"/>
      <c r="BC73" s="142"/>
      <c r="BD73" s="142"/>
      <c r="BE73" s="142"/>
      <c r="BF73" s="142"/>
      <c r="BG73" s="142"/>
      <c r="BH73" s="142"/>
      <c r="BI73" s="142"/>
      <c r="BJ73" s="142"/>
      <c r="BK73" s="142"/>
      <c r="BL73" s="142"/>
      <c r="BM73" s="142"/>
      <c r="BN73" s="142"/>
      <c r="BO73" s="142"/>
      <c r="BP73" s="142"/>
      <c r="BQ73" s="142"/>
      <c r="BR73" s="142"/>
      <c r="BS73" s="142"/>
      <c r="BT73" s="142"/>
      <c r="BU73" s="142"/>
      <c r="BV73" s="142"/>
      <c r="BW73" s="142"/>
      <c r="BX73" s="142"/>
      <c r="BY73" s="142"/>
      <c r="BZ73" s="142"/>
      <c r="CA73" s="142"/>
      <c r="CB73" s="142"/>
      <c r="CC73" s="142"/>
      <c r="CD73" s="142"/>
      <c r="CE73" s="142"/>
      <c r="CF73" s="142"/>
      <c r="CG73" s="142"/>
      <c r="CH73" s="142"/>
      <c r="CI73" s="142"/>
      <c r="CJ73" s="142"/>
      <c r="CK73" s="142"/>
      <c r="CL73" s="142"/>
      <c r="CM73" s="142"/>
      <c r="CN73" s="142"/>
      <c r="CO73" s="142"/>
      <c r="CP73" s="142"/>
      <c r="CQ73" s="142"/>
      <c r="CR73" s="142"/>
      <c r="CS73" s="142"/>
      <c r="CT73" s="142"/>
      <c r="CU73" s="142"/>
      <c r="CV73" s="142"/>
      <c r="CW73" s="142"/>
      <c r="CX73" s="142"/>
      <c r="CY73" s="142"/>
      <c r="CZ73" s="142"/>
      <c r="DA73" s="142"/>
      <c r="DB73" s="142"/>
      <c r="DC73" s="142"/>
      <c r="DD73" s="142"/>
      <c r="DE73" s="142"/>
      <c r="DF73" s="142"/>
      <c r="DG73" s="142"/>
      <c r="DH73" s="142"/>
      <c r="DI73" s="142"/>
      <c r="DJ73" s="142"/>
      <c r="DK73" s="142"/>
      <c r="DL73" s="142"/>
      <c r="DM73" s="142"/>
      <c r="DN73" s="142"/>
      <c r="DO73" s="142"/>
      <c r="DP73" s="142"/>
      <c r="DQ73" s="142"/>
      <c r="DR73" s="142"/>
      <c r="DS73" s="142"/>
      <c r="DT73" s="142"/>
      <c r="DU73" s="142"/>
      <c r="DV73" s="142"/>
      <c r="DW73" s="142"/>
      <c r="DX73" s="142"/>
      <c r="DY73" s="142"/>
      <c r="DZ73" s="142"/>
      <c r="EA73" s="142"/>
      <c r="EB73" s="142"/>
      <c r="EC73" s="142"/>
      <c r="ED73" s="142"/>
      <c r="EE73" s="142"/>
      <c r="EF73" s="142"/>
      <c r="EG73" s="142"/>
      <c r="EH73" s="142"/>
      <c r="EI73" s="142"/>
      <c r="EJ73" s="142"/>
      <c r="EK73" s="142"/>
      <c r="EL73" s="142"/>
      <c r="EM73" s="142"/>
      <c r="EN73" s="142"/>
      <c r="EO73" s="142"/>
      <c r="EP73" s="142"/>
      <c r="EQ73" s="142"/>
      <c r="ER73" s="142"/>
      <c r="ES73" s="142"/>
      <c r="ET73" s="142"/>
      <c r="EU73" s="142"/>
      <c r="EV73" s="142"/>
      <c r="EW73" s="142"/>
      <c r="EX73" s="142"/>
      <c r="EY73" s="142"/>
      <c r="EZ73" s="142"/>
      <c r="FA73" s="142"/>
      <c r="FB73" s="142"/>
      <c r="FC73" s="142"/>
      <c r="FD73" s="142"/>
      <c r="FE73" s="142"/>
      <c r="FF73" s="142"/>
      <c r="FG73" s="142"/>
      <c r="FH73" s="142"/>
      <c r="FI73" s="142"/>
      <c r="FJ73" s="142"/>
      <c r="FK73" s="142"/>
      <c r="FL73" s="142"/>
      <c r="FM73" s="142"/>
      <c r="FN73" s="142"/>
      <c r="FO73" s="142"/>
      <c r="FP73" s="142"/>
      <c r="FQ73" s="142"/>
      <c r="FR73" s="142"/>
      <c r="FS73" s="142"/>
      <c r="FT73" s="142"/>
      <c r="FU73" s="142"/>
      <c r="FV73" s="142"/>
      <c r="FW73" s="142"/>
      <c r="FX73" s="142"/>
      <c r="FY73" s="142"/>
      <c r="FZ73" s="142"/>
      <c r="GA73" s="142"/>
      <c r="GB73" s="142"/>
      <c r="GC73" s="142"/>
      <c r="GD73" s="142"/>
      <c r="GE73" s="142"/>
      <c r="GF73" s="142"/>
      <c r="GG73" s="142"/>
      <c r="GH73" s="142"/>
      <c r="GI73" s="142"/>
      <c r="GJ73" s="142"/>
      <c r="GK73" s="142"/>
      <c r="GL73" s="142"/>
      <c r="GM73" s="142"/>
      <c r="GN73" s="142"/>
      <c r="GO73" s="142"/>
      <c r="GP73" s="142"/>
      <c r="GQ73" s="142"/>
      <c r="GR73" s="142"/>
      <c r="GS73" s="142"/>
      <c r="GT73" s="142"/>
      <c r="GU73" s="142"/>
      <c r="GV73" s="142"/>
      <c r="GW73" s="142"/>
      <c r="GX73" s="142"/>
      <c r="GY73" s="142"/>
      <c r="GZ73" s="142"/>
      <c r="HA73" s="142"/>
      <c r="HB73" s="142"/>
      <c r="HC73" s="142"/>
      <c r="HD73" s="142"/>
      <c r="HE73" s="142"/>
      <c r="HF73" s="142"/>
      <c r="HG73" s="142"/>
      <c r="HH73" s="142"/>
      <c r="HI73" s="142"/>
      <c r="HJ73" s="142"/>
      <c r="HK73" s="142"/>
      <c r="HL73" s="142"/>
      <c r="HM73" s="142"/>
      <c r="HN73" s="142"/>
      <c r="HO73" s="142"/>
      <c r="HP73" s="142"/>
      <c r="HQ73" s="142"/>
      <c r="HR73" s="142"/>
      <c r="HS73" s="142"/>
      <c r="HT73" s="142"/>
      <c r="HU73" s="142"/>
      <c r="HV73" s="142"/>
      <c r="HW73" s="142"/>
      <c r="HX73" s="142"/>
      <c r="HY73" s="142"/>
      <c r="HZ73" s="142"/>
      <c r="IA73" s="142"/>
      <c r="IB73" s="142"/>
      <c r="IC73" s="142"/>
      <c r="ID73" s="142"/>
      <c r="IE73" s="142"/>
      <c r="IF73" s="142"/>
      <c r="IG73" s="142"/>
      <c r="IH73" s="142"/>
      <c r="II73" s="142"/>
      <c r="IJ73" s="142"/>
      <c r="IK73" s="142"/>
      <c r="IL73" s="142"/>
      <c r="IM73" s="142"/>
      <c r="IN73" s="142"/>
      <c r="IO73" s="142"/>
      <c r="IP73" s="142"/>
      <c r="IQ73" s="142"/>
      <c r="IR73" s="142"/>
      <c r="IS73" s="142"/>
      <c r="IT73" s="142"/>
      <c r="IU73" s="142"/>
      <c r="IV73" s="142"/>
    </row>
    <row r="74" spans="1:256" s="216" customFormat="1" ht="27" customHeight="1" x14ac:dyDescent="0.35">
      <c r="A74" s="228">
        <v>66</v>
      </c>
      <c r="B74" s="1969" t="s">
        <v>13</v>
      </c>
      <c r="C74" s="1970"/>
      <c r="D74" s="1970"/>
      <c r="E74" s="1970"/>
      <c r="F74" s="1970"/>
      <c r="G74" s="1971"/>
      <c r="H74" s="713"/>
      <c r="I74" s="724"/>
      <c r="J74" s="724"/>
      <c r="K74" s="724"/>
      <c r="L74" s="724"/>
      <c r="M74" s="724"/>
      <c r="N74" s="725"/>
      <c r="O74" s="719"/>
      <c r="P74" s="655"/>
      <c r="Q74" s="142"/>
      <c r="R74" s="142"/>
      <c r="S74" s="142"/>
      <c r="T74" s="142"/>
      <c r="U74" s="142"/>
      <c r="V74" s="142"/>
      <c r="W74" s="142"/>
      <c r="X74" s="142"/>
      <c r="Y74" s="142"/>
      <c r="Z74" s="142"/>
      <c r="AA74" s="142"/>
      <c r="AB74" s="142"/>
      <c r="AC74" s="142"/>
      <c r="AD74" s="142"/>
      <c r="AE74" s="142"/>
      <c r="AF74" s="142"/>
      <c r="AG74" s="142"/>
      <c r="AH74" s="142"/>
      <c r="AI74" s="142"/>
      <c r="AJ74" s="142"/>
      <c r="AK74" s="142"/>
      <c r="AL74" s="142"/>
      <c r="AM74" s="142"/>
      <c r="AN74" s="142"/>
      <c r="AO74" s="142"/>
      <c r="AP74" s="142"/>
      <c r="AQ74" s="142"/>
      <c r="AR74" s="142"/>
      <c r="AS74" s="142"/>
      <c r="AT74" s="142"/>
      <c r="AU74" s="142"/>
      <c r="AV74" s="142"/>
      <c r="AW74" s="142"/>
      <c r="AX74" s="142"/>
      <c r="AY74" s="142"/>
      <c r="AZ74" s="142"/>
      <c r="BA74" s="142"/>
      <c r="BB74" s="142"/>
      <c r="BC74" s="142"/>
      <c r="BD74" s="142"/>
      <c r="BE74" s="142"/>
      <c r="BF74" s="142"/>
      <c r="BG74" s="142"/>
      <c r="BH74" s="142"/>
      <c r="BI74" s="142"/>
      <c r="BJ74" s="142"/>
      <c r="BK74" s="142"/>
      <c r="BL74" s="142"/>
      <c r="BM74" s="142"/>
      <c r="BN74" s="142"/>
      <c r="BO74" s="142"/>
      <c r="BP74" s="142"/>
      <c r="BQ74" s="142"/>
      <c r="BR74" s="142"/>
      <c r="BS74" s="142"/>
      <c r="BT74" s="142"/>
      <c r="BU74" s="142"/>
      <c r="BV74" s="142"/>
      <c r="BW74" s="142"/>
      <c r="BX74" s="142"/>
      <c r="BY74" s="142"/>
      <c r="BZ74" s="142"/>
      <c r="CA74" s="142"/>
      <c r="CB74" s="142"/>
      <c r="CC74" s="142"/>
      <c r="CD74" s="142"/>
      <c r="CE74" s="142"/>
      <c r="CF74" s="142"/>
      <c r="CG74" s="142"/>
      <c r="CH74" s="142"/>
      <c r="CI74" s="142"/>
      <c r="CJ74" s="142"/>
      <c r="CK74" s="142"/>
      <c r="CL74" s="142"/>
      <c r="CM74" s="142"/>
      <c r="CN74" s="142"/>
      <c r="CO74" s="142"/>
      <c r="CP74" s="142"/>
      <c r="CQ74" s="142"/>
      <c r="CR74" s="142"/>
      <c r="CS74" s="142"/>
      <c r="CT74" s="142"/>
      <c r="CU74" s="142"/>
      <c r="CV74" s="142"/>
      <c r="CW74" s="142"/>
      <c r="CX74" s="142"/>
      <c r="CY74" s="142"/>
      <c r="CZ74" s="142"/>
      <c r="DA74" s="142"/>
      <c r="DB74" s="142"/>
      <c r="DC74" s="142"/>
      <c r="DD74" s="142"/>
      <c r="DE74" s="142"/>
      <c r="DF74" s="142"/>
      <c r="DG74" s="142"/>
      <c r="DH74" s="142"/>
      <c r="DI74" s="142"/>
      <c r="DJ74" s="142"/>
      <c r="DK74" s="142"/>
      <c r="DL74" s="142"/>
      <c r="DM74" s="142"/>
      <c r="DN74" s="142"/>
      <c r="DO74" s="142"/>
      <c r="DP74" s="142"/>
      <c r="DQ74" s="142"/>
      <c r="DR74" s="142"/>
      <c r="DS74" s="142"/>
      <c r="DT74" s="142"/>
      <c r="DU74" s="142"/>
      <c r="DV74" s="142"/>
      <c r="DW74" s="142"/>
      <c r="DX74" s="142"/>
      <c r="DY74" s="142"/>
      <c r="DZ74" s="142"/>
      <c r="EA74" s="142"/>
      <c r="EB74" s="142"/>
      <c r="EC74" s="142"/>
      <c r="ED74" s="142"/>
      <c r="EE74" s="142"/>
      <c r="EF74" s="142"/>
      <c r="EG74" s="142"/>
      <c r="EH74" s="142"/>
      <c r="EI74" s="142"/>
      <c r="EJ74" s="142"/>
      <c r="EK74" s="142"/>
      <c r="EL74" s="142"/>
      <c r="EM74" s="142"/>
      <c r="EN74" s="142"/>
      <c r="EO74" s="142"/>
      <c r="EP74" s="142"/>
      <c r="EQ74" s="142"/>
      <c r="ER74" s="142"/>
      <c r="ES74" s="142"/>
      <c r="ET74" s="142"/>
      <c r="EU74" s="142"/>
      <c r="EV74" s="142"/>
      <c r="EW74" s="142"/>
      <c r="EX74" s="142"/>
      <c r="EY74" s="142"/>
      <c r="EZ74" s="142"/>
      <c r="FA74" s="142"/>
      <c r="FB74" s="142"/>
      <c r="FC74" s="142"/>
      <c r="FD74" s="142"/>
      <c r="FE74" s="142"/>
      <c r="FF74" s="142"/>
      <c r="FG74" s="142"/>
      <c r="FH74" s="142"/>
      <c r="FI74" s="142"/>
      <c r="FJ74" s="142"/>
      <c r="FK74" s="142"/>
      <c r="FL74" s="142"/>
      <c r="FM74" s="142"/>
      <c r="FN74" s="142"/>
      <c r="FO74" s="142"/>
      <c r="FP74" s="142"/>
      <c r="FQ74" s="142"/>
      <c r="FR74" s="142"/>
      <c r="FS74" s="142"/>
      <c r="FT74" s="142"/>
      <c r="FU74" s="142"/>
      <c r="FV74" s="142"/>
      <c r="FW74" s="142"/>
      <c r="FX74" s="142"/>
      <c r="FY74" s="142"/>
      <c r="FZ74" s="142"/>
      <c r="GA74" s="142"/>
      <c r="GB74" s="142"/>
      <c r="GC74" s="142"/>
      <c r="GD74" s="142"/>
      <c r="GE74" s="142"/>
      <c r="GF74" s="142"/>
      <c r="GG74" s="142"/>
      <c r="GH74" s="142"/>
      <c r="GI74" s="142"/>
      <c r="GJ74" s="142"/>
      <c r="GK74" s="142"/>
      <c r="GL74" s="142"/>
      <c r="GM74" s="142"/>
      <c r="GN74" s="142"/>
      <c r="GO74" s="142"/>
      <c r="GP74" s="142"/>
      <c r="GQ74" s="142"/>
      <c r="GR74" s="142"/>
      <c r="GS74" s="142"/>
      <c r="GT74" s="142"/>
      <c r="GU74" s="142"/>
      <c r="GV74" s="142"/>
      <c r="GW74" s="142"/>
      <c r="GX74" s="142"/>
      <c r="GY74" s="142"/>
      <c r="GZ74" s="142"/>
      <c r="HA74" s="142"/>
      <c r="HB74" s="142"/>
      <c r="HC74" s="142"/>
      <c r="HD74" s="142"/>
      <c r="HE74" s="142"/>
      <c r="HF74" s="142"/>
      <c r="HG74" s="142"/>
      <c r="HH74" s="142"/>
      <c r="HI74" s="142"/>
      <c r="HJ74" s="142"/>
      <c r="HK74" s="142"/>
      <c r="HL74" s="142"/>
      <c r="HM74" s="142"/>
      <c r="HN74" s="142"/>
      <c r="HO74" s="142"/>
      <c r="HP74" s="142"/>
      <c r="HQ74" s="142"/>
      <c r="HR74" s="142"/>
      <c r="HS74" s="142"/>
      <c r="HT74" s="142"/>
      <c r="HU74" s="142"/>
      <c r="HV74" s="142"/>
      <c r="HW74" s="142"/>
      <c r="HX74" s="142"/>
      <c r="HY74" s="142"/>
      <c r="HZ74" s="142"/>
      <c r="IA74" s="142"/>
      <c r="IB74" s="142"/>
      <c r="IC74" s="142"/>
      <c r="ID74" s="142"/>
      <c r="IE74" s="142"/>
      <c r="IF74" s="142"/>
      <c r="IG74" s="142"/>
      <c r="IH74" s="142"/>
      <c r="II74" s="142"/>
      <c r="IJ74" s="142"/>
      <c r="IK74" s="142"/>
      <c r="IL74" s="142"/>
      <c r="IM74" s="142"/>
      <c r="IN74" s="142"/>
      <c r="IO74" s="142"/>
      <c r="IP74" s="142"/>
      <c r="IQ74" s="142"/>
      <c r="IR74" s="142"/>
      <c r="IS74" s="142"/>
      <c r="IT74" s="142"/>
      <c r="IU74" s="142"/>
      <c r="IV74" s="142"/>
    </row>
    <row r="75" spans="1:256" s="146" customFormat="1" ht="20.100000000000001" customHeight="1" x14ac:dyDescent="0.35">
      <c r="A75" s="228">
        <v>67</v>
      </c>
      <c r="B75" s="925"/>
      <c r="C75" s="926"/>
      <c r="D75" s="288" t="s">
        <v>252</v>
      </c>
      <c r="E75" s="929"/>
      <c r="F75" s="929"/>
      <c r="G75" s="927"/>
      <c r="H75" s="940"/>
      <c r="I75" s="930">
        <f t="shared" ref="I75:N77" si="0">I71+I67+I63+I59+I55+I51+I47+I43+I39+I35+I31+I27+I23+I19+I15+I11</f>
        <v>674</v>
      </c>
      <c r="J75" s="930">
        <f t="shared" si="0"/>
        <v>193</v>
      </c>
      <c r="K75" s="930">
        <f t="shared" si="0"/>
        <v>131974</v>
      </c>
      <c r="L75" s="930">
        <f t="shared" si="0"/>
        <v>1612</v>
      </c>
      <c r="M75" s="930">
        <f t="shared" si="0"/>
        <v>18717</v>
      </c>
      <c r="N75" s="930">
        <f t="shared" si="0"/>
        <v>27923</v>
      </c>
      <c r="O75" s="941">
        <f>SUM(I75:N75)</f>
        <v>181093</v>
      </c>
      <c r="P75" s="942">
        <f>SUM(P9:P71)</f>
        <v>126291</v>
      </c>
    </row>
    <row r="76" spans="1:256" s="146" customFormat="1" ht="20.100000000000001" customHeight="1" x14ac:dyDescent="0.35">
      <c r="A76" s="228">
        <v>68</v>
      </c>
      <c r="B76" s="925"/>
      <c r="C76" s="926"/>
      <c r="D76" s="923" t="s">
        <v>921</v>
      </c>
      <c r="E76" s="929"/>
      <c r="F76" s="929"/>
      <c r="G76" s="927"/>
      <c r="H76" s="1418"/>
      <c r="I76" s="1421">
        <f t="shared" si="0"/>
        <v>2274</v>
      </c>
      <c r="J76" s="1421">
        <f t="shared" si="0"/>
        <v>401</v>
      </c>
      <c r="K76" s="1421">
        <f t="shared" si="0"/>
        <v>100579</v>
      </c>
      <c r="L76" s="1421">
        <f t="shared" si="0"/>
        <v>5210</v>
      </c>
      <c r="M76" s="1421">
        <f t="shared" si="0"/>
        <v>15219</v>
      </c>
      <c r="N76" s="1421">
        <f t="shared" si="0"/>
        <v>25806</v>
      </c>
      <c r="O76" s="1021">
        <f>SUM(I76:N76)</f>
        <v>149489</v>
      </c>
      <c r="P76" s="1419"/>
    </row>
    <row r="77" spans="1:256" s="146" customFormat="1" ht="20.100000000000001" customHeight="1" thickBot="1" x14ac:dyDescent="0.4">
      <c r="A77" s="228">
        <v>69</v>
      </c>
      <c r="B77" s="722"/>
      <c r="C77" s="723"/>
      <c r="D77" s="1692" t="s">
        <v>973</v>
      </c>
      <c r="E77" s="723"/>
      <c r="F77" s="723"/>
      <c r="G77" s="931"/>
      <c r="H77" s="948"/>
      <c r="I77" s="1754">
        <f t="shared" si="0"/>
        <v>241</v>
      </c>
      <c r="J77" s="1754">
        <f t="shared" si="0"/>
        <v>55</v>
      </c>
      <c r="K77" s="1754">
        <f t="shared" si="0"/>
        <v>17463</v>
      </c>
      <c r="L77" s="1754">
        <f t="shared" si="0"/>
        <v>3598</v>
      </c>
      <c r="M77" s="1754">
        <f t="shared" si="0"/>
        <v>0</v>
      </c>
      <c r="N77" s="1754">
        <f t="shared" si="0"/>
        <v>25806</v>
      </c>
      <c r="O77" s="1695">
        <f>SUM(I77:N77)</f>
        <v>47163</v>
      </c>
      <c r="P77" s="932"/>
    </row>
    <row r="78" spans="1:256" ht="18" customHeight="1" x14ac:dyDescent="0.35">
      <c r="B78" s="221" t="s">
        <v>25</v>
      </c>
      <c r="C78" s="222"/>
      <c r="D78" s="221"/>
      <c r="E78" s="153"/>
      <c r="F78" s="154"/>
      <c r="G78" s="153"/>
      <c r="H78" s="210"/>
      <c r="I78" s="153"/>
      <c r="J78" s="153"/>
      <c r="K78" s="153"/>
      <c r="L78" s="153"/>
      <c r="M78" s="153"/>
      <c r="N78" s="153"/>
      <c r="O78" s="230"/>
    </row>
    <row r="79" spans="1:256" ht="18" customHeight="1" x14ac:dyDescent="0.35">
      <c r="B79" s="221" t="s">
        <v>26</v>
      </c>
      <c r="C79" s="222"/>
      <c r="D79" s="221"/>
      <c r="E79" s="200"/>
      <c r="F79" s="154"/>
      <c r="G79" s="153"/>
      <c r="H79" s="210"/>
      <c r="I79" s="153"/>
      <c r="J79" s="153"/>
      <c r="K79" s="153"/>
      <c r="L79" s="153"/>
      <c r="M79" s="153"/>
      <c r="N79" s="153"/>
      <c r="O79" s="230"/>
    </row>
    <row r="80" spans="1:256" ht="18" customHeight="1" x14ac:dyDescent="0.35">
      <c r="B80" s="221" t="s">
        <v>27</v>
      </c>
      <c r="C80" s="222"/>
      <c r="D80" s="221"/>
      <c r="E80" s="200"/>
      <c r="F80" s="154"/>
      <c r="G80" s="153"/>
      <c r="H80" s="210"/>
      <c r="I80" s="153"/>
      <c r="J80" s="153"/>
      <c r="K80" s="153"/>
      <c r="L80" s="153"/>
      <c r="M80" s="153"/>
      <c r="N80" s="153"/>
      <c r="O80" s="230"/>
    </row>
    <row r="81" spans="2:3" x14ac:dyDescent="0.35">
      <c r="B81" s="150" t="s">
        <v>374</v>
      </c>
      <c r="C81" s="150"/>
    </row>
  </sheetData>
  <mergeCells count="17">
    <mergeCell ref="I1:P1"/>
    <mergeCell ref="B6:B8"/>
    <mergeCell ref="E6:E8"/>
    <mergeCell ref="A2:P2"/>
    <mergeCell ref="A3:P3"/>
    <mergeCell ref="D6:D8"/>
    <mergeCell ref="F6:F8"/>
    <mergeCell ref="G6:G8"/>
    <mergeCell ref="I6:O6"/>
    <mergeCell ref="P6:P8"/>
    <mergeCell ref="I7:L7"/>
    <mergeCell ref="M7:N7"/>
    <mergeCell ref="O7:O8"/>
    <mergeCell ref="B74:G74"/>
    <mergeCell ref="C6:C8"/>
    <mergeCell ref="H6:H8"/>
    <mergeCell ref="Q6:R6"/>
  </mergeCells>
  <printOptions horizontalCentered="1"/>
  <pageMargins left="0.19685039370078741" right="0.19685039370078741" top="0.59055118110236227" bottom="0.59055118110236227" header="0.51181102362204722" footer="0.51181102362204722"/>
  <pageSetup paperSize="9" scale="57" fitToHeight="0" orientation="landscape" r:id="rId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14</vt:i4>
      </vt:variant>
      <vt:variant>
        <vt:lpstr>Névvel ellátott tartományok</vt:lpstr>
      </vt:variant>
      <vt:variant>
        <vt:i4>25</vt:i4>
      </vt:variant>
    </vt:vector>
  </HeadingPairs>
  <TitlesOfParts>
    <vt:vector size="39" baseType="lpstr">
      <vt:lpstr>1.Onbe</vt:lpstr>
      <vt:lpstr>2.Onki</vt:lpstr>
      <vt:lpstr>3.Inbe </vt:lpstr>
      <vt:lpstr>4.Inki</vt:lpstr>
      <vt:lpstr>5.Infelhki</vt:lpstr>
      <vt:lpstr>6.Önk.műk.</vt:lpstr>
      <vt:lpstr>7.Beruh.</vt:lpstr>
      <vt:lpstr>8.Felúj.</vt:lpstr>
      <vt:lpstr>9.Projekt</vt:lpstr>
      <vt:lpstr>10.MVP és hazai</vt:lpstr>
      <vt:lpstr>11.EKF</vt:lpstr>
      <vt:lpstr>12.Mérleg</vt:lpstr>
      <vt:lpstr>13.AKÜ</vt:lpstr>
      <vt:lpstr>14.EU</vt:lpstr>
      <vt:lpstr>'1.Onbe'!Nyomtatási_cím</vt:lpstr>
      <vt:lpstr>'10.MVP és hazai'!Nyomtatási_cím</vt:lpstr>
      <vt:lpstr>'11.EKF'!Nyomtatási_cím</vt:lpstr>
      <vt:lpstr>'14.EU'!Nyomtatási_cím</vt:lpstr>
      <vt:lpstr>'2.Onki'!Nyomtatási_cím</vt:lpstr>
      <vt:lpstr>'3.Inbe '!Nyomtatási_cím</vt:lpstr>
      <vt:lpstr>'4.Inki'!Nyomtatási_cím</vt:lpstr>
      <vt:lpstr>'5.Infelhki'!Nyomtatási_cím</vt:lpstr>
      <vt:lpstr>'6.Önk.műk.'!Nyomtatási_cím</vt:lpstr>
      <vt:lpstr>'7.Beruh.'!Nyomtatási_cím</vt:lpstr>
      <vt:lpstr>'8.Felúj.'!Nyomtatási_cím</vt:lpstr>
      <vt:lpstr>'9.Projekt'!Nyomtatási_cím</vt:lpstr>
      <vt:lpstr>'1.Onbe'!Nyomtatási_terület</vt:lpstr>
      <vt:lpstr>'10.MVP és hazai'!Nyomtatási_terület</vt:lpstr>
      <vt:lpstr>'11.EKF'!Nyomtatási_terület</vt:lpstr>
      <vt:lpstr>'12.Mérleg'!Nyomtatási_terület</vt:lpstr>
      <vt:lpstr>'14.EU'!Nyomtatási_terület</vt:lpstr>
      <vt:lpstr>'2.Onki'!Nyomtatási_terület</vt:lpstr>
      <vt:lpstr>'3.Inbe '!Nyomtatási_terület</vt:lpstr>
      <vt:lpstr>'4.Inki'!Nyomtatási_terület</vt:lpstr>
      <vt:lpstr>'5.Infelhki'!Nyomtatási_terület</vt:lpstr>
      <vt:lpstr>'6.Önk.műk.'!Nyomtatási_terület</vt:lpstr>
      <vt:lpstr>'7.Beruh.'!Nyomtatási_terület</vt:lpstr>
      <vt:lpstr>'8.Felúj.'!Nyomtatási_terület</vt:lpstr>
      <vt:lpstr>'9.Projekt'!Nyomtatási_terület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Schumacher Judit</dc:creator>
  <cp:lastModifiedBy>Eckert Szilvia</cp:lastModifiedBy>
  <cp:lastPrinted>2024-08-21T08:11:24Z</cp:lastPrinted>
  <dcterms:created xsi:type="dcterms:W3CDTF">2015-02-11T07:38:58Z</dcterms:created>
  <dcterms:modified xsi:type="dcterms:W3CDTF">2024-09-05T13:37:51Z</dcterms:modified>
</cp:coreProperties>
</file>