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VMJVDFS1\Kozos\PH\referensek\9_Szeptember 26\00_Anyagok\16_Karbomsemleges stratégia_LB_DJ\"/>
    </mc:Choice>
  </mc:AlternateContent>
  <xr:revisionPtr revIDLastSave="0" documentId="13_ncr:1_{9031F12B-4209-4886-891F-67B01AF00E27}" xr6:coauthVersionLast="47" xr6:coauthVersionMax="47" xr10:uidLastSave="{00000000-0000-0000-0000-000000000000}"/>
  <bookViews>
    <workbookView xWindow="-120" yWindow="-120" windowWidth="29040" windowHeight="15720" tabRatio="687" firstSheet="2" activeTab="9" xr2:uid="{00000000-000D-0000-FFFF-FFFF00000000}"/>
  </bookViews>
  <sheets>
    <sheet name="NYITÓLAP" sheetId="19" r:id="rId1"/>
    <sheet name="1. ENERGIAFOGYASZTÁS" sheetId="11" r:id="rId2"/>
    <sheet name="2. NAGYIPARI KIBOCSÁTÁS" sheetId="40" r:id="rId3"/>
    <sheet name="3. KÖZLEKEDÉS" sheetId="46" r:id="rId4"/>
    <sheet name="4. MEZŐGAZDASÁG" sheetId="42" r:id="rId5"/>
    <sheet name="5. HULLADÉK" sheetId="43" r:id="rId6"/>
    <sheet name="6. NYELŐK" sheetId="44" r:id="rId7"/>
    <sheet name="ÁTTEKINTŐ" sheetId="41" r:id="rId8"/>
    <sheet name="jegyzetek" sheetId="24" r:id="rId9"/>
    <sheet name="emissziós faktorok" sheetId="39" r:id="rId10"/>
  </sheets>
  <calcPr calcId="191029" concurrentCalc="0"/>
  <customWorkbookViews>
    <customWorkbookView name="Pirita - Personal View" guid="{0F8150F2-963D-4711-8D18-D348095819F3}" mergeInterval="0" personalView="1" maximized="1" xWindow="1" yWindow="1" windowWidth="1280" windowHeight="58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39" l="1"/>
  <c r="F44" i="39"/>
  <c r="B45" i="39"/>
  <c r="B46" i="39"/>
  <c r="B44" i="39"/>
  <c r="B43" i="39"/>
  <c r="D42" i="39"/>
  <c r="E14" i="42"/>
  <c r="B40" i="39"/>
  <c r="D40" i="39"/>
  <c r="E11" i="42"/>
  <c r="B12" i="42"/>
  <c r="B41" i="39"/>
  <c r="D41" i="39"/>
  <c r="E12" i="42"/>
  <c r="E10" i="42"/>
  <c r="E5" i="42"/>
  <c r="B127" i="46"/>
  <c r="B129" i="46"/>
  <c r="C129" i="46"/>
  <c r="B152" i="46"/>
  <c r="I162" i="46"/>
  <c r="D152" i="46"/>
  <c r="E162" i="46"/>
  <c r="F152" i="46"/>
  <c r="B130" i="46"/>
  <c r="B132" i="46"/>
  <c r="C132" i="46"/>
  <c r="B153" i="46"/>
  <c r="D153" i="46"/>
  <c r="F153" i="46"/>
  <c r="A91" i="46"/>
  <c r="E91" i="46"/>
  <c r="A92" i="46"/>
  <c r="E92" i="46"/>
  <c r="A93" i="46"/>
  <c r="E93" i="46"/>
  <c r="A94" i="46"/>
  <c r="E94" i="46"/>
  <c r="A95" i="46"/>
  <c r="E95" i="46"/>
  <c r="A96" i="46"/>
  <c r="E96" i="46"/>
  <c r="A97" i="46"/>
  <c r="E97" i="46"/>
  <c r="A98" i="46"/>
  <c r="E98" i="46"/>
  <c r="A99" i="46"/>
  <c r="E99" i="46"/>
  <c r="A100" i="46"/>
  <c r="E100" i="46"/>
  <c r="A101" i="46"/>
  <c r="E101" i="46"/>
  <c r="A102" i="46"/>
  <c r="E102" i="46"/>
  <c r="A103" i="46"/>
  <c r="E103" i="46"/>
  <c r="A104" i="46"/>
  <c r="E104" i="46"/>
  <c r="A105" i="46"/>
  <c r="E105" i="46"/>
  <c r="A106" i="46"/>
  <c r="E106" i="46"/>
  <c r="A107" i="46"/>
  <c r="E107" i="46"/>
  <c r="A108" i="46"/>
  <c r="E108" i="46"/>
  <c r="A109" i="46"/>
  <c r="E109" i="46"/>
  <c r="A110" i="46"/>
  <c r="E110" i="46"/>
  <c r="A111" i="46"/>
  <c r="E111" i="46"/>
  <c r="A112" i="46"/>
  <c r="E112" i="46"/>
  <c r="A113" i="46"/>
  <c r="E113" i="46"/>
  <c r="A114" i="46"/>
  <c r="E114" i="46"/>
  <c r="A115" i="46"/>
  <c r="E115" i="46"/>
  <c r="A116" i="46"/>
  <c r="E116" i="46"/>
  <c r="A117" i="46"/>
  <c r="E117" i="46"/>
  <c r="A118" i="46"/>
  <c r="E118" i="46"/>
  <c r="A119" i="46"/>
  <c r="E119" i="46"/>
  <c r="A120" i="46"/>
  <c r="E120" i="46"/>
  <c r="E121" i="46"/>
  <c r="B136" i="46"/>
  <c r="C136" i="46"/>
  <c r="E136" i="46"/>
  <c r="B155" i="46"/>
  <c r="D155" i="46"/>
  <c r="F155" i="46"/>
  <c r="B91" i="46"/>
  <c r="G91" i="46"/>
  <c r="B92" i="46"/>
  <c r="G92" i="46"/>
  <c r="B93" i="46"/>
  <c r="G93" i="46"/>
  <c r="B94" i="46"/>
  <c r="G94" i="46"/>
  <c r="B95" i="46"/>
  <c r="G95" i="46"/>
  <c r="B96" i="46"/>
  <c r="G96" i="46"/>
  <c r="B97" i="46"/>
  <c r="G97" i="46"/>
  <c r="B98" i="46"/>
  <c r="G98" i="46"/>
  <c r="B99" i="46"/>
  <c r="G99" i="46"/>
  <c r="B100" i="46"/>
  <c r="G100" i="46"/>
  <c r="B101" i="46"/>
  <c r="G101" i="46"/>
  <c r="B102" i="46"/>
  <c r="G102" i="46"/>
  <c r="B103" i="46"/>
  <c r="G103" i="46"/>
  <c r="B104" i="46"/>
  <c r="G104" i="46"/>
  <c r="B105" i="46"/>
  <c r="G105" i="46"/>
  <c r="B106" i="46"/>
  <c r="G106" i="46"/>
  <c r="B107" i="46"/>
  <c r="G107" i="46"/>
  <c r="B108" i="46"/>
  <c r="G108" i="46"/>
  <c r="B109" i="46"/>
  <c r="G109" i="46"/>
  <c r="B110" i="46"/>
  <c r="G110" i="46"/>
  <c r="B111" i="46"/>
  <c r="G111" i="46"/>
  <c r="B112" i="46"/>
  <c r="G112" i="46"/>
  <c r="B113" i="46"/>
  <c r="G113" i="46"/>
  <c r="B114" i="46"/>
  <c r="G114" i="46"/>
  <c r="B115" i="46"/>
  <c r="G115" i="46"/>
  <c r="B116" i="46"/>
  <c r="G116" i="46"/>
  <c r="B117" i="46"/>
  <c r="G117" i="46"/>
  <c r="B118" i="46"/>
  <c r="G118" i="46"/>
  <c r="B119" i="46"/>
  <c r="G119" i="46"/>
  <c r="B120" i="46"/>
  <c r="G120" i="46"/>
  <c r="G121" i="46"/>
  <c r="B138" i="46"/>
  <c r="C138" i="46"/>
  <c r="E138" i="46"/>
  <c r="B156" i="46"/>
  <c r="D156" i="46"/>
  <c r="F156" i="46"/>
  <c r="F91" i="46"/>
  <c r="F92" i="46"/>
  <c r="F93" i="46"/>
  <c r="F94" i="46"/>
  <c r="F95" i="46"/>
  <c r="F96" i="46"/>
  <c r="F97" i="46"/>
  <c r="F98" i="46"/>
  <c r="F99" i="46"/>
  <c r="F100" i="46"/>
  <c r="F101" i="46"/>
  <c r="F102" i="46"/>
  <c r="F103" i="46"/>
  <c r="F104" i="46"/>
  <c r="F105" i="46"/>
  <c r="F106" i="46"/>
  <c r="F107" i="46"/>
  <c r="F108" i="46"/>
  <c r="F109" i="46"/>
  <c r="F110" i="46"/>
  <c r="F111" i="46"/>
  <c r="F112" i="46"/>
  <c r="F113" i="46"/>
  <c r="F114" i="46"/>
  <c r="F115" i="46"/>
  <c r="F116" i="46"/>
  <c r="F117" i="46"/>
  <c r="F118" i="46"/>
  <c r="F119" i="46"/>
  <c r="F120" i="46"/>
  <c r="F121" i="46"/>
  <c r="B137" i="46"/>
  <c r="C137" i="46"/>
  <c r="C91" i="46"/>
  <c r="H91" i="46"/>
  <c r="C92" i="46"/>
  <c r="H92" i="46"/>
  <c r="C93" i="46"/>
  <c r="H93" i="46"/>
  <c r="C94" i="46"/>
  <c r="H94" i="46"/>
  <c r="C95" i="46"/>
  <c r="H95" i="46"/>
  <c r="C96" i="46"/>
  <c r="H96" i="46"/>
  <c r="C97" i="46"/>
  <c r="H97" i="46"/>
  <c r="C98" i="46"/>
  <c r="H98" i="46"/>
  <c r="C99" i="46"/>
  <c r="H99" i="46"/>
  <c r="C100" i="46"/>
  <c r="H100" i="46"/>
  <c r="C101" i="46"/>
  <c r="H101" i="46"/>
  <c r="C102" i="46"/>
  <c r="H102" i="46"/>
  <c r="C103" i="46"/>
  <c r="H103" i="46"/>
  <c r="C104" i="46"/>
  <c r="H104" i="46"/>
  <c r="C105" i="46"/>
  <c r="H105" i="46"/>
  <c r="C106" i="46"/>
  <c r="H106" i="46"/>
  <c r="C107" i="46"/>
  <c r="H107" i="46"/>
  <c r="C108" i="46"/>
  <c r="H108" i="46"/>
  <c r="C109" i="46"/>
  <c r="H109" i="46"/>
  <c r="C110" i="46"/>
  <c r="H110" i="46"/>
  <c r="C111" i="46"/>
  <c r="H111" i="46"/>
  <c r="C112" i="46"/>
  <c r="H112" i="46"/>
  <c r="C113" i="46"/>
  <c r="H113" i="46"/>
  <c r="C114" i="46"/>
  <c r="H114" i="46"/>
  <c r="C115" i="46"/>
  <c r="H115" i="46"/>
  <c r="C116" i="46"/>
  <c r="H116" i="46"/>
  <c r="C117" i="46"/>
  <c r="H117" i="46"/>
  <c r="C118" i="46"/>
  <c r="H118" i="46"/>
  <c r="C119" i="46"/>
  <c r="H119" i="46"/>
  <c r="C120" i="46"/>
  <c r="H120" i="46"/>
  <c r="H121" i="46"/>
  <c r="B139" i="46"/>
  <c r="C139" i="46"/>
  <c r="D91" i="46"/>
  <c r="I91" i="46"/>
  <c r="D92" i="46"/>
  <c r="I92" i="46"/>
  <c r="D93" i="46"/>
  <c r="I93" i="46"/>
  <c r="D94" i="46"/>
  <c r="I94" i="46"/>
  <c r="D95" i="46"/>
  <c r="I95" i="46"/>
  <c r="D96" i="46"/>
  <c r="I96" i="46"/>
  <c r="D97" i="46"/>
  <c r="I97" i="46"/>
  <c r="D98" i="46"/>
  <c r="I98" i="46"/>
  <c r="D99" i="46"/>
  <c r="I99" i="46"/>
  <c r="D100" i="46"/>
  <c r="I100" i="46"/>
  <c r="D101" i="46"/>
  <c r="I101" i="46"/>
  <c r="D102" i="46"/>
  <c r="I102" i="46"/>
  <c r="D103" i="46"/>
  <c r="I103" i="46"/>
  <c r="D104" i="46"/>
  <c r="I104" i="46"/>
  <c r="D105" i="46"/>
  <c r="I105" i="46"/>
  <c r="D106" i="46"/>
  <c r="I106" i="46"/>
  <c r="D107" i="46"/>
  <c r="I107" i="46"/>
  <c r="D108" i="46"/>
  <c r="I108" i="46"/>
  <c r="D109" i="46"/>
  <c r="I109" i="46"/>
  <c r="D110" i="46"/>
  <c r="I110" i="46"/>
  <c r="D111" i="46"/>
  <c r="I111" i="46"/>
  <c r="D112" i="46"/>
  <c r="I112" i="46"/>
  <c r="D113" i="46"/>
  <c r="I113" i="46"/>
  <c r="D114" i="46"/>
  <c r="I114" i="46"/>
  <c r="D115" i="46"/>
  <c r="I115" i="46"/>
  <c r="D116" i="46"/>
  <c r="I116" i="46"/>
  <c r="D117" i="46"/>
  <c r="I117" i="46"/>
  <c r="D118" i="46"/>
  <c r="I118" i="46"/>
  <c r="D119" i="46"/>
  <c r="I119" i="46"/>
  <c r="D120" i="46"/>
  <c r="I120" i="46"/>
  <c r="I121" i="46"/>
  <c r="B140" i="46"/>
  <c r="C140" i="46"/>
  <c r="E139" i="46"/>
  <c r="B157" i="46"/>
  <c r="D157" i="46"/>
  <c r="F157" i="46"/>
  <c r="B143" i="46"/>
  <c r="C143" i="46"/>
  <c r="B158" i="46"/>
  <c r="D158" i="46"/>
  <c r="F158" i="46"/>
  <c r="C162" i="46"/>
  <c r="B78" i="46"/>
  <c r="B145" i="46"/>
  <c r="B50" i="42"/>
  <c r="F49" i="42"/>
  <c r="AE65" i="46"/>
  <c r="AD65" i="46"/>
  <c r="AC65" i="46"/>
  <c r="AB65" i="46"/>
  <c r="AA65" i="46"/>
  <c r="Z65" i="46"/>
  <c r="Y65" i="46"/>
  <c r="X65" i="46"/>
  <c r="W65" i="46"/>
  <c r="V65" i="46"/>
  <c r="U65" i="46"/>
  <c r="T65" i="46"/>
  <c r="S65" i="46"/>
  <c r="R65" i="46"/>
  <c r="Q65" i="46"/>
  <c r="P65" i="46"/>
  <c r="O65" i="46"/>
  <c r="N65" i="46"/>
  <c r="M65" i="46"/>
  <c r="L65" i="46"/>
  <c r="K65" i="46"/>
  <c r="J65" i="46"/>
  <c r="I65" i="46"/>
  <c r="H65" i="46"/>
  <c r="G65" i="46"/>
  <c r="F65" i="46"/>
  <c r="E65" i="46"/>
  <c r="D65" i="46"/>
  <c r="C65" i="46"/>
  <c r="B65" i="46"/>
  <c r="AE64" i="46"/>
  <c r="AD64" i="46"/>
  <c r="AC64" i="46"/>
  <c r="AB64" i="46"/>
  <c r="AA64" i="46"/>
  <c r="Z64" i="46"/>
  <c r="Y64" i="46"/>
  <c r="X64" i="46"/>
  <c r="W64" i="46"/>
  <c r="V64" i="46"/>
  <c r="U64" i="46"/>
  <c r="T64" i="46"/>
  <c r="S64" i="46"/>
  <c r="R64" i="46"/>
  <c r="Q64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D64" i="46"/>
  <c r="C64" i="46"/>
  <c r="B64" i="46"/>
  <c r="B128" i="46"/>
  <c r="C128" i="46"/>
  <c r="C152" i="46"/>
  <c r="I164" i="46"/>
  <c r="E164" i="46"/>
  <c r="H15" i="11"/>
  <c r="A1" i="41"/>
  <c r="E14" i="41"/>
  <c r="F14" i="41"/>
  <c r="G164" i="46"/>
  <c r="G162" i="46"/>
  <c r="B131" i="46"/>
  <c r="C131" i="46"/>
  <c r="C153" i="46"/>
  <c r="J115" i="46"/>
  <c r="J111" i="46"/>
  <c r="J104" i="46"/>
  <c r="J95" i="46"/>
  <c r="B32" i="42"/>
  <c r="F46" i="39"/>
  <c r="H46" i="39"/>
  <c r="I32" i="42"/>
  <c r="D46" i="39"/>
  <c r="L35" i="40"/>
  <c r="H35" i="40"/>
  <c r="D35" i="40"/>
  <c r="O35" i="40"/>
  <c r="E12" i="41"/>
  <c r="L11" i="40"/>
  <c r="F11" i="41"/>
  <c r="H11" i="40"/>
  <c r="E11" i="41"/>
  <c r="D12" i="41"/>
  <c r="D11" i="40"/>
  <c r="D11" i="41"/>
  <c r="D10" i="41"/>
  <c r="E10" i="41"/>
  <c r="F12" i="41"/>
  <c r="F10" i="41"/>
  <c r="G10" i="41"/>
  <c r="G11" i="41"/>
  <c r="H70" i="11"/>
  <c r="A68" i="11"/>
  <c r="B21" i="44"/>
  <c r="D16" i="44"/>
  <c r="B10" i="44"/>
  <c r="D5" i="44"/>
  <c r="D2" i="44"/>
  <c r="D31" i="41"/>
  <c r="G31" i="41"/>
  <c r="I15" i="11"/>
  <c r="G15" i="11"/>
  <c r="F15" i="11"/>
  <c r="E15" i="11"/>
  <c r="L15" i="11"/>
  <c r="D6" i="41"/>
  <c r="G6" i="41"/>
  <c r="J5" i="11"/>
  <c r="I5" i="11"/>
  <c r="H5" i="11"/>
  <c r="G5" i="11"/>
  <c r="F5" i="11"/>
  <c r="E5" i="11"/>
  <c r="L5" i="11"/>
  <c r="H71" i="11"/>
  <c r="A70" i="11"/>
  <c r="A64" i="11"/>
  <c r="A66" i="11"/>
  <c r="E50" i="11"/>
  <c r="F40" i="11"/>
  <c r="F45" i="11"/>
  <c r="F31" i="11"/>
  <c r="I21" i="43"/>
  <c r="I14" i="43"/>
  <c r="E21" i="43"/>
  <c r="E14" i="43"/>
  <c r="E26" i="41"/>
  <c r="F50" i="42"/>
  <c r="I36" i="42"/>
  <c r="H52" i="39"/>
  <c r="E5" i="43"/>
  <c r="F45" i="39"/>
  <c r="H45" i="39"/>
  <c r="I26" i="42"/>
  <c r="D45" i="39"/>
  <c r="E26" i="42"/>
  <c r="H44" i="39"/>
  <c r="D44" i="39"/>
  <c r="F43" i="39"/>
  <c r="H43" i="39"/>
  <c r="D43" i="39"/>
  <c r="B23" i="42"/>
  <c r="E23" i="42"/>
  <c r="B22" i="42"/>
  <c r="B21" i="42"/>
  <c r="J119" i="46"/>
  <c r="J117" i="46"/>
  <c r="J101" i="46"/>
  <c r="J118" i="46"/>
  <c r="J105" i="46"/>
  <c r="J113" i="46"/>
  <c r="D2" i="40"/>
  <c r="O11" i="40"/>
  <c r="O2" i="40"/>
  <c r="H2" i="40"/>
  <c r="L2" i="40"/>
  <c r="I23" i="42"/>
  <c r="G12" i="41"/>
  <c r="E26" i="11"/>
  <c r="G26" i="11"/>
  <c r="F26" i="11"/>
  <c r="I26" i="11"/>
  <c r="H26" i="11"/>
  <c r="D5" i="41"/>
  <c r="E25" i="41"/>
  <c r="E2" i="43"/>
  <c r="I2" i="43"/>
  <c r="F26" i="41"/>
  <c r="F24" i="41"/>
  <c r="G26" i="41"/>
  <c r="F50" i="11"/>
  <c r="L50" i="11"/>
  <c r="D8" i="41"/>
  <c r="G8" i="41"/>
  <c r="L2" i="43"/>
  <c r="L26" i="11"/>
  <c r="G25" i="41"/>
  <c r="E24" i="41"/>
  <c r="G24" i="41"/>
  <c r="G5" i="41"/>
  <c r="D7" i="41"/>
  <c r="L2" i="11"/>
  <c r="G7" i="41"/>
  <c r="D4" i="41"/>
  <c r="E152" i="46"/>
  <c r="G152" i="46"/>
  <c r="F128" i="46"/>
  <c r="F129" i="46"/>
  <c r="C5" i="46"/>
  <c r="C6" i="46"/>
  <c r="F143" i="46"/>
  <c r="D6" i="46"/>
  <c r="G6" i="46"/>
  <c r="D15" i="41"/>
  <c r="B135" i="46"/>
  <c r="C135" i="46"/>
  <c r="J91" i="46"/>
  <c r="J92" i="46"/>
  <c r="J93" i="46"/>
  <c r="J94" i="46"/>
  <c r="J96" i="46"/>
  <c r="J97" i="46"/>
  <c r="J98" i="46"/>
  <c r="J99" i="46"/>
  <c r="J100" i="46"/>
  <c r="J102" i="46"/>
  <c r="J103" i="46"/>
  <c r="J106" i="46"/>
  <c r="J107" i="46"/>
  <c r="J108" i="46"/>
  <c r="J109" i="46"/>
  <c r="J110" i="46"/>
  <c r="J112" i="46"/>
  <c r="J114" i="46"/>
  <c r="J116" i="46"/>
  <c r="J120" i="46"/>
  <c r="J121" i="46"/>
  <c r="B141" i="46"/>
  <c r="C141" i="46"/>
  <c r="E135" i="46"/>
  <c r="C154" i="46"/>
  <c r="E154" i="46"/>
  <c r="G154" i="46"/>
  <c r="F135" i="46"/>
  <c r="F136" i="46"/>
  <c r="C23" i="46"/>
  <c r="F138" i="46"/>
  <c r="D23" i="46"/>
  <c r="F139" i="46"/>
  <c r="E23" i="46"/>
  <c r="G23" i="46"/>
  <c r="D17" i="41"/>
  <c r="E153" i="46"/>
  <c r="G153" i="46"/>
  <c r="F131" i="46"/>
  <c r="F132" i="46"/>
  <c r="C17" i="46"/>
  <c r="G17" i="46"/>
  <c r="D16" i="41"/>
  <c r="D14" i="41"/>
  <c r="D28" i="41"/>
  <c r="D33" i="41"/>
  <c r="D34" i="41"/>
  <c r="G4" i="41"/>
  <c r="G14" i="41"/>
  <c r="E20" i="41"/>
  <c r="G20" i="41"/>
  <c r="B24" i="42"/>
  <c r="E24" i="42"/>
  <c r="E22" i="42"/>
  <c r="E32" i="42"/>
  <c r="E17" i="42"/>
  <c r="E21" i="41"/>
  <c r="I24" i="42"/>
  <c r="I22" i="42"/>
  <c r="I17" i="42"/>
  <c r="F21" i="41"/>
  <c r="G21" i="41"/>
  <c r="F22" i="41"/>
  <c r="G22" i="41"/>
  <c r="G19" i="41"/>
  <c r="G28" i="41"/>
  <c r="G29" i="41"/>
  <c r="B76" i="46"/>
  <c r="C161" i="46"/>
  <c r="D29" i="41"/>
  <c r="I152" i="46"/>
  <c r="C163" i="46"/>
  <c r="H158" i="46"/>
  <c r="I153" i="46"/>
  <c r="H153" i="46"/>
  <c r="H152" i="46"/>
  <c r="C164" i="46"/>
  <c r="H156" i="46"/>
  <c r="G16" i="41"/>
  <c r="D2" i="46"/>
  <c r="E2" i="46"/>
  <c r="H155" i="46"/>
  <c r="I154" i="46"/>
  <c r="H157" i="46"/>
  <c r="G17" i="41"/>
  <c r="C2" i="46"/>
  <c r="G2" i="46"/>
  <c r="G15" i="41"/>
  <c r="G33" i="41"/>
  <c r="G34" i="41"/>
  <c r="M36" i="42"/>
  <c r="M5" i="42"/>
  <c r="I2" i="42"/>
  <c r="F19" i="41"/>
  <c r="F28" i="41"/>
  <c r="E2" i="42"/>
  <c r="M17" i="42"/>
  <c r="M2" i="42"/>
  <c r="E19" i="41"/>
  <c r="E28" i="41"/>
  <c r="F29" i="41"/>
  <c r="F33" i="41"/>
  <c r="F34" i="41"/>
  <c r="E33" i="41"/>
  <c r="E34" i="41"/>
  <c r="E29" i="41"/>
</calcChain>
</file>

<file path=xl/sharedStrings.xml><?xml version="1.0" encoding="utf-8"?>
<sst xmlns="http://schemas.openxmlformats.org/spreadsheetml/2006/main" count="828" uniqueCount="410">
  <si>
    <t>ÜHG LELTÁR</t>
  </si>
  <si>
    <t>VÁROS</t>
  </si>
  <si>
    <t>Város:</t>
  </si>
  <si>
    <t>Év:</t>
  </si>
  <si>
    <t>Készítette:</t>
  </si>
  <si>
    <t>Elérhetőség:</t>
  </si>
  <si>
    <t>Színkód:</t>
  </si>
  <si>
    <t>kézzel beírandó - csak ide írjon!</t>
  </si>
  <si>
    <t>ellenőrizendő, frissítendő adat</t>
  </si>
  <si>
    <t>képletet tartalmaz, ne írjon bele!</t>
  </si>
  <si>
    <t>automatikus eredmény, ne írjon bele!</t>
  </si>
  <si>
    <t>automatikus eredmény, az Áttekintőbe kerül, ne írjon bele!</t>
  </si>
  <si>
    <t>Forrás</t>
  </si>
  <si>
    <t>kitöltési segédlet</t>
  </si>
  <si>
    <t>segítség különböző energiamértékegységek közötti átváltáshoz:</t>
  </si>
  <si>
    <t>https://www.iea.org/statistics/resources/unitconverter/</t>
  </si>
  <si>
    <t>Verziószám: v1.2</t>
  </si>
  <si>
    <t>1.ENERGIAFOGYASZTÁS KIBOCSÁTÁSA</t>
  </si>
  <si>
    <t>MINDÖSSZESEN</t>
  </si>
  <si>
    <t>SZÉN-DIOXID</t>
  </si>
  <si>
    <r>
      <t>t CO</t>
    </r>
    <r>
      <rPr>
        <b/>
        <vertAlign val="subscript"/>
        <sz val="10"/>
        <rFont val="Arial"/>
        <family val="2"/>
        <charset val="238"/>
      </rPr>
      <t>2</t>
    </r>
  </si>
  <si>
    <t>1.1. ÁRAMFOGYASZTÁS KIBOCSÁTÁSA</t>
  </si>
  <si>
    <t>Önkormányzat</t>
  </si>
  <si>
    <t>Lakosság</t>
  </si>
  <si>
    <t>Közvilágítás</t>
  </si>
  <si>
    <t>Ipar</t>
  </si>
  <si>
    <t>Szolgáltatás</t>
  </si>
  <si>
    <t>Mezőgazdaság</t>
  </si>
  <si>
    <t>ÖSSZESEN</t>
  </si>
  <si>
    <t>Az adatokat a KSH-tól kell kérelmezni. A KSH-tól kapott adatok változtatás nélkül bemásolhatók.</t>
  </si>
  <si>
    <t>Év</t>
  </si>
  <si>
    <t xml:space="preserve">Összes </t>
  </si>
  <si>
    <t xml:space="preserve">Kommunális célra </t>
  </si>
  <si>
    <t xml:space="preserve">Lakosság részére </t>
  </si>
  <si>
    <t xml:space="preserve">Közvilágítási célra </t>
  </si>
  <si>
    <t xml:space="preserve">Ipari célra </t>
  </si>
  <si>
    <t>Mezőgaz-dasági célra</t>
  </si>
  <si>
    <t xml:space="preserve">Egyéb célra </t>
  </si>
  <si>
    <r>
      <t xml:space="preserve">szolgáltatott villamosenergia mennyisége </t>
    </r>
    <r>
      <rPr>
        <sz val="10"/>
        <color indexed="40"/>
        <rFont val="Arial"/>
        <family val="2"/>
        <charset val="238"/>
      </rPr>
      <t>(1000 kWh)</t>
    </r>
  </si>
  <si>
    <t>1.2. FÖLDGÁZFOGYASZTÁS KIBOCSÁTÁSA</t>
  </si>
  <si>
    <t>Az adatok a KSH-tól kérelmezhetők vagy az alábbi linken megatlálhatók (gázellátás), a települési lekérdezés után változtatás nélkül az alábbi táblába bemásolhatók.</t>
  </si>
  <si>
    <t>http://statinfo.ksh.hu/Statinfo/themeSelector.jsp?page=2&amp;szst=ZRK</t>
  </si>
  <si>
    <r>
      <t xml:space="preserve">Értékesített gáz </t>
    </r>
    <r>
      <rPr>
        <sz val="10"/>
        <color indexed="40"/>
        <rFont val="Arial"/>
        <family val="2"/>
        <charset val="238"/>
      </rPr>
      <t>(1000 m3)</t>
    </r>
  </si>
  <si>
    <t>Földgáz energiatartalma:</t>
  </si>
  <si>
    <t xml:space="preserve">Közvetlen háztartási </t>
  </si>
  <si>
    <t>Lakóépületek központi kazánjai</t>
  </si>
  <si>
    <t xml:space="preserve">Távfűtést ellátó vállalkozások </t>
  </si>
  <si>
    <t xml:space="preserve">Kommunális </t>
  </si>
  <si>
    <t xml:space="preserve">Ipari </t>
  </si>
  <si>
    <t>Mezőgazdasági</t>
  </si>
  <si>
    <t>Egyéb kategória</t>
  </si>
  <si>
    <t>Összesen</t>
  </si>
  <si>
    <t>MJ/m3</t>
  </si>
  <si>
    <t>Forrás:</t>
  </si>
  <si>
    <t>Főgáz 2016</t>
  </si>
  <si>
    <t>1.3. TÁVHŐFOGYASZTÁS KIBOCSÁTÁSA</t>
  </si>
  <si>
    <t>Az Önkormányzat és KSH által kapott adatok szükségesek, illetve az emissziós faktor fülön a helyi távhőtermeléshez szükségesek adatok, melyekről a helyi távhőtermelőtől kell érdeklődni.</t>
  </si>
  <si>
    <t>Ha a helyi távhőmű csak földgázt használ, akkor az emisszió nulla lesz, hiszen az már elszámolásra került a gázfogyasztásnál.</t>
  </si>
  <si>
    <t>Önkormányzat távhőfogyasztása:</t>
  </si>
  <si>
    <t>helyi távhő emissziós faktor (lenti kalkulátor alapján):</t>
  </si>
  <si>
    <t>MWh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</si>
  <si>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/ MWh</t>
    </r>
  </si>
  <si>
    <t>Lakosságnak szolgáltatott távhő:</t>
  </si>
  <si>
    <t>helyi távhő emissziós faktor számítás:</t>
  </si>
  <si>
    <t>Iparnak szolgáltatott távhő:</t>
  </si>
  <si>
    <t xml:space="preserve">milyen arányban használja az alábbi energiaforrásokat a helyi távhőtermelés? </t>
  </si>
  <si>
    <t>földgáz</t>
  </si>
  <si>
    <t>Szolgáltató szektornak szolgáltatott távhő:</t>
  </si>
  <si>
    <t>biomassza</t>
  </si>
  <si>
    <t>geotermia</t>
  </si>
  <si>
    <t>Mezőgazdaságnak szolgáltatott távhő:</t>
  </si>
  <si>
    <t>egyéb</t>
  </si>
  <si>
    <t>egyéb energiaforrás emissziós faktora:</t>
  </si>
  <si>
    <t>távhő emissziós faktor veszteségek nélkül:</t>
  </si>
  <si>
    <t>(táv)hőtermelés hatásfoka:</t>
  </si>
  <si>
    <t>távhőrendszer vesztesége:</t>
  </si>
  <si>
    <t>ha az erőmű áramot is termel, az éves összes energiatermelés mekkora aránya hőenergia: (ha csak hőt termel, az érték legyen 100%).</t>
  </si>
  <si>
    <t>távhő emissziós faktor:</t>
  </si>
  <si>
    <t>1.4. ÖNKORMÁNYZATI ÉS LAKOSSÁGI TŰZIFA- ÉS SZÉNFOGYASZTÁS KIBOCSÁTÁSA</t>
  </si>
  <si>
    <t>Az Önkormányzati tűzifafogyasztást az Önkormányzati számlák, energia-adatbázis alapján becsülhető meg.</t>
  </si>
  <si>
    <t xml:space="preserve">A lakossági tűzifafogyasztáshoz az alábbi oldalon, bal lent a megye kiválasztása után a következő táblát kell megnyitni: </t>
  </si>
  <si>
    <t>http://www.ksh.hu/nepszamlalas/reszletes_tablak</t>
  </si>
  <si>
    <t>2.3.3.2</t>
  </si>
  <si>
    <t>A lakott lakások szobaszám és konyhával való ellátottság, valamint tulajdonjelleg, komfortosság, fűtési mód és fűtőanyag szerint, 2011</t>
  </si>
  <si>
    <t>A települési lakott lakások száma az alábbi táblából érhető el:</t>
  </si>
  <si>
    <t>4.3.1.1</t>
  </si>
  <si>
    <t>A lakóegységek rendeltetése és lakóik, 2011</t>
  </si>
  <si>
    <t>Önkormányzat tűzifafogyasztása:</t>
  </si>
  <si>
    <t>lakossági tűzifa- és szénfogyasztás (adatok a megyei 2.3.3.2.  KSH táblából):</t>
  </si>
  <si>
    <t>tonna/év</t>
  </si>
  <si>
    <t>mutató:</t>
  </si>
  <si>
    <t>cella:</t>
  </si>
  <si>
    <t>érték:</t>
  </si>
  <si>
    <t>mértékegység:</t>
  </si>
  <si>
    <t>Önkormányzat szénfogyasztása:</t>
  </si>
  <si>
    <t>összes megyei lakás:</t>
  </si>
  <si>
    <t>K50</t>
  </si>
  <si>
    <t>db lakás</t>
  </si>
  <si>
    <t>összes települési lakás:</t>
  </si>
  <si>
    <t>(területi adat)</t>
  </si>
  <si>
    <t>konvektoros/kályhás fűtés fával:</t>
  </si>
  <si>
    <t>K23</t>
  </si>
  <si>
    <t>szénnel:</t>
  </si>
  <si>
    <t>K24</t>
  </si>
  <si>
    <t>gázzal és fával:</t>
  </si>
  <si>
    <t>K30</t>
  </si>
  <si>
    <t>szénnel és fával:</t>
  </si>
  <si>
    <t>K31</t>
  </si>
  <si>
    <t>cirkós/kazános fűtés fával:</t>
  </si>
  <si>
    <t>K37</t>
  </si>
  <si>
    <t>Lakosság tűzifafogyasztása (automatikusan jobboldali számítás alapján, vagy saját adat beírható):</t>
  </si>
  <si>
    <t>K38</t>
  </si>
  <si>
    <t>K44</t>
  </si>
  <si>
    <t>Lakosság szénfogyasztása (automatikusan jobboldali számítás alapján, vagy saját adat beírható):</t>
  </si>
  <si>
    <t>K45</t>
  </si>
  <si>
    <t>becsült települési lakossági tűzifafelhasználás:</t>
  </si>
  <si>
    <t>Átlagos lakás évi tűzifafogyasztása:</t>
  </si>
  <si>
    <t>becsült települési lakossági szénfelhasználás:</t>
  </si>
  <si>
    <t>Átlagos lakás évi szénfogyasztása:</t>
  </si>
  <si>
    <t>Tonnánkénti fa energiatartalma:</t>
  </si>
  <si>
    <t>MWh/t</t>
  </si>
  <si>
    <t>Tonnánkénti szén átlagos energiatartalma:</t>
  </si>
  <si>
    <t>2. NAGYIPARI KIBOCSÁTÁS</t>
  </si>
  <si>
    <t>DINITROGÉN-OXID</t>
  </si>
  <si>
    <t>METÁN</t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</si>
  <si>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e</t>
    </r>
  </si>
  <si>
    <t>Kitöltés a segédlet alapján az ETS adatbázis használatával, az egyes üzemekkel való kapcsolatfelvétel alapján.</t>
  </si>
  <si>
    <t>A helyi, nagyobb kibocsátású ipari létesítmények (erőműveket ne!) leválogathatók az ETS adatbázisból:</t>
  </si>
  <si>
    <t>Vagy a teljes táblázat letölthető innen (Excelben megnyitható):</t>
  </si>
  <si>
    <t>2.1. EGYÉB IPARI ENERGIAHORDOZÓ-FELHASZNÁLÁS KIBOCSÁTÁSA</t>
  </si>
  <si>
    <t>Figyelem! A gáz- és áramfogyasztáshoz kötődő ipari kibocsátások már el lettek számolva az 1. Energiafogyasztás lapon!</t>
  </si>
  <si>
    <t>Például: ipari biomassza-tüzelés, széntüzelés, dízelfogyasztás stb.</t>
  </si>
  <si>
    <t>üzem neve:</t>
  </si>
  <si>
    <t>megjegyzés:</t>
  </si>
  <si>
    <t>kibocsátás:</t>
  </si>
  <si>
    <r>
      <t>t CO</t>
    </r>
    <r>
      <rPr>
        <vertAlign val="subscript"/>
        <sz val="10"/>
        <rFont val="Arial"/>
        <family val="2"/>
        <charset val="238"/>
      </rPr>
      <t>2</t>
    </r>
  </si>
  <si>
    <r>
      <t>t CH</t>
    </r>
    <r>
      <rPr>
        <vertAlign val="subscript"/>
        <sz val="10"/>
        <rFont val="Arial"/>
        <family val="2"/>
        <charset val="238"/>
      </rPr>
      <t>4</t>
    </r>
  </si>
  <si>
    <r>
      <t>t N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</si>
  <si>
    <t>2.2. KÜLÖNÖSEN SZENNYEZŐ IPARI FOLYAMATOK KIBOCSÁTÁSAI</t>
  </si>
  <si>
    <t>Különösen szennyező ipari kibocsátások, amelyek nem energiafelhasználáshoz köthetők, hanem ipari folyamatokból kerülnek a légkörbe.</t>
  </si>
  <si>
    <t>Például: cementgyártás, kerámiagyártás, vegyipar stb.</t>
  </si>
  <si>
    <t>3. KÖZLEKEDÉS</t>
  </si>
  <si>
    <t>Egyéni közlekedés</t>
  </si>
  <si>
    <t>Tömegközlekedés</t>
  </si>
  <si>
    <t>Teherszállítás</t>
  </si>
  <si>
    <t>3.1 TELEPÜLÉSEN BELÜLI, HELYI, EGYÉNI UTAZÁSOK (1. TÉNYEZŐ)</t>
  </si>
  <si>
    <t>korrekciós tényezővel csökkentve</t>
  </si>
  <si>
    <t xml:space="preserve">Benzin és dízelüzemű személygépkocsik számára vonatkozó adatok: </t>
  </si>
  <si>
    <t>http://statinfo.ksh.hu/Statinfo/haDetails.jsp</t>
  </si>
  <si>
    <t>Budapesti Agglomeráció települése? (0 - nem, 1 - igen)</t>
  </si>
  <si>
    <r>
      <t xml:space="preserve">a településre vonatkozó, személygépkocsival megtett, a lakótelepülésen belül történő munkába járás összesített napi időtartama egy irányba </t>
    </r>
    <r>
      <rPr>
        <sz val="10"/>
        <color indexed="40"/>
        <rFont val="Arial"/>
        <family val="2"/>
        <charset val="238"/>
      </rPr>
      <t>(egyedi KSH adatkérés alapján)</t>
    </r>
  </si>
  <si>
    <t>perc</t>
  </si>
  <si>
    <t>a településen regisztrált benzinüzemű személygépkocsik száma</t>
  </si>
  <si>
    <t>db</t>
  </si>
  <si>
    <t>a településen regisztrált gázolajüzemű (dízel) személygépkocsik száma</t>
  </si>
  <si>
    <r>
      <t xml:space="preserve">a település nem állami kezelésű útjain bonyolódó autóbuszforgalom futási teljesítménye </t>
    </r>
    <r>
      <rPr>
        <sz val="10"/>
        <color indexed="49"/>
        <rFont val="Arial"/>
        <family val="2"/>
        <charset val="238"/>
      </rPr>
      <t>(szolgáltatótól lekérdezendő)</t>
    </r>
  </si>
  <si>
    <t>jműkm / év</t>
  </si>
  <si>
    <t>3.2 HELYI, INGÁZÓ LAKOSOK SAJÁT TELEPÜLÉSÜK NEM ÁLLAMI ÚTSZAKASZÁRA ESŐ SZGK-IK UTAZÁSAI (2. TÉNYEZŐ)</t>
  </si>
  <si>
    <t>megyei jogú város? (0 - nem, 1 - igen)</t>
  </si>
  <si>
    <r>
      <t xml:space="preserve">a településről személygépkocsival ingázó munkavállalók száma  </t>
    </r>
    <r>
      <rPr>
        <sz val="10"/>
        <color indexed="40"/>
        <rFont val="Arial"/>
        <family val="2"/>
        <charset val="238"/>
      </rPr>
      <t>(egyedi KSH adatkérés alapján)</t>
    </r>
  </si>
  <si>
    <t>fő</t>
  </si>
  <si>
    <t>3.3 A TELEPÜLÉSRE ESŐ ÁLLAMI UTAK FORGALMA (3. TÉNYEZŐ)</t>
  </si>
  <si>
    <t xml:space="preserve">Állami utak hosszára vonatkozó információk:  </t>
  </si>
  <si>
    <t>http://kira.gov.hu/</t>
  </si>
  <si>
    <t xml:space="preserve">Állami utak forgalomszámlásái adatai: </t>
  </si>
  <si>
    <t>http://internet.kozut.hu/Lapok/forgalomszamlalas.aspx</t>
  </si>
  <si>
    <t>A település KÖZIGAZGATÁSI területén áthaladó állami utak (kivéve gyorsforgalmi utak) hossza, forgalma (jármű/nap)</t>
  </si>
  <si>
    <t>közút száma</t>
  </si>
  <si>
    <t>kezdő szelvény</t>
  </si>
  <si>
    <t>végszelvény</t>
  </si>
  <si>
    <t>személygépkocsi</t>
  </si>
  <si>
    <t>kistehergépkocsi</t>
  </si>
  <si>
    <t>egyes autóbusz</t>
  </si>
  <si>
    <t>csuklós autóbusz</t>
  </si>
  <si>
    <t>közepes nehéz tgk.</t>
  </si>
  <si>
    <t>nehéz tgk.</t>
  </si>
  <si>
    <t>pótkocsis tgk.</t>
  </si>
  <si>
    <t>nyerges tgk.</t>
  </si>
  <si>
    <t>speciális</t>
  </si>
  <si>
    <t>lassú jármű</t>
  </si>
  <si>
    <t>motorkerékpár</t>
  </si>
  <si>
    <t>Korrekciós tényező számítása</t>
  </si>
  <si>
    <t>állami utak közig. területre eső szakaszhossza (km)</t>
  </si>
  <si>
    <t>A település BELTERÜLETÉN áthaladó állami utak (kivéve gyorsforgalmi utak) hossza</t>
  </si>
  <si>
    <t>Település belterületén áthaladó állami utak hosszára vonatkozó adatok forrása:</t>
  </si>
  <si>
    <t>Összes kiépített belterületi út hosszára vonatkozó adatok forrása:</t>
  </si>
  <si>
    <t>https://www.teir.hu/</t>
  </si>
  <si>
    <t>Közút száma</t>
  </si>
  <si>
    <t>állami út belterületre eső szakaszhossza (km)</t>
  </si>
  <si>
    <t>állami utak közig. területre eső összegzett hossza</t>
  </si>
  <si>
    <t>km</t>
  </si>
  <si>
    <r>
      <t>összes kiépített belterületi út hossza:</t>
    </r>
    <r>
      <rPr>
        <b/>
        <u/>
        <sz val="10"/>
        <color indexed="49"/>
        <rFont val="Arial"/>
        <family val="2"/>
        <charset val="238"/>
      </rPr>
      <t xml:space="preserve"> </t>
    </r>
  </si>
  <si>
    <t xml:space="preserve">állami utak belterületre eső hossza </t>
  </si>
  <si>
    <t>a település megyéjében regisztrált benzinüzemű személygépkocsik száma</t>
  </si>
  <si>
    <t>a település megyéjében regisztrált gázolajüzemű (dízel) személygépkocsik száma</t>
  </si>
  <si>
    <t>bekeverési arányok:</t>
  </si>
  <si>
    <t>benzin</t>
  </si>
  <si>
    <t>dízel</t>
  </si>
  <si>
    <t>KÖZLEKEDÉS KALKULÁTOR</t>
  </si>
  <si>
    <t>szakaszhossz</t>
  </si>
  <si>
    <t>autóbusz összesen</t>
  </si>
  <si>
    <t>nehéz tgk összesen</t>
  </si>
  <si>
    <t>járműszerelvények összesen</t>
  </si>
  <si>
    <t>szgk km/nap</t>
  </si>
  <si>
    <t>kis tgk km/nap</t>
  </si>
  <si>
    <t>autóbusz km/nap</t>
  </si>
  <si>
    <t>nehéz tgk km/nap</t>
  </si>
  <si>
    <t>szerelvény km/nap</t>
  </si>
  <si>
    <t>motor km/nap</t>
  </si>
  <si>
    <t>összes járműkm</t>
  </si>
  <si>
    <t>járműkm</t>
  </si>
  <si>
    <t>felhasznált üzemanyag (liter):</t>
  </si>
  <si>
    <t>összes üzemanyag-fogyasztás (liter):</t>
  </si>
  <si>
    <t>a településen belül megtett napi út hossza</t>
  </si>
  <si>
    <t>a helyben dolgozók benzinüzemű járművei által a településen belül megtett éves úthossz</t>
  </si>
  <si>
    <t>a helyben dolgozók dízelüzemű járművei által a településen belül megtett éves úthossz</t>
  </si>
  <si>
    <t>a településen belül, nem állami úton megtett napi út hossza</t>
  </si>
  <si>
    <t>az ingázók által a településen belül, nem állami úton, a benzinüzemű járművek által megtett éves úthossz</t>
  </si>
  <si>
    <t>az ingázók által a településen belül a dízelüzemű járművek által nem állami úton megtett éves úthossz</t>
  </si>
  <si>
    <t>állami útra eső évesített forgalmi adatok</t>
  </si>
  <si>
    <t>személygépkocsi benzin</t>
  </si>
  <si>
    <t>személygépkocsi dízel</t>
  </si>
  <si>
    <t>kis tehergépkocsi</t>
  </si>
  <si>
    <t>autóbusz</t>
  </si>
  <si>
    <t>tehergépkocsi</t>
  </si>
  <si>
    <t>járműszerelvény</t>
  </si>
  <si>
    <t>helyi kezelésű utak éves autóbuszforgalma</t>
  </si>
  <si>
    <t>korrekciós tényező</t>
  </si>
  <si>
    <t>fogyasztás (liter)</t>
  </si>
  <si>
    <t>energiatartalom</t>
  </si>
  <si>
    <r>
      <t>CO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-kibocsátás</t>
    </r>
  </si>
  <si>
    <t>bioüzemanyag-tartalom</t>
  </si>
  <si>
    <t>liter</t>
  </si>
  <si>
    <r>
      <t>t CO</t>
    </r>
    <r>
      <rPr>
        <vertAlign val="subscript"/>
        <sz val="10"/>
        <color indexed="8"/>
        <rFont val="Arial"/>
        <family val="2"/>
        <charset val="238"/>
      </rPr>
      <t>2</t>
    </r>
  </si>
  <si>
    <t>helyi lakos, helyben utazása (személygépkocsi)</t>
  </si>
  <si>
    <t>helyi ingázó lakos, helyi útra eső utazása (szgk)</t>
  </si>
  <si>
    <t>áll. út benzines személygépkocsi + motorkerékpár</t>
  </si>
  <si>
    <t>áll. út dízeles személygépkocsi</t>
  </si>
  <si>
    <t>áll út autóbusz</t>
  </si>
  <si>
    <t>áll. út tgk</t>
  </si>
  <si>
    <t>helyi utak autóbusz forgalma</t>
  </si>
  <si>
    <t>dízel fogyasztás összesen:</t>
  </si>
  <si>
    <t>emissziós faktor:</t>
  </si>
  <si>
    <t>energiatartalom:</t>
  </si>
  <si>
    <r>
      <t>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:</t>
    </r>
  </si>
  <si>
    <r>
      <t>tCO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e/MWh</t>
    </r>
  </si>
  <si>
    <t>kWh/l</t>
  </si>
  <si>
    <t>MWh/liter</t>
  </si>
  <si>
    <t>benzin fogyasztás összesen:</t>
  </si>
  <si>
    <t>4. MEZŐGAZDASÁG</t>
  </si>
  <si>
    <t>SZÉN-DIOXID EGYENÉRÉK</t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</si>
  <si>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e</t>
    </r>
  </si>
  <si>
    <t>4.1. KÉRŐDZŐK KIBOCSÁTÁSA</t>
  </si>
  <si>
    <t>A 2010-es települési állatállomány adatok megtalálhatók a KSH oldalán:</t>
  </si>
  <si>
    <t>http://www.ksh.hu/docs/hun/xftp/idoszaki/foldhaszn/foldhaszn1022.xls</t>
  </si>
  <si>
    <t>Összes szarvasmarha: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</si>
  <si>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</t>
    </r>
  </si>
  <si>
    <t>Tehén:</t>
  </si>
  <si>
    <t>Nem tejelő szarvasmarha:</t>
  </si>
  <si>
    <t>Összes juh:</t>
  </si>
  <si>
    <t>4.2. HÍGTRÁGYA-EMISSZIÓ</t>
  </si>
  <si>
    <t>Összes sertés:</t>
  </si>
  <si>
    <t>Tyúk:</t>
  </si>
  <si>
    <t>Kacsa:</t>
  </si>
  <si>
    <t>Lúd:</t>
  </si>
  <si>
    <t>Pulyka:</t>
  </si>
  <si>
    <t>Összes baromfi:</t>
  </si>
  <si>
    <t>4.3. SZERVES- ÉS MŰTRÁGYA-EMISSZIÓ</t>
  </si>
  <si>
    <t xml:space="preserve">Trágyázásra vonatkozó adatok elérhetők innen: </t>
  </si>
  <si>
    <t>http://statinfo.ksh.hu/Statinfo/themeSelector.jsp?page=2&amp;szst=OMN</t>
  </si>
  <si>
    <t>2016-tól kezdődő évekre vonatkozóan: Megyei istállótrágya-felhasználásra vonatkozó adatokat kell figyelembe venni (4. adatkör)</t>
  </si>
  <si>
    <r>
      <rPr>
        <sz val="10"/>
        <color indexed="49"/>
        <rFont val="Arial"/>
        <family val="2"/>
        <charset val="238"/>
      </rPr>
      <t>2003-2015 közötti évekre vonatkozóan:</t>
    </r>
    <r>
      <rPr>
        <u/>
        <sz val="10"/>
        <color indexed="49"/>
        <rFont val="Arial"/>
        <family val="2"/>
        <charset val="238"/>
      </rPr>
      <t xml:space="preserve"> </t>
    </r>
    <r>
      <rPr>
        <sz val="10"/>
        <color indexed="49"/>
        <rFont val="Arial"/>
        <family val="2"/>
        <charset val="238"/>
      </rPr>
      <t>Megyei szervestrágya-felhasználásra vonatkozó adatokat kell figyelembe venni (6. adatkör)</t>
    </r>
  </si>
  <si>
    <t>Megyei műtrágyafelhasználásra vonatkozó adatok: 7. adatkör</t>
  </si>
  <si>
    <t>A megyei szántóterület nagysága innen elérhető:</t>
  </si>
  <si>
    <t>https://www.ksh.hu/docs/hun/xstadat/xstadat_eves/i_omf003.html</t>
  </si>
  <si>
    <t>Települési adatok forrása: KSH éves településstatisztikai adatok 2015-ös településszerkezetben:</t>
  </si>
  <si>
    <t>http://statinfo.ksh.hu/Statinfo/themeSelector.jsp?page=2&amp;szst=T</t>
  </si>
  <si>
    <t>Település szántóterület, egyéni gazdaságok:</t>
  </si>
  <si>
    <t>m2</t>
  </si>
  <si>
    <r>
      <t xml:space="preserve">Megyében felhasznált istállótrágya, vagy szervestrágya mennyisége </t>
    </r>
    <r>
      <rPr>
        <i/>
        <sz val="10"/>
        <rFont val="Arial"/>
        <family val="2"/>
        <charset val="238"/>
      </rPr>
      <t>(bázisévtől függően)</t>
    </r>
  </si>
  <si>
    <t>tonna</t>
  </si>
  <si>
    <t>Település szántóterület, gazdasági szervezetek:</t>
  </si>
  <si>
    <t>Megyében felhasznált összes műtrágya mennyisége</t>
  </si>
  <si>
    <t>Település összes szántóterület:</t>
  </si>
  <si>
    <t>ezer ha</t>
  </si>
  <si>
    <t>Megyében kijuttatott összes trágya mennyisége:</t>
  </si>
  <si>
    <t>Településre kijuttatott trágya:</t>
  </si>
  <si>
    <t>Megyei szántóterület:</t>
  </si>
  <si>
    <t>5. HULLADÉKKEZELÉS</t>
  </si>
  <si>
    <t>5.1. SZILÁRD HULLADÉKKEZELÉS</t>
  </si>
  <si>
    <t>Települési hulladékgazdálkodási adatok elérhetők innen:</t>
  </si>
  <si>
    <t>http://statinfo.ksh.hu/Statinfo/themeSelector.jsp?page=2&amp;szst=UR</t>
  </si>
  <si>
    <t>Műszaki védelemmel ellátott lerakókban elhelyezett szilárd hulladék:</t>
  </si>
  <si>
    <t>5.2. SZENNYVÍZKEZELÉS</t>
  </si>
  <si>
    <t>Szennyvízkezelés</t>
  </si>
  <si>
    <t>Országos kibocsátás: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</si>
  <si>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 / év</t>
    </r>
  </si>
  <si>
    <t>Forrás: Nemzeti Üvegházgáz Leltár, 2014-es adat</t>
  </si>
  <si>
    <t>Ország népessége:</t>
  </si>
  <si>
    <t>Település népessége:</t>
  </si>
  <si>
    <t>Település kibocsátása:</t>
  </si>
  <si>
    <t>6. NYELŐK</t>
  </si>
  <si>
    <t>6.1. ERDŐK</t>
  </si>
  <si>
    <t>Forrás: saját adat vagy https://www.teir.hu/rqdist/main?rq_app=meta&amp;rq_proc=strfr&amp;dbid=46&amp;ev=2012</t>
  </si>
  <si>
    <t>település erdőterületei</t>
  </si>
  <si>
    <t>ha</t>
  </si>
  <si>
    <r>
      <t>erdők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</si>
  <si>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t>6.2. TELEPÜLÉSI ZÖLDTERÜLETEK</t>
  </si>
  <si>
    <t>települési zöldterületek</t>
  </si>
  <si>
    <r>
      <t>zöldterületek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</si>
  <si>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t>t CO2</t>
  </si>
  <si>
    <r>
      <t>CO</t>
    </r>
    <r>
      <rPr>
        <b/>
        <vertAlign val="subscript"/>
        <sz val="11"/>
        <rFont val="Arial"/>
        <family val="2"/>
        <charset val="238"/>
      </rPr>
      <t>2</t>
    </r>
  </si>
  <si>
    <r>
      <t>CH</t>
    </r>
    <r>
      <rPr>
        <b/>
        <vertAlign val="subscript"/>
        <sz val="11"/>
        <rFont val="Arial"/>
        <family val="2"/>
        <charset val="238"/>
      </rPr>
      <t>4</t>
    </r>
  </si>
  <si>
    <r>
      <t>N</t>
    </r>
    <r>
      <rPr>
        <b/>
        <vertAlign val="subscript"/>
        <sz val="11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>O</t>
    </r>
  </si>
  <si>
    <t>ÜVEGHÁZGÁZ LELTÁR</t>
  </si>
  <si>
    <r>
      <t>t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egyenérték</t>
    </r>
  </si>
  <si>
    <t>KIBOCSÁTÁS</t>
  </si>
  <si>
    <t>1. ENERGIAFOGYASZTÁS</t>
  </si>
  <si>
    <t>1.1. Áram</t>
  </si>
  <si>
    <t>1.2. Földgáz</t>
  </si>
  <si>
    <t>1.3. Távhő</t>
  </si>
  <si>
    <t>1.4. Szén és tűzifa</t>
  </si>
  <si>
    <t>2.1. Egyéb ipari energiafogysztás</t>
  </si>
  <si>
    <t>2.2. Ipari folyamatok</t>
  </si>
  <si>
    <t>3.1. Helyi közlekedés</t>
  </si>
  <si>
    <t>3.2. Ingázás</t>
  </si>
  <si>
    <t>3.3. Állami utak</t>
  </si>
  <si>
    <t>4.1. Állatállomány</t>
  </si>
  <si>
    <t>4.2. Hígtrágya</t>
  </si>
  <si>
    <t>4.3. Szántóföldek</t>
  </si>
  <si>
    <t>5. HULLADÉK</t>
  </si>
  <si>
    <t>5.1. Szilárd hulladékkezelés</t>
  </si>
  <si>
    <t>5.2. Szennyvízkezelés</t>
  </si>
  <si>
    <t>ÖSSZES KIBOCSÁTÁS</t>
  </si>
  <si>
    <t>NAGYIPAR NÉLKÜL</t>
  </si>
  <si>
    <t>NYELÉS</t>
  </si>
  <si>
    <t>6. Nyelők</t>
  </si>
  <si>
    <t>VÉGSŐ KIBOCSÁTÁS</t>
  </si>
  <si>
    <t>MÓDSZERTAN</t>
  </si>
  <si>
    <t>KÉRDÉSEK</t>
  </si>
  <si>
    <t>FELADATOK</t>
  </si>
  <si>
    <t>EMISSZIÓS FAKTOROK</t>
  </si>
  <si>
    <t>SAR:</t>
  </si>
  <si>
    <t>CO2:</t>
  </si>
  <si>
    <t>CH4:</t>
  </si>
  <si>
    <t>N2O:</t>
  </si>
  <si>
    <t>https://www.ipcc.ch/publications_and_data/ar4/wg1/en/ch2s2-10-2.html</t>
  </si>
  <si>
    <t>ENERGIA</t>
  </si>
  <si>
    <t>CO2</t>
  </si>
  <si>
    <t>Forrás (CO2)</t>
  </si>
  <si>
    <t>Aktualitás</t>
  </si>
  <si>
    <t>Frissítve</t>
  </si>
  <si>
    <t>villamos energia</t>
  </si>
  <si>
    <t>t CO2 / MWh</t>
  </si>
  <si>
    <t>OMSZ</t>
  </si>
  <si>
    <t>IPCC</t>
  </si>
  <si>
    <t>barnaszén</t>
  </si>
  <si>
    <t>Nemzeti ÜHG leltár</t>
  </si>
  <si>
    <t>lignit</t>
  </si>
  <si>
    <t>biogáz</t>
  </si>
  <si>
    <t>bioüzemanyagok</t>
  </si>
  <si>
    <t>hulladék</t>
  </si>
  <si>
    <t>KÖZLEKEDÉS</t>
  </si>
  <si>
    <t>átlagos fogyasztás (l /100 km) benzin</t>
  </si>
  <si>
    <t>átlagos fogyasztás (l /100 km) dízel</t>
  </si>
  <si>
    <t>Személygépkocsi</t>
  </si>
  <si>
    <t>NKS</t>
  </si>
  <si>
    <t>Kis tehergépkocsi</t>
  </si>
  <si>
    <t>Autóbusz egyes</t>
  </si>
  <si>
    <t>Autóbusz csuklós</t>
  </si>
  <si>
    <t>Tehergépkocsi közepesen nehéz</t>
  </si>
  <si>
    <t>Tehergépkocsi nehéz</t>
  </si>
  <si>
    <t>Tehergépkocsi pótkocsis</t>
  </si>
  <si>
    <t>Tehergépkocsi nyerges</t>
  </si>
  <si>
    <t>Tehergépkocsi speciális</t>
  </si>
  <si>
    <t>Motorkerékpár</t>
  </si>
  <si>
    <t>Lassú jármű</t>
  </si>
  <si>
    <t>MEZŐGAZDASÁG</t>
  </si>
  <si>
    <t>CH4</t>
  </si>
  <si>
    <t>CH4 - CO2e</t>
  </si>
  <si>
    <t>N2O</t>
  </si>
  <si>
    <t>N2O - CO2e</t>
  </si>
  <si>
    <t>szarvasmarha emésztés - tejelő</t>
  </si>
  <si>
    <t>t CH4 / db</t>
  </si>
  <si>
    <t>t CO2e / db</t>
  </si>
  <si>
    <t>Nemzeti Üvegházgáz Leltár</t>
  </si>
  <si>
    <t>szarvasmarha emésztés - egyéb</t>
  </si>
  <si>
    <t>juh - emésztés</t>
  </si>
  <si>
    <t>szarvasmarha hígtrágya - tejelő</t>
  </si>
  <si>
    <t>t N2O / db</t>
  </si>
  <si>
    <t>szarvasmarha hígtrágya - egyéb</t>
  </si>
  <si>
    <t>sertés hígtrágya</t>
  </si>
  <si>
    <t>baromfi hígtrágya</t>
  </si>
  <si>
    <t>trágya (mű- és szerves trágya) N2O</t>
  </si>
  <si>
    <t>t CO2e / t trágya</t>
  </si>
  <si>
    <t>saját számítás NÜL alapján</t>
  </si>
  <si>
    <t>HULLADÉK</t>
  </si>
  <si>
    <t>hulladéklerakás</t>
  </si>
  <si>
    <t>t CH4 / t hull.</t>
  </si>
  <si>
    <t>t CO2e / t hull</t>
  </si>
  <si>
    <t>NYELŐK</t>
  </si>
  <si>
    <t>erdőterület</t>
  </si>
  <si>
    <t>t CO2/év/ha</t>
  </si>
  <si>
    <t>zöldterület</t>
  </si>
  <si>
    <t>Nemzeti Alkalmazkodási Központ Módszertana</t>
  </si>
  <si>
    <t>Veszprém</t>
  </si>
  <si>
    <t>Teqtos Kft.</t>
  </si>
  <si>
    <t>info@teqtos.com</t>
  </si>
  <si>
    <t>http://ec.europa.eu/environment/ets/napInstallationInformation.do?registryName=Hungary&amp;napId=19734&amp;allowancesForReserve=3070472&amp;action=napHistoryParams
&amp;commitmentPeriodCode=2&amp;commitmentPeriodDesc=Phase+3+%282013-2020%29&amp;allowancesForOperators=82397175</t>
  </si>
  <si>
    <t>http://ec.europa.eu/environment/ets/exportEntry.do?languageCode=en&amp;registryName=Hungary&amp;napId=19734&amp;allowancesForReserve=3070472&amp;
form=napInstallationInformation&amp;commitmentPeriod=Phase+3+2013-2020&amp;registry=Hungary&amp;commitmentPeriodCode=2&amp;currentSortSettings=&amp;allowancesForOperators=82397175&amp;commitmentPeriodDesc=Phase+3+2013-2020&amp;exportType=1&amp;exportAction=napInstallationInformation&amp;exportOK=expor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</si>
</sst>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Ft&quot;_-;\-* #,##0.00\ &quot;Ft&quot;_-;_-* &quot;-&quot;??\ &quot;Ft&quot;_-;_-@_-"/>
    <numFmt numFmtId="164" formatCode="_-* #,##0.00\ _F_t_-;\-* #,##0.00\ _F_t_-;_-* &quot;-&quot;??\ _F_t_-;_-@_-"/>
    <numFmt numFmtId="165" formatCode="_-* #,##0.00\ _D_M_-;\-* #,##0.00\ _D_M_-;_-* &quot;-&quot;??\ _D_M_-;_-@_-"/>
    <numFmt numFmtId="166" formatCode="0.000"/>
    <numFmt numFmtId="167" formatCode="0.0"/>
    <numFmt numFmtId="168" formatCode="0.0000"/>
    <numFmt numFmtId="169" formatCode="0.0%"/>
    <numFmt numFmtId="170" formatCode="0E+00"/>
    <numFmt numFmtId="171" formatCode="#,##0.00_ ;\-#,##0.00\ "/>
    <numFmt numFmtId="172" formatCode="#,##0_ ;\-#,##0\ "/>
  </numFmts>
  <fonts count="70" x14ac:knownFonts="1">
    <font>
      <sz val="10"/>
      <name val="Arial"/>
    </font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name val="Microsoft Sans Serif"/>
      <family val="2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color indexed="4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20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color indexed="23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0"/>
      <color indexed="40"/>
      <name val="Arial"/>
      <family val="2"/>
      <charset val="238"/>
    </font>
    <font>
      <b/>
      <sz val="10"/>
      <color indexed="40"/>
      <name val="Arial"/>
      <family val="2"/>
      <charset val="238"/>
    </font>
    <font>
      <sz val="2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8"/>
      <name val="Arial"/>
    </font>
    <font>
      <b/>
      <vertAlign val="sub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vertAlign val="subscript"/>
      <sz val="11"/>
      <name val="Arial"/>
      <family val="2"/>
      <charset val="238"/>
    </font>
    <font>
      <sz val="10"/>
      <color indexed="49"/>
      <name val="Arial"/>
      <family val="2"/>
      <charset val="238"/>
    </font>
    <font>
      <b/>
      <u/>
      <sz val="10"/>
      <color indexed="49"/>
      <name val="Arial"/>
      <family val="2"/>
      <charset val="238"/>
    </font>
    <font>
      <u/>
      <sz val="10"/>
      <color indexed="49"/>
      <name val="Arial"/>
      <family val="2"/>
      <charset val="238"/>
    </font>
    <font>
      <b/>
      <vertAlign val="subscript"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rgb="FF33CCCC"/>
      <name val="Arial"/>
      <family val="2"/>
      <charset val="238"/>
    </font>
    <font>
      <b/>
      <sz val="10"/>
      <color rgb="FF33CCCC"/>
      <name val="Arial"/>
      <family val="2"/>
      <charset val="238"/>
    </font>
    <font>
      <b/>
      <u/>
      <sz val="10"/>
      <color rgb="FF33CCCC"/>
      <name val="Arial"/>
      <family val="2"/>
      <charset val="238"/>
    </font>
    <font>
      <u/>
      <sz val="10"/>
      <color rgb="FF33CCCC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33CCCC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2"/>
    </xf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5"/>
    </xf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2" fillId="14" borderId="1" applyNumberFormat="0" applyAlignment="0" applyProtection="0"/>
    <xf numFmtId="0" fontId="12" fillId="11" borderId="1" applyNumberFormat="0" applyAlignment="0" applyProtection="0"/>
    <xf numFmtId="0" fontId="8" fillId="14" borderId="1" applyNumberFormat="0" applyAlignment="0" applyProtection="0"/>
    <xf numFmtId="0" fontId="62" fillId="57" borderId="41" applyNumberFormat="0" applyAlignment="0" applyProtection="0"/>
    <xf numFmtId="0" fontId="63" fillId="58" borderId="42" applyNumberFormat="0" applyAlignment="0" applyProtection="0"/>
    <xf numFmtId="0" fontId="13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7" fillId="35" borderId="2" applyNumberFormat="0" applyAlignment="0" applyProtection="0"/>
    <xf numFmtId="0" fontId="17" fillId="34" borderId="2" applyNumberFormat="0" applyAlignment="0" applyProtection="0"/>
    <xf numFmtId="165" fontId="1" fillId="0" borderId="0" applyFont="0" applyFill="0" applyBorder="0" applyAlignment="0" applyProtection="0"/>
    <xf numFmtId="164" fontId="2" fillId="0" borderId="0" applyFill="0" applyBorder="0" applyAlignment="0" applyProtection="0"/>
    <xf numFmtId="165" fontId="3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6" applyNumberFormat="0" applyFill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5" fillId="36" borderId="7" applyNumberFormat="0" applyAlignment="0" applyProtection="0"/>
    <xf numFmtId="0" fontId="5" fillId="4" borderId="7" applyNumberFormat="0" applyFont="0" applyAlignment="0" applyProtection="0"/>
    <xf numFmtId="0" fontId="11" fillId="37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44" borderId="8" applyNumberForma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65" fillId="0" borderId="0"/>
    <xf numFmtId="0" fontId="2" fillId="0" borderId="0"/>
    <xf numFmtId="0" fontId="65" fillId="0" borderId="0"/>
    <xf numFmtId="0" fontId="61" fillId="0" borderId="0"/>
    <xf numFmtId="0" fontId="5" fillId="0" borderId="0"/>
    <xf numFmtId="0" fontId="9" fillId="0" borderId="0"/>
    <xf numFmtId="0" fontId="28" fillId="0" borderId="0"/>
    <xf numFmtId="0" fontId="25" fillId="0" borderId="0" applyAlignment="0">
      <protection locked="0"/>
    </xf>
    <xf numFmtId="0" fontId="28" fillId="0" borderId="0"/>
    <xf numFmtId="0" fontId="61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9" fillId="0" borderId="0"/>
    <xf numFmtId="0" fontId="10" fillId="0" borderId="9" applyNumberFormat="0" applyFill="0" applyAlignment="0" applyProtection="0"/>
    <xf numFmtId="44" fontId="4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45" borderId="0" applyNumberFormat="0" applyBorder="0" applyAlignment="0" applyProtection="0"/>
    <xf numFmtId="0" fontId="23" fillId="17" borderId="0" applyNumberFormat="0" applyBorder="0" applyAlignment="0" applyProtection="0"/>
    <xf numFmtId="0" fontId="24" fillId="44" borderId="1" applyNumberFormat="0" applyAlignment="0" applyProtection="0"/>
    <xf numFmtId="0" fontId="24" fillId="20" borderId="1" applyNumberFormat="0" applyAlignment="0" applyProtection="0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ill="0" applyBorder="0" applyAlignment="0" applyProtection="0"/>
    <xf numFmtId="9" fontId="4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</cellStyleXfs>
  <cellXfs count="262">
    <xf numFmtId="0" fontId="0" fillId="0" borderId="0" xfId="0"/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0" xfId="0" applyFont="1"/>
    <xf numFmtId="0" fontId="0" fillId="0" borderId="11" xfId="0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46" borderId="0" xfId="0" applyFont="1" applyFill="1"/>
    <xf numFmtId="0" fontId="0" fillId="46" borderId="0" xfId="0" applyFill="1"/>
    <xf numFmtId="0" fontId="0" fillId="47" borderId="0" xfId="0" applyFill="1"/>
    <xf numFmtId="0" fontId="5" fillId="47" borderId="0" xfId="0" applyFont="1" applyFill="1" applyAlignment="1">
      <alignment wrapText="1"/>
    </xf>
    <xf numFmtId="0" fontId="42" fillId="0" borderId="0" xfId="0" applyFont="1"/>
    <xf numFmtId="0" fontId="3" fillId="0" borderId="0" xfId="56" applyAlignment="1" applyProtection="1"/>
    <xf numFmtId="0" fontId="5" fillId="46" borderId="0" xfId="0" applyFont="1" applyFill="1"/>
    <xf numFmtId="0" fontId="42" fillId="48" borderId="11" xfId="0" applyFont="1" applyFill="1" applyBorder="1"/>
    <xf numFmtId="0" fontId="0" fillId="49" borderId="0" xfId="0" applyFill="1"/>
    <xf numFmtId="0" fontId="43" fillId="49" borderId="0" xfId="0" applyFont="1" applyFill="1"/>
    <xf numFmtId="9" fontId="43" fillId="49" borderId="0" xfId="104" applyFont="1" applyFill="1"/>
    <xf numFmtId="0" fontId="43" fillId="49" borderId="0" xfId="0" quotePrefix="1" applyFont="1" applyFill="1"/>
    <xf numFmtId="0" fontId="44" fillId="49" borderId="0" xfId="0" applyFont="1" applyFill="1"/>
    <xf numFmtId="0" fontId="6" fillId="0" borderId="0" xfId="0" applyFont="1"/>
    <xf numFmtId="166" fontId="0" fillId="0" borderId="11" xfId="0" applyNumberFormat="1" applyBorder="1"/>
    <xf numFmtId="0" fontId="0" fillId="50" borderId="11" xfId="0" applyFill="1" applyBorder="1"/>
    <xf numFmtId="3" fontId="0" fillId="50" borderId="11" xfId="0" applyNumberFormat="1" applyFill="1" applyBorder="1"/>
    <xf numFmtId="0" fontId="5" fillId="50" borderId="11" xfId="0" applyFont="1" applyFill="1" applyBorder="1"/>
    <xf numFmtId="166" fontId="0" fillId="48" borderId="11" xfId="0" applyNumberFormat="1" applyFill="1" applyBorder="1"/>
    <xf numFmtId="0" fontId="30" fillId="0" borderId="0" xfId="0" applyFont="1"/>
    <xf numFmtId="0" fontId="30" fillId="46" borderId="0" xfId="0" applyFont="1" applyFill="1"/>
    <xf numFmtId="0" fontId="30" fillId="51" borderId="0" xfId="0" applyFont="1" applyFill="1"/>
    <xf numFmtId="0" fontId="31" fillId="50" borderId="12" xfId="0" applyFont="1" applyFill="1" applyBorder="1"/>
    <xf numFmtId="0" fontId="31" fillId="50" borderId="13" xfId="0" applyFont="1" applyFill="1" applyBorder="1"/>
    <xf numFmtId="0" fontId="30" fillId="51" borderId="14" xfId="0" applyFont="1" applyFill="1" applyBorder="1"/>
    <xf numFmtId="0" fontId="31" fillId="51" borderId="15" xfId="0" applyFont="1" applyFill="1" applyBorder="1"/>
    <xf numFmtId="16" fontId="30" fillId="51" borderId="0" xfId="0" applyNumberFormat="1" applyFont="1" applyFill="1"/>
    <xf numFmtId="0" fontId="31" fillId="51" borderId="16" xfId="0" applyFont="1" applyFill="1" applyBorder="1"/>
    <xf numFmtId="0" fontId="31" fillId="46" borderId="17" xfId="0" applyFont="1" applyFill="1" applyBorder="1"/>
    <xf numFmtId="0" fontId="31" fillId="46" borderId="18" xfId="0" applyFont="1" applyFill="1" applyBorder="1"/>
    <xf numFmtId="0" fontId="30" fillId="52" borderId="0" xfId="0" applyFont="1" applyFill="1" applyAlignment="1">
      <alignment horizontal="center" vertical="center" textRotation="90"/>
    </xf>
    <xf numFmtId="0" fontId="31" fillId="52" borderId="0" xfId="0" applyFont="1" applyFill="1"/>
    <xf numFmtId="0" fontId="30" fillId="52" borderId="0" xfId="0" applyFont="1" applyFill="1"/>
    <xf numFmtId="0" fontId="31" fillId="50" borderId="0" xfId="0" applyFont="1" applyFill="1" applyAlignment="1">
      <alignment vertical="center"/>
    </xf>
    <xf numFmtId="0" fontId="30" fillId="5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0" fillId="47" borderId="0" xfId="0" applyFont="1" applyFill="1" applyAlignment="1">
      <alignment vertical="center"/>
    </xf>
    <xf numFmtId="0" fontId="31" fillId="47" borderId="0" xfId="0" applyFont="1" applyFill="1" applyAlignment="1">
      <alignment vertical="center"/>
    </xf>
    <xf numFmtId="166" fontId="0" fillId="0" borderId="0" xfId="0" applyNumberFormat="1"/>
    <xf numFmtId="2" fontId="0" fillId="0" borderId="19" xfId="0" applyNumberFormat="1" applyBorder="1"/>
    <xf numFmtId="170" fontId="0" fillId="0" borderId="0" xfId="0" applyNumberFormat="1"/>
    <xf numFmtId="2" fontId="0" fillId="0" borderId="20" xfId="0" applyNumberFormat="1" applyBorder="1"/>
    <xf numFmtId="2" fontId="6" fillId="0" borderId="0" xfId="0" applyNumberFormat="1" applyFont="1"/>
    <xf numFmtId="3" fontId="5" fillId="50" borderId="11" xfId="80" applyNumberFormat="1" applyFont="1" applyFill="1" applyBorder="1"/>
    <xf numFmtId="0" fontId="6" fillId="47" borderId="0" xfId="0" applyFont="1" applyFill="1"/>
    <xf numFmtId="0" fontId="0" fillId="53" borderId="0" xfId="0" applyFill="1"/>
    <xf numFmtId="0" fontId="6" fillId="53" borderId="0" xfId="0" applyFont="1" applyFill="1"/>
    <xf numFmtId="2" fontId="6" fillId="47" borderId="19" xfId="0" applyNumberFormat="1" applyFont="1" applyFill="1" applyBorder="1"/>
    <xf numFmtId="2" fontId="6" fillId="53" borderId="19" xfId="0" applyNumberFormat="1" applyFont="1" applyFill="1" applyBorder="1"/>
    <xf numFmtId="0" fontId="6" fillId="54" borderId="0" xfId="0" applyFont="1" applyFill="1"/>
    <xf numFmtId="2" fontId="6" fillId="54" borderId="19" xfId="0" applyNumberFormat="1" applyFont="1" applyFill="1" applyBorder="1"/>
    <xf numFmtId="4" fontId="5" fillId="0" borderId="11" xfId="0" applyNumberFormat="1" applyFont="1" applyBorder="1"/>
    <xf numFmtId="3" fontId="5" fillId="0" borderId="0" xfId="0" applyNumberFormat="1" applyFont="1"/>
    <xf numFmtId="1" fontId="0" fillId="0" borderId="11" xfId="0" applyNumberFormat="1" applyBorder="1"/>
    <xf numFmtId="2" fontId="6" fillId="47" borderId="17" xfId="0" applyNumberFormat="1" applyFont="1" applyFill="1" applyBorder="1"/>
    <xf numFmtId="2" fontId="6" fillId="47" borderId="18" xfId="0" applyNumberFormat="1" applyFont="1" applyFill="1" applyBorder="1"/>
    <xf numFmtId="1" fontId="6" fillId="53" borderId="19" xfId="0" applyNumberFormat="1" applyFont="1" applyFill="1" applyBorder="1"/>
    <xf numFmtId="9" fontId="5" fillId="50" borderId="11" xfId="104" applyFont="1" applyFill="1" applyBorder="1"/>
    <xf numFmtId="9" fontId="5" fillId="48" borderId="11" xfId="104" applyFont="1" applyFill="1" applyBorder="1"/>
    <xf numFmtId="171" fontId="30" fillId="50" borderId="13" xfId="52" applyNumberFormat="1" applyFont="1" applyFill="1" applyBorder="1"/>
    <xf numFmtId="171" fontId="30" fillId="50" borderId="19" xfId="52" applyNumberFormat="1" applyFont="1" applyFill="1" applyBorder="1"/>
    <xf numFmtId="171" fontId="30" fillId="52" borderId="0" xfId="52" applyNumberFormat="1" applyFont="1" applyFill="1" applyBorder="1"/>
    <xf numFmtId="171" fontId="30" fillId="52" borderId="14" xfId="52" applyNumberFormat="1" applyFont="1" applyFill="1" applyBorder="1"/>
    <xf numFmtId="171" fontId="30" fillId="52" borderId="0" xfId="52" applyNumberFormat="1" applyFont="1" applyFill="1"/>
    <xf numFmtId="171" fontId="30" fillId="50" borderId="21" xfId="52" applyNumberFormat="1" applyFont="1" applyFill="1" applyBorder="1"/>
    <xf numFmtId="171" fontId="30" fillId="50" borderId="22" xfId="52" applyNumberFormat="1" applyFont="1" applyFill="1" applyBorder="1"/>
    <xf numFmtId="171" fontId="31" fillId="50" borderId="19" xfId="52" applyNumberFormat="1" applyFont="1" applyFill="1" applyBorder="1" applyAlignment="1">
      <alignment vertical="center"/>
    </xf>
    <xf numFmtId="171" fontId="31" fillId="47" borderId="19" xfId="52" applyNumberFormat="1" applyFont="1" applyFill="1" applyBorder="1" applyAlignment="1">
      <alignment vertical="center"/>
    </xf>
    <xf numFmtId="171" fontId="31" fillId="53" borderId="19" xfId="52" applyNumberFormat="1" applyFont="1" applyFill="1" applyBorder="1" applyAlignment="1">
      <alignment vertical="center"/>
    </xf>
    <xf numFmtId="171" fontId="31" fillId="54" borderId="19" xfId="52" applyNumberFormat="1" applyFont="1" applyFill="1" applyBorder="1" applyAlignment="1">
      <alignment vertical="center"/>
    </xf>
    <xf numFmtId="171" fontId="45" fillId="55" borderId="19" xfId="52" applyNumberFormat="1" applyFont="1" applyFill="1" applyBorder="1" applyAlignment="1">
      <alignment vertical="center"/>
    </xf>
    <xf numFmtId="0" fontId="31" fillId="47" borderId="20" xfId="0" applyFont="1" applyFill="1" applyBorder="1" applyAlignment="1">
      <alignment horizontal="center"/>
    </xf>
    <xf numFmtId="0" fontId="31" fillId="53" borderId="20" xfId="0" applyFont="1" applyFill="1" applyBorder="1" applyAlignment="1">
      <alignment horizontal="center"/>
    </xf>
    <xf numFmtId="0" fontId="31" fillId="54" borderId="20" xfId="0" applyFont="1" applyFill="1" applyBorder="1" applyAlignment="1">
      <alignment horizontal="center"/>
    </xf>
    <xf numFmtId="0" fontId="31" fillId="47" borderId="23" xfId="0" applyFont="1" applyFill="1" applyBorder="1" applyAlignment="1">
      <alignment horizontal="center"/>
    </xf>
    <xf numFmtId="0" fontId="31" fillId="53" borderId="23" xfId="0" applyFont="1" applyFill="1" applyBorder="1" applyAlignment="1">
      <alignment horizontal="center"/>
    </xf>
    <xf numFmtId="0" fontId="31" fillId="54" borderId="23" xfId="0" applyFont="1" applyFill="1" applyBorder="1" applyAlignment="1">
      <alignment horizontal="center"/>
    </xf>
    <xf numFmtId="2" fontId="6" fillId="47" borderId="0" xfId="0" applyNumberFormat="1" applyFont="1" applyFill="1"/>
    <xf numFmtId="0" fontId="46" fillId="0" borderId="0" xfId="0" applyFont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42" fillId="50" borderId="11" xfId="0" applyFont="1" applyFill="1" applyBorder="1"/>
    <xf numFmtId="0" fontId="0" fillId="52" borderId="0" xfId="0" applyFill="1"/>
    <xf numFmtId="0" fontId="6" fillId="52" borderId="0" xfId="0" applyFont="1" applyFill="1"/>
    <xf numFmtId="16" fontId="0" fillId="52" borderId="0" xfId="0" applyNumberFormat="1" applyFill="1"/>
    <xf numFmtId="2" fontId="47" fillId="0" borderId="0" xfId="0" applyNumberFormat="1" applyFont="1"/>
    <xf numFmtId="0" fontId="5" fillId="0" borderId="11" xfId="0" applyFont="1" applyBorder="1"/>
    <xf numFmtId="0" fontId="5" fillId="50" borderId="11" xfId="0" applyFont="1" applyFill="1" applyBorder="1" applyAlignment="1">
      <alignment horizontal="right"/>
    </xf>
    <xf numFmtId="0" fontId="5" fillId="48" borderId="11" xfId="0" applyFont="1" applyFill="1" applyBorder="1" applyAlignment="1">
      <alignment horizontal="right"/>
    </xf>
    <xf numFmtId="3" fontId="5" fillId="50" borderId="11" xfId="0" applyNumberFormat="1" applyFont="1" applyFill="1" applyBorder="1"/>
    <xf numFmtId="0" fontId="48" fillId="0" borderId="0" xfId="0" applyFont="1"/>
    <xf numFmtId="3" fontId="0" fillId="0" borderId="11" xfId="0" applyNumberFormat="1" applyBorder="1"/>
    <xf numFmtId="0" fontId="47" fillId="0" borderId="0" xfId="0" applyFont="1"/>
    <xf numFmtId="0" fontId="47" fillId="0" borderId="0" xfId="56" applyFont="1" applyFill="1" applyAlignment="1" applyProtection="1">
      <alignment vertical="center"/>
    </xf>
    <xf numFmtId="0" fontId="0" fillId="48" borderId="11" xfId="0" applyFill="1" applyBorder="1"/>
    <xf numFmtId="2" fontId="0" fillId="48" borderId="11" xfId="0" applyNumberFormat="1" applyFill="1" applyBorder="1"/>
    <xf numFmtId="0" fontId="6" fillId="0" borderId="29" xfId="0" applyFont="1" applyBorder="1"/>
    <xf numFmtId="0" fontId="0" fillId="0" borderId="30" xfId="0" applyBorder="1"/>
    <xf numFmtId="0" fontId="5" fillId="0" borderId="28" xfId="0" applyFont="1" applyBorder="1"/>
    <xf numFmtId="0" fontId="5" fillId="0" borderId="25" xfId="0" applyFont="1" applyBorder="1"/>
    <xf numFmtId="0" fontId="5" fillId="0" borderId="31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0" xfId="0" applyFont="1" applyAlignment="1">
      <alignment horizontal="left" wrapText="1"/>
    </xf>
    <xf numFmtId="0" fontId="34" fillId="0" borderId="0" xfId="0" applyFont="1"/>
    <xf numFmtId="0" fontId="5" fillId="48" borderId="11" xfId="0" applyFont="1" applyFill="1" applyBorder="1"/>
    <xf numFmtId="0" fontId="34" fillId="0" borderId="28" xfId="0" applyFont="1" applyBorder="1"/>
    <xf numFmtId="0" fontId="34" fillId="0" borderId="25" xfId="0" applyFont="1" applyBorder="1"/>
    <xf numFmtId="0" fontId="35" fillId="0" borderId="0" xfId="95" applyFont="1"/>
    <xf numFmtId="2" fontId="0" fillId="0" borderId="0" xfId="0" applyNumberFormat="1"/>
    <xf numFmtId="0" fontId="5" fillId="0" borderId="11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0" fillId="0" borderId="19" xfId="0" applyBorder="1"/>
    <xf numFmtId="167" fontId="0" fillId="0" borderId="11" xfId="0" applyNumberFormat="1" applyBorder="1"/>
    <xf numFmtId="1" fontId="6" fillId="47" borderId="19" xfId="0" applyNumberFormat="1" applyFont="1" applyFill="1" applyBorder="1"/>
    <xf numFmtId="0" fontId="0" fillId="52" borderId="11" xfId="0" applyFill="1" applyBorder="1"/>
    <xf numFmtId="0" fontId="5" fillId="52" borderId="0" xfId="0" applyFont="1" applyFill="1"/>
    <xf numFmtId="0" fontId="5" fillId="0" borderId="0" xfId="82"/>
    <xf numFmtId="0" fontId="5" fillId="48" borderId="11" xfId="82" applyFill="1" applyBorder="1"/>
    <xf numFmtId="0" fontId="47" fillId="0" borderId="0" xfId="56" applyFont="1" applyAlignment="1" applyProtection="1"/>
    <xf numFmtId="2" fontId="5" fillId="0" borderId="0" xfId="0" applyNumberFormat="1" applyFont="1"/>
    <xf numFmtId="168" fontId="0" fillId="0" borderId="0" xfId="0" applyNumberFormat="1"/>
    <xf numFmtId="4" fontId="0" fillId="0" borderId="19" xfId="0" applyNumberFormat="1" applyBorder="1"/>
    <xf numFmtId="169" fontId="38" fillId="48" borderId="11" xfId="109" applyNumberFormat="1" applyFont="1" applyFill="1" applyBorder="1"/>
    <xf numFmtId="0" fontId="30" fillId="52" borderId="0" xfId="0" applyFont="1" applyFill="1" applyAlignment="1">
      <alignment vertical="center"/>
    </xf>
    <xf numFmtId="1" fontId="0" fillId="0" borderId="33" xfId="0" applyNumberFormat="1" applyBorder="1"/>
    <xf numFmtId="1" fontId="0" fillId="0" borderId="34" xfId="0" applyNumberFormat="1" applyBorder="1"/>
    <xf numFmtId="1" fontId="0" fillId="0" borderId="35" xfId="0" applyNumberFormat="1" applyBorder="1"/>
    <xf numFmtId="1" fontId="0" fillId="0" borderId="36" xfId="0" applyNumberFormat="1" applyBorder="1"/>
    <xf numFmtId="167" fontId="0" fillId="0" borderId="0" xfId="0" applyNumberFormat="1"/>
    <xf numFmtId="0" fontId="5" fillId="0" borderId="28" xfId="0" applyFont="1" applyBorder="1" applyAlignment="1">
      <alignment horizontal="left"/>
    </xf>
    <xf numFmtId="0" fontId="0" fillId="0" borderId="31" xfId="0" applyBorder="1"/>
    <xf numFmtId="0" fontId="0" fillId="0" borderId="29" xfId="0" applyBorder="1"/>
    <xf numFmtId="0" fontId="0" fillId="0" borderId="30" xfId="0" applyBorder="1" applyAlignment="1">
      <alignment wrapText="1"/>
    </xf>
    <xf numFmtId="0" fontId="10" fillId="0" borderId="28" xfId="95" applyFont="1" applyBorder="1"/>
    <xf numFmtId="167" fontId="9" fillId="0" borderId="0" xfId="95" applyNumberFormat="1"/>
    <xf numFmtId="0" fontId="9" fillId="0" borderId="0" xfId="95"/>
    <xf numFmtId="0" fontId="38" fillId="0" borderId="31" xfId="95" applyFont="1" applyBorder="1"/>
    <xf numFmtId="0" fontId="38" fillId="0" borderId="26" xfId="95" applyFont="1" applyBorder="1"/>
    <xf numFmtId="0" fontId="38" fillId="0" borderId="27" xfId="95" applyFont="1" applyBorder="1"/>
    <xf numFmtId="0" fontId="5" fillId="50" borderId="32" xfId="0" applyFont="1" applyFill="1" applyBorder="1" applyAlignment="1">
      <alignment horizontal="right"/>
    </xf>
    <xf numFmtId="0" fontId="6" fillId="47" borderId="0" xfId="0" applyFont="1" applyFill="1" applyAlignment="1">
      <alignment wrapText="1"/>
    </xf>
    <xf numFmtId="0" fontId="6" fillId="47" borderId="19" xfId="0" applyFont="1" applyFill="1" applyBorder="1"/>
    <xf numFmtId="0" fontId="6" fillId="52" borderId="29" xfId="0" applyFont="1" applyFill="1" applyBorder="1"/>
    <xf numFmtId="0" fontId="0" fillId="52" borderId="24" xfId="0" applyFill="1" applyBorder="1"/>
    <xf numFmtId="0" fontId="5" fillId="52" borderId="25" xfId="0" applyFont="1" applyFill="1" applyBorder="1"/>
    <xf numFmtId="0" fontId="5" fillId="52" borderId="28" xfId="0" applyFont="1" applyFill="1" applyBorder="1"/>
    <xf numFmtId="0" fontId="0" fillId="52" borderId="25" xfId="0" applyFill="1" applyBorder="1"/>
    <xf numFmtId="0" fontId="0" fillId="52" borderId="28" xfId="0" applyFill="1" applyBorder="1"/>
    <xf numFmtId="0" fontId="6" fillId="0" borderId="36" xfId="0" applyFont="1" applyBorder="1"/>
    <xf numFmtId="0" fontId="6" fillId="47" borderId="36" xfId="0" applyFont="1" applyFill="1" applyBorder="1"/>
    <xf numFmtId="0" fontId="5" fillId="52" borderId="27" xfId="0" applyFont="1" applyFill="1" applyBorder="1"/>
    <xf numFmtId="0" fontId="6" fillId="47" borderId="12" xfId="0" applyFont="1" applyFill="1" applyBorder="1"/>
    <xf numFmtId="0" fontId="0" fillId="47" borderId="13" xfId="0" applyFill="1" applyBorder="1"/>
    <xf numFmtId="0" fontId="6" fillId="47" borderId="13" xfId="0" applyFont="1" applyFill="1" applyBorder="1"/>
    <xf numFmtId="0" fontId="0" fillId="47" borderId="16" xfId="0" applyFill="1" applyBorder="1"/>
    <xf numFmtId="0" fontId="0" fillId="47" borderId="14" xfId="0" applyFill="1" applyBorder="1"/>
    <xf numFmtId="0" fontId="6" fillId="47" borderId="14" xfId="0" applyFont="1" applyFill="1" applyBorder="1"/>
    <xf numFmtId="0" fontId="6" fillId="53" borderId="14" xfId="0" applyFont="1" applyFill="1" applyBorder="1"/>
    <xf numFmtId="0" fontId="6" fillId="54" borderId="14" xfId="0" applyFont="1" applyFill="1" applyBorder="1"/>
    <xf numFmtId="171" fontId="31" fillId="56" borderId="18" xfId="52" applyNumberFormat="1" applyFont="1" applyFill="1" applyBorder="1"/>
    <xf numFmtId="171" fontId="31" fillId="46" borderId="19" xfId="52" applyNumberFormat="1" applyFont="1" applyFill="1" applyBorder="1"/>
    <xf numFmtId="0" fontId="39" fillId="0" borderId="11" xfId="0" applyFont="1" applyBorder="1"/>
    <xf numFmtId="0" fontId="39" fillId="50" borderId="11" xfId="0" applyFont="1" applyFill="1" applyBorder="1" applyAlignment="1">
      <alignment horizontal="right"/>
    </xf>
    <xf numFmtId="0" fontId="39" fillId="50" borderId="11" xfId="0" applyFont="1" applyFill="1" applyBorder="1"/>
    <xf numFmtId="0" fontId="0" fillId="50" borderId="11" xfId="0" applyFill="1" applyBorder="1" applyAlignment="1">
      <alignment horizontal="right"/>
    </xf>
    <xf numFmtId="0" fontId="3" fillId="50" borderId="11" xfId="56" applyFill="1" applyBorder="1" applyAlignment="1" applyProtection="1">
      <alignment horizontal="right"/>
    </xf>
    <xf numFmtId="0" fontId="5" fillId="0" borderId="0" xfId="95" applyFont="1"/>
    <xf numFmtId="0" fontId="54" fillId="0" borderId="28" xfId="95" applyFont="1" applyBorder="1"/>
    <xf numFmtId="0" fontId="25" fillId="0" borderId="28" xfId="95" applyFont="1" applyBorder="1"/>
    <xf numFmtId="167" fontId="25" fillId="0" borderId="11" xfId="95" applyNumberFormat="1" applyFont="1" applyBorder="1"/>
    <xf numFmtId="0" fontId="25" fillId="0" borderId="11" xfId="95" applyFont="1" applyBorder="1"/>
    <xf numFmtId="166" fontId="5" fillId="0" borderId="11" xfId="95" applyNumberFormat="1" applyFont="1" applyBorder="1"/>
    <xf numFmtId="0" fontId="5" fillId="0" borderId="0" xfId="95" applyFont="1" applyAlignment="1">
      <alignment horizontal="left"/>
    </xf>
    <xf numFmtId="2" fontId="5" fillId="0" borderId="11" xfId="95" applyNumberFormat="1" applyFont="1" applyBorder="1"/>
    <xf numFmtId="168" fontId="5" fillId="0" borderId="11" xfId="95" applyNumberFormat="1" applyFont="1" applyBorder="1"/>
    <xf numFmtId="0" fontId="5" fillId="0" borderId="25" xfId="95" applyFont="1" applyBorder="1"/>
    <xf numFmtId="0" fontId="5" fillId="0" borderId="28" xfId="95" applyFont="1" applyBorder="1"/>
    <xf numFmtId="0" fontId="5" fillId="0" borderId="11" xfId="95" applyFont="1" applyBorder="1"/>
    <xf numFmtId="0" fontId="5" fillId="0" borderId="32" xfId="0" applyFont="1" applyBorder="1" applyAlignment="1">
      <alignment horizontal="right" wrapText="1"/>
    </xf>
    <xf numFmtId="0" fontId="5" fillId="0" borderId="0" xfId="0" applyFont="1" applyAlignment="1">
      <alignment horizontal="right"/>
    </xf>
    <xf numFmtId="1" fontId="6" fillId="0" borderId="0" xfId="0" applyNumberFormat="1" applyFont="1"/>
    <xf numFmtId="0" fontId="6" fillId="0" borderId="0" xfId="0" applyFont="1" applyAlignment="1">
      <alignment wrapText="1"/>
    </xf>
    <xf numFmtId="0" fontId="66" fillId="0" borderId="0" xfId="0" applyFont="1"/>
    <xf numFmtId="0" fontId="67" fillId="0" borderId="0" xfId="0" applyFont="1" applyAlignment="1">
      <alignment horizontal="center" wrapText="1"/>
    </xf>
    <xf numFmtId="2" fontId="67" fillId="0" borderId="0" xfId="0" applyNumberFormat="1" applyFont="1"/>
    <xf numFmtId="0" fontId="67" fillId="0" borderId="0" xfId="0" applyFont="1"/>
    <xf numFmtId="0" fontId="68" fillId="0" borderId="0" xfId="0" applyFont="1"/>
    <xf numFmtId="0" fontId="66" fillId="0" borderId="0" xfId="0" applyFont="1" applyAlignment="1">
      <alignment horizontal="left" vertical="center"/>
    </xf>
    <xf numFmtId="1" fontId="67" fillId="0" borderId="0" xfId="0" applyNumberFormat="1" applyFont="1"/>
    <xf numFmtId="0" fontId="68" fillId="0" borderId="0" xfId="0" applyFont="1" applyAlignment="1">
      <alignment horizontal="left" vertical="center" wrapText="1"/>
    </xf>
    <xf numFmtId="2" fontId="66" fillId="0" borderId="0" xfId="0" applyNumberFormat="1" applyFont="1"/>
    <xf numFmtId="0" fontId="69" fillId="0" borderId="0" xfId="56" applyFont="1" applyFill="1" applyAlignment="1" applyProtection="1"/>
    <xf numFmtId="0" fontId="59" fillId="0" borderId="0" xfId="0" applyFont="1"/>
    <xf numFmtId="0" fontId="6" fillId="0" borderId="0" xfId="0" applyFont="1" applyAlignment="1">
      <alignment horizontal="center" wrapText="1"/>
    </xf>
    <xf numFmtId="0" fontId="0" fillId="59" borderId="11" xfId="0" applyFill="1" applyBorder="1" applyProtection="1">
      <protection locked="0"/>
    </xf>
    <xf numFmtId="0" fontId="5" fillId="0" borderId="28" xfId="0" applyFont="1" applyBorder="1" applyAlignment="1">
      <alignment horizontal="left" wrapText="1"/>
    </xf>
    <xf numFmtId="0" fontId="6" fillId="47" borderId="0" xfId="0" applyFont="1" applyFill="1" applyAlignment="1">
      <alignment horizontal="left" wrapText="1"/>
    </xf>
    <xf numFmtId="0" fontId="25" fillId="0" borderId="0" xfId="95" applyFont="1" applyAlignment="1">
      <alignment horizontal="center"/>
    </xf>
    <xf numFmtId="0" fontId="66" fillId="0" borderId="0" xfId="0" applyFont="1" applyAlignment="1">
      <alignment horizontal="left" vertical="center" wrapText="1"/>
    </xf>
    <xf numFmtId="0" fontId="30" fillId="50" borderId="0" xfId="0" applyFont="1" applyFill="1" applyAlignment="1">
      <alignment horizontal="center" vertical="center" textRotation="90"/>
    </xf>
    <xf numFmtId="0" fontId="29" fillId="0" borderId="28" xfId="0" applyFont="1" applyBorder="1" applyAlignment="1">
      <alignment horizontal="right"/>
    </xf>
    <xf numFmtId="0" fontId="29" fillId="52" borderId="31" xfId="0" applyFont="1" applyFill="1" applyBorder="1" applyAlignment="1">
      <alignment horizontal="right"/>
    </xf>
    <xf numFmtId="0" fontId="29" fillId="52" borderId="0" xfId="0" applyFont="1" applyFill="1" applyAlignment="1">
      <alignment horizontal="right"/>
    </xf>
    <xf numFmtId="0" fontId="29" fillId="0" borderId="0" xfId="0" applyFont="1"/>
    <xf numFmtId="0" fontId="29" fillId="0" borderId="28" xfId="0" applyFont="1" applyBorder="1"/>
    <xf numFmtId="172" fontId="5" fillId="50" borderId="11" xfId="52" applyNumberFormat="1" applyFont="1" applyFill="1" applyBorder="1"/>
    <xf numFmtId="0" fontId="32" fillId="52" borderId="0" xfId="0" applyFont="1" applyFill="1" applyAlignment="1">
      <alignment horizontal="center"/>
    </xf>
    <xf numFmtId="0" fontId="33" fillId="52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0" fillId="0" borderId="3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0" fillId="0" borderId="38" xfId="0" applyBorder="1"/>
    <xf numFmtId="0" fontId="0" fillId="0" borderId="10" xfId="0" applyBorder="1"/>
    <xf numFmtId="0" fontId="5" fillId="0" borderId="31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47" borderId="0" xfId="0" applyFont="1" applyFill="1" applyAlignment="1">
      <alignment horizontal="center" wrapText="1"/>
    </xf>
    <xf numFmtId="0" fontId="0" fillId="0" borderId="3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47" borderId="0" xfId="0" applyFont="1" applyFill="1" applyAlignment="1">
      <alignment horizontal="left" wrapText="1"/>
    </xf>
    <xf numFmtId="0" fontId="6" fillId="54" borderId="0" xfId="0" applyFont="1" applyFill="1" applyAlignment="1">
      <alignment horizontal="center" wrapText="1"/>
    </xf>
    <xf numFmtId="0" fontId="25" fillId="0" borderId="0" xfId="95" applyFont="1" applyAlignment="1">
      <alignment horizontal="center"/>
    </xf>
    <xf numFmtId="0" fontId="6" fillId="47" borderId="0" xfId="0" applyFont="1" applyFill="1" applyAlignment="1">
      <alignment horizontal="left" vertical="center" wrapText="1"/>
    </xf>
    <xf numFmtId="0" fontId="6" fillId="47" borderId="0" xfId="0" applyFont="1" applyFill="1" applyAlignment="1">
      <alignment horizontal="left" vertical="center"/>
    </xf>
    <xf numFmtId="0" fontId="66" fillId="0" borderId="0" xfId="0" applyFont="1" applyAlignment="1">
      <alignment horizontal="left" vertical="center" wrapText="1"/>
    </xf>
    <xf numFmtId="0" fontId="6" fillId="54" borderId="14" xfId="0" applyFont="1" applyFill="1" applyBorder="1" applyAlignment="1">
      <alignment horizontal="center" wrapText="1"/>
    </xf>
    <xf numFmtId="0" fontId="6" fillId="47" borderId="14" xfId="0" applyFont="1" applyFill="1" applyBorder="1" applyAlignment="1">
      <alignment horizontal="center" wrapText="1"/>
    </xf>
    <xf numFmtId="0" fontId="30" fillId="50" borderId="0" xfId="0" applyFont="1" applyFill="1" applyAlignment="1">
      <alignment horizontal="center" vertical="center" textRotation="90"/>
    </xf>
    <xf numFmtId="0" fontId="30" fillId="50" borderId="0" xfId="0" applyFont="1" applyFill="1" applyAlignment="1">
      <alignment horizontal="center"/>
    </xf>
    <xf numFmtId="0" fontId="45" fillId="55" borderId="20" xfId="0" applyFont="1" applyFill="1" applyBorder="1" applyAlignment="1">
      <alignment horizontal="center" vertical="center"/>
    </xf>
    <xf numFmtId="0" fontId="45" fillId="55" borderId="23" xfId="0" applyFont="1" applyFill="1" applyBorder="1" applyAlignment="1">
      <alignment horizontal="center" vertical="center"/>
    </xf>
    <xf numFmtId="0" fontId="49" fillId="50" borderId="12" xfId="0" applyFont="1" applyFill="1" applyBorder="1" applyAlignment="1">
      <alignment horizontal="center"/>
    </xf>
    <xf numFmtId="0" fontId="49" fillId="50" borderId="13" xfId="0" applyFont="1" applyFill="1" applyBorder="1" applyAlignment="1">
      <alignment horizontal="center"/>
    </xf>
    <xf numFmtId="0" fontId="49" fillId="50" borderId="40" xfId="0" applyFont="1" applyFill="1" applyBorder="1" applyAlignment="1">
      <alignment horizontal="center"/>
    </xf>
    <xf numFmtId="0" fontId="49" fillId="50" borderId="15" xfId="0" applyFont="1" applyFill="1" applyBorder="1" applyAlignment="1">
      <alignment horizontal="center"/>
    </xf>
    <xf numFmtId="0" fontId="49" fillId="50" borderId="0" xfId="0" applyFont="1" applyFill="1" applyAlignment="1">
      <alignment horizontal="center"/>
    </xf>
    <xf numFmtId="0" fontId="49" fillId="50" borderId="21" xfId="0" applyFont="1" applyFill="1" applyBorder="1" applyAlignment="1">
      <alignment horizontal="center"/>
    </xf>
    <xf numFmtId="0" fontId="50" fillId="50" borderId="16" xfId="0" applyFont="1" applyFill="1" applyBorder="1" applyAlignment="1">
      <alignment horizontal="center"/>
    </xf>
    <xf numFmtId="0" fontId="50" fillId="50" borderId="14" xfId="0" applyFont="1" applyFill="1" applyBorder="1" applyAlignment="1">
      <alignment horizontal="center"/>
    </xf>
    <xf numFmtId="0" fontId="50" fillId="50" borderId="22" xfId="0" applyFont="1" applyFill="1" applyBorder="1" applyAlignment="1">
      <alignment horizontal="center"/>
    </xf>
    <xf numFmtId="0" fontId="6" fillId="46" borderId="0" xfId="0" applyFont="1" applyFill="1" applyAlignment="1">
      <alignment horizontal="center" vertical="center"/>
    </xf>
    <xf numFmtId="0" fontId="47" fillId="0" borderId="0" xfId="0" applyFont="1" applyAlignment="1">
      <alignment wrapText="1"/>
    </xf>
  </cellXfs>
  <cellStyles count="111">
    <cellStyle name="20% - 1. jelölőszín 2" xfId="1" xr:uid="{00000000-0005-0000-0000-000000000000}"/>
    <cellStyle name="20% - 1. jelölőszín 3" xfId="2" xr:uid="{00000000-0005-0000-0000-000001000000}"/>
    <cellStyle name="20% - 2. jelölőszín 2" xfId="3" xr:uid="{00000000-0005-0000-0000-000002000000}"/>
    <cellStyle name="20% - 2. jelölőszín 3" xfId="4" xr:uid="{00000000-0005-0000-0000-000003000000}"/>
    <cellStyle name="20% - 3. jelölőszín 2" xfId="5" xr:uid="{00000000-0005-0000-0000-000004000000}"/>
    <cellStyle name="20% - 3. jelölőszín 3" xfId="6" xr:uid="{00000000-0005-0000-0000-000005000000}"/>
    <cellStyle name="20% - 4. jelölőszín 2" xfId="7" xr:uid="{00000000-0005-0000-0000-000006000000}"/>
    <cellStyle name="20% - 4. jelölőszín 3" xfId="8" xr:uid="{00000000-0005-0000-0000-000007000000}"/>
    <cellStyle name="20% - 5. jelölőszín 2" xfId="9" xr:uid="{00000000-0005-0000-0000-000008000000}"/>
    <cellStyle name="20% - 5. jelölőszín 3" xfId="10" xr:uid="{00000000-0005-0000-0000-000009000000}"/>
    <cellStyle name="20% - 6. jelölőszín 2" xfId="11" xr:uid="{00000000-0005-0000-0000-00000A000000}"/>
    <cellStyle name="20% - 6. jelölőszín 3" xfId="12" xr:uid="{00000000-0005-0000-0000-00000B000000}"/>
    <cellStyle name="2x indented GHG Textfiels" xfId="13" xr:uid="{00000000-0005-0000-0000-00000C000000}"/>
    <cellStyle name="40% - 1. jelölőszín 2" xfId="14" xr:uid="{00000000-0005-0000-0000-00000D000000}"/>
    <cellStyle name="40% - 1. jelölőszín 3" xfId="15" xr:uid="{00000000-0005-0000-0000-00000E000000}"/>
    <cellStyle name="40% - 2. jelölőszín 2" xfId="16" xr:uid="{00000000-0005-0000-0000-00000F000000}"/>
    <cellStyle name="40% - 2. jelölőszín 3" xfId="17" xr:uid="{00000000-0005-0000-0000-000010000000}"/>
    <cellStyle name="40% - 3. jelölőszín 2" xfId="18" xr:uid="{00000000-0005-0000-0000-000011000000}"/>
    <cellStyle name="40% - 3. jelölőszín 3" xfId="19" xr:uid="{00000000-0005-0000-0000-000012000000}"/>
    <cellStyle name="40% - 4. jelölőszín 2" xfId="20" xr:uid="{00000000-0005-0000-0000-000013000000}"/>
    <cellStyle name="40% - 4. jelölőszín 3" xfId="21" xr:uid="{00000000-0005-0000-0000-000014000000}"/>
    <cellStyle name="40% - 5. jelölőszín 2" xfId="22" xr:uid="{00000000-0005-0000-0000-000015000000}"/>
    <cellStyle name="40% - 5. jelölőszín 3" xfId="23" xr:uid="{00000000-0005-0000-0000-000016000000}"/>
    <cellStyle name="40% - 6. jelölőszín 2" xfId="24" xr:uid="{00000000-0005-0000-0000-000017000000}"/>
    <cellStyle name="40% - 6. jelölőszín 3" xfId="25" xr:uid="{00000000-0005-0000-0000-000018000000}"/>
    <cellStyle name="5x indented GHG Textfiels" xfId="26" xr:uid="{00000000-0005-0000-0000-000019000000}"/>
    <cellStyle name="60% - 1. jelölőszín 2" xfId="27" xr:uid="{00000000-0005-0000-0000-00001A000000}"/>
    <cellStyle name="60% - 1. jelölőszín 3" xfId="28" xr:uid="{00000000-0005-0000-0000-00001B000000}"/>
    <cellStyle name="60% - 2. jelölőszín 2" xfId="29" xr:uid="{00000000-0005-0000-0000-00001C000000}"/>
    <cellStyle name="60% - 2. jelölőszín 3" xfId="30" xr:uid="{00000000-0005-0000-0000-00001D000000}"/>
    <cellStyle name="60% - 3. jelölőszín 2" xfId="31" xr:uid="{00000000-0005-0000-0000-00001E000000}"/>
    <cellStyle name="60% - 3. jelölőszín 3" xfId="32" xr:uid="{00000000-0005-0000-0000-00001F000000}"/>
    <cellStyle name="60% - 4. jelölőszín 2" xfId="33" xr:uid="{00000000-0005-0000-0000-000020000000}"/>
    <cellStyle name="60% - 4. jelölőszín 3" xfId="34" xr:uid="{00000000-0005-0000-0000-000021000000}"/>
    <cellStyle name="60% - 5. jelölőszín 2" xfId="35" xr:uid="{00000000-0005-0000-0000-000022000000}"/>
    <cellStyle name="60% - 5. jelölőszín 3" xfId="36" xr:uid="{00000000-0005-0000-0000-000023000000}"/>
    <cellStyle name="60% - 6. jelölőszín 2" xfId="37" xr:uid="{00000000-0005-0000-0000-000024000000}"/>
    <cellStyle name="60% - 6. jelölőszín 3" xfId="38" xr:uid="{00000000-0005-0000-0000-000025000000}"/>
    <cellStyle name="Bevitel 2" xfId="39" xr:uid="{00000000-0005-0000-0000-000026000000}"/>
    <cellStyle name="Bevitel 3" xfId="40" xr:uid="{00000000-0005-0000-0000-000027000000}"/>
    <cellStyle name="Bevitel 4" xfId="41" xr:uid="{00000000-0005-0000-0000-000028000000}"/>
    <cellStyle name="Bevitel 5" xfId="42" xr:uid="{00000000-0005-0000-0000-000029000000}"/>
    <cellStyle name="Check Cell 2" xfId="43" xr:uid="{00000000-0005-0000-0000-00002A000000}"/>
    <cellStyle name="Cím 2" xfId="44" xr:uid="{00000000-0005-0000-0000-00002B000000}"/>
    <cellStyle name="Címsor 1 2" xfId="45" xr:uid="{00000000-0005-0000-0000-00002C000000}"/>
    <cellStyle name="Címsor 2 2" xfId="46" xr:uid="{00000000-0005-0000-0000-00002D000000}"/>
    <cellStyle name="Címsor 3 2" xfId="47" xr:uid="{00000000-0005-0000-0000-00002E000000}"/>
    <cellStyle name="Címsor 4 2" xfId="48" xr:uid="{00000000-0005-0000-0000-00002F000000}"/>
    <cellStyle name="Comma 2" xfId="49" xr:uid="{00000000-0005-0000-0000-000030000000}"/>
    <cellStyle name="Ellenőrzőcella 2" xfId="50" xr:uid="{00000000-0005-0000-0000-000031000000}"/>
    <cellStyle name="Ellenőrzőcella 3" xfId="51" xr:uid="{00000000-0005-0000-0000-000032000000}"/>
    <cellStyle name="Ezres" xfId="52" builtinId="3"/>
    <cellStyle name="Ezres 2" xfId="53" xr:uid="{00000000-0005-0000-0000-000034000000}"/>
    <cellStyle name="Ezres 3" xfId="54" xr:uid="{00000000-0005-0000-0000-000035000000}"/>
    <cellStyle name="Figyelmeztetés 2" xfId="55" xr:uid="{00000000-0005-0000-0000-000036000000}"/>
    <cellStyle name="Hivatkozás" xfId="56" builtinId="8"/>
    <cellStyle name="Hivatkozott cella 2" xfId="57" xr:uid="{00000000-0005-0000-0000-000038000000}"/>
    <cellStyle name="Hyperlink 2" xfId="58" xr:uid="{00000000-0005-0000-0000-000039000000}"/>
    <cellStyle name="Jegyzet 2" xfId="59" xr:uid="{00000000-0005-0000-0000-00003A000000}"/>
    <cellStyle name="Jegyzet 3" xfId="60" xr:uid="{00000000-0005-0000-0000-00003B000000}"/>
    <cellStyle name="Jelölőszín (1) 2" xfId="61" xr:uid="{00000000-0005-0000-0000-00003C000000}"/>
    <cellStyle name="Jelölőszín (1) 3" xfId="62" xr:uid="{00000000-0005-0000-0000-00003D000000}"/>
    <cellStyle name="Jelölőszín (2) 2" xfId="63" xr:uid="{00000000-0005-0000-0000-00003E000000}"/>
    <cellStyle name="Jelölőszín (2) 3" xfId="64" xr:uid="{00000000-0005-0000-0000-00003F000000}"/>
    <cellStyle name="Jelölőszín (3) 2" xfId="65" xr:uid="{00000000-0005-0000-0000-000040000000}"/>
    <cellStyle name="Jelölőszín (3) 3" xfId="66" xr:uid="{00000000-0005-0000-0000-000041000000}"/>
    <cellStyle name="Jelölőszín (4) 2" xfId="67" xr:uid="{00000000-0005-0000-0000-000042000000}"/>
    <cellStyle name="Jelölőszín (4) 3" xfId="68" xr:uid="{00000000-0005-0000-0000-000043000000}"/>
    <cellStyle name="Jelölőszín (5) 2" xfId="69" xr:uid="{00000000-0005-0000-0000-000044000000}"/>
    <cellStyle name="Jelölőszín (5) 3" xfId="70" xr:uid="{00000000-0005-0000-0000-000045000000}"/>
    <cellStyle name="Jelölőszín (6) 2" xfId="71" xr:uid="{00000000-0005-0000-0000-000046000000}"/>
    <cellStyle name="Jelölőszín (6) 3" xfId="72" xr:uid="{00000000-0005-0000-0000-000047000000}"/>
    <cellStyle name="Jó 2" xfId="73" xr:uid="{00000000-0005-0000-0000-000048000000}"/>
    <cellStyle name="Jó 3" xfId="74" xr:uid="{00000000-0005-0000-0000-000049000000}"/>
    <cellStyle name="Kimenet 2" xfId="75" xr:uid="{00000000-0005-0000-0000-00004A000000}"/>
    <cellStyle name="Kimenet 3" xfId="76" xr:uid="{00000000-0005-0000-0000-00004B000000}"/>
    <cellStyle name="Magyarázó szöveg 2" xfId="77" xr:uid="{00000000-0005-0000-0000-00004C000000}"/>
    <cellStyle name="Normál" xfId="0" builtinId="0"/>
    <cellStyle name="Normál 10" xfId="78" xr:uid="{00000000-0005-0000-0000-00004E000000}"/>
    <cellStyle name="Normal 2" xfId="79" xr:uid="{00000000-0005-0000-0000-00004F000000}"/>
    <cellStyle name="Normál 2" xfId="80" xr:uid="{00000000-0005-0000-0000-000050000000}"/>
    <cellStyle name="Normál 2 2" xfId="81" xr:uid="{00000000-0005-0000-0000-000051000000}"/>
    <cellStyle name="Normál 2 3" xfId="82" xr:uid="{00000000-0005-0000-0000-000052000000}"/>
    <cellStyle name="Normál 2_ÜHG leltár V1.0 - Budaörs 2016.12.01" xfId="83" xr:uid="{00000000-0005-0000-0000-000053000000}"/>
    <cellStyle name="Normal 3" xfId="84" xr:uid="{00000000-0005-0000-0000-000054000000}"/>
    <cellStyle name="Normál 3" xfId="85" xr:uid="{00000000-0005-0000-0000-000055000000}"/>
    <cellStyle name="Normal 3 2" xfId="86" xr:uid="{00000000-0005-0000-0000-000056000000}"/>
    <cellStyle name="Normal 4" xfId="87" xr:uid="{00000000-0005-0000-0000-000057000000}"/>
    <cellStyle name="Normál 4" xfId="88" xr:uid="{00000000-0005-0000-0000-000058000000}"/>
    <cellStyle name="Normal 4_ÜHG leltár V1.0 - Budaörs 2016.12.01" xfId="89" xr:uid="{00000000-0005-0000-0000-000059000000}"/>
    <cellStyle name="Normál 5" xfId="90" xr:uid="{00000000-0005-0000-0000-00005A000000}"/>
    <cellStyle name="Normál 6" xfId="91" xr:uid="{00000000-0005-0000-0000-00005B000000}"/>
    <cellStyle name="Normál 7" xfId="92" xr:uid="{00000000-0005-0000-0000-00005C000000}"/>
    <cellStyle name="Normál 8" xfId="93" xr:uid="{00000000-0005-0000-0000-00005D000000}"/>
    <cellStyle name="Normál 9" xfId="94" xr:uid="{00000000-0005-0000-0000-00005E000000}"/>
    <cellStyle name="Normál_bekeveres_atszamitas" xfId="95" xr:uid="{00000000-0005-0000-0000-00005F000000}"/>
    <cellStyle name="Összesen 2" xfId="96" xr:uid="{00000000-0005-0000-0000-000060000000}"/>
    <cellStyle name="Pénznem 2" xfId="97" xr:uid="{00000000-0005-0000-0000-000061000000}"/>
    <cellStyle name="Rossz 2" xfId="98" xr:uid="{00000000-0005-0000-0000-000062000000}"/>
    <cellStyle name="Rossz 3" xfId="99" xr:uid="{00000000-0005-0000-0000-000063000000}"/>
    <cellStyle name="Semleges 2" xfId="100" xr:uid="{00000000-0005-0000-0000-000064000000}"/>
    <cellStyle name="Semleges 3" xfId="101" xr:uid="{00000000-0005-0000-0000-000065000000}"/>
    <cellStyle name="Számítás 2" xfId="102" xr:uid="{00000000-0005-0000-0000-000066000000}"/>
    <cellStyle name="Számítás 3" xfId="103" xr:uid="{00000000-0005-0000-0000-000067000000}"/>
    <cellStyle name="Százalék" xfId="104" builtinId="5"/>
    <cellStyle name="Százalék 2" xfId="105" xr:uid="{00000000-0005-0000-0000-000069000000}"/>
    <cellStyle name="Százalék 3" xfId="106" xr:uid="{00000000-0005-0000-0000-00006A000000}"/>
    <cellStyle name="Százalék 4" xfId="107" xr:uid="{00000000-0005-0000-0000-00006B000000}"/>
    <cellStyle name="Százalék 5" xfId="108" xr:uid="{00000000-0005-0000-0000-00006C000000}"/>
    <cellStyle name="Százalék 5 2" xfId="109" xr:uid="{00000000-0005-0000-0000-00006D000000}"/>
    <cellStyle name="Százalék 6" xfId="110" xr:uid="{00000000-0005-0000-0000-00006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ENERGIAKLUB">
      <a:dk1>
        <a:sysClr val="windowText" lastClr="000000"/>
      </a:dk1>
      <a:lt1>
        <a:sysClr val="window" lastClr="FFFFFF"/>
      </a:lt1>
      <a:dk2>
        <a:srgbClr val="00ADDA"/>
      </a:dk2>
      <a:lt2>
        <a:srgbClr val="EEECE1"/>
      </a:lt2>
      <a:accent1>
        <a:srgbClr val="81CAC9"/>
      </a:accent1>
      <a:accent2>
        <a:srgbClr val="FFD300"/>
      </a:accent2>
      <a:accent3>
        <a:srgbClr val="7A93C5"/>
      </a:accent3>
      <a:accent4>
        <a:srgbClr val="94C11C"/>
      </a:accent4>
      <a:accent5>
        <a:srgbClr val="E4240E"/>
      </a:accent5>
      <a:accent6>
        <a:srgbClr val="512383"/>
      </a:accent6>
      <a:hlink>
        <a:srgbClr val="7C003D"/>
      </a:hlink>
      <a:folHlink>
        <a:srgbClr val="51238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teqtos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ipcc.ch/publications_and_data/ar4/wg1/en/ch2s2-10-2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statinfo.ksh.hu/Statinfo/themeSelector.jsp?page=2&amp;szst=U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tabColor theme="0"/>
  </sheetPr>
  <dimension ref="A1:AM94"/>
  <sheetViews>
    <sheetView topLeftCell="A10" zoomScaleNormal="100" workbookViewId="0">
      <selection activeCell="B12" sqref="B12"/>
    </sheetView>
  </sheetViews>
  <sheetFormatPr defaultRowHeight="12.75" x14ac:dyDescent="0.2"/>
  <cols>
    <col min="1" max="1" width="22.28515625" customWidth="1"/>
    <col min="2" max="2" width="51.28515625" customWidth="1"/>
    <col min="6" max="6" width="46.5703125" customWidth="1"/>
  </cols>
  <sheetData>
    <row r="1" spans="1:39" ht="15" customHeight="1" x14ac:dyDescent="0.2">
      <c r="A1" s="218" t="s">
        <v>0</v>
      </c>
      <c r="B1" s="218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</row>
    <row r="2" spans="1:39" ht="15" customHeight="1" x14ac:dyDescent="0.2">
      <c r="A2" s="218"/>
      <c r="B2" s="218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</row>
    <row r="3" spans="1:39" ht="15" customHeight="1" x14ac:dyDescent="0.2">
      <c r="A3" s="218"/>
      <c r="B3" s="218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</row>
    <row r="4" spans="1:39" ht="15" customHeight="1" x14ac:dyDescent="0.2">
      <c r="A4" s="218"/>
      <c r="B4" s="218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</row>
    <row r="5" spans="1:39" ht="15" customHeight="1" x14ac:dyDescent="0.2">
      <c r="A5" s="219" t="s">
        <v>1</v>
      </c>
      <c r="B5" s="219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</row>
    <row r="6" spans="1:39" ht="15" customHeight="1" x14ac:dyDescent="0.2">
      <c r="A6" s="219"/>
      <c r="B6" s="219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</row>
    <row r="7" spans="1:39" ht="15" customHeight="1" x14ac:dyDescent="0.2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</row>
    <row r="8" spans="1:39" ht="15" customHeight="1" x14ac:dyDescent="0.2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</row>
    <row r="9" spans="1:39" ht="22.5" customHeight="1" x14ac:dyDescent="0.2">
      <c r="A9" s="173" t="s">
        <v>2</v>
      </c>
      <c r="B9" s="174" t="s">
        <v>405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</row>
    <row r="10" spans="1:39" ht="20.25" customHeight="1" x14ac:dyDescent="0.2">
      <c r="A10" s="173" t="s">
        <v>3</v>
      </c>
      <c r="B10" s="175">
        <v>2022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</row>
    <row r="11" spans="1:39" ht="20.25" customHeight="1" x14ac:dyDescent="0.2">
      <c r="A11" s="97" t="s">
        <v>4</v>
      </c>
      <c r="B11" s="176" t="s">
        <v>406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</row>
    <row r="12" spans="1:39" ht="20.25" customHeight="1" x14ac:dyDescent="0.2">
      <c r="A12" s="97" t="s">
        <v>5</v>
      </c>
      <c r="B12" s="177" t="s">
        <v>407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</row>
    <row r="13" spans="1:39" ht="12.75" customHeight="1" x14ac:dyDescent="0.2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</row>
    <row r="14" spans="1:39" ht="11.25" customHeight="1" x14ac:dyDescent="0.2">
      <c r="A14" s="94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</row>
    <row r="15" spans="1:39" ht="15" customHeight="1" x14ac:dyDescent="0.2">
      <c r="A15" s="94" t="s">
        <v>6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</row>
    <row r="16" spans="1:39" ht="15" customHeight="1" x14ac:dyDescent="0.2">
      <c r="A16" s="154"/>
      <c r="B16" s="155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</row>
    <row r="17" spans="1:39" ht="15" customHeight="1" x14ac:dyDescent="0.2">
      <c r="A17" s="98"/>
      <c r="B17" s="156" t="s">
        <v>7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</row>
    <row r="18" spans="1:39" ht="15" customHeight="1" x14ac:dyDescent="0.2">
      <c r="A18" s="157"/>
      <c r="B18" s="156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</row>
    <row r="19" spans="1:39" ht="15" customHeight="1" x14ac:dyDescent="0.2">
      <c r="A19" s="99">
        <v>1234</v>
      </c>
      <c r="B19" s="158" t="s">
        <v>8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</row>
    <row r="20" spans="1:39" ht="15" customHeight="1" x14ac:dyDescent="0.2">
      <c r="A20" s="159"/>
      <c r="B20" s="158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</row>
    <row r="21" spans="1:39" ht="15" customHeight="1" x14ac:dyDescent="0.2">
      <c r="A21" s="97">
        <v>0</v>
      </c>
      <c r="B21" s="156" t="s">
        <v>9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</row>
    <row r="22" spans="1:39" ht="15" customHeight="1" thickBot="1" x14ac:dyDescent="0.25">
      <c r="A22" s="157"/>
      <c r="B22" s="156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</row>
    <row r="23" spans="1:39" ht="15" customHeight="1" thickBot="1" x14ac:dyDescent="0.25">
      <c r="A23" s="160">
        <v>1234</v>
      </c>
      <c r="B23" s="156" t="s">
        <v>10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</row>
    <row r="24" spans="1:39" ht="15" customHeight="1" thickBot="1" x14ac:dyDescent="0.25">
      <c r="A24" s="157"/>
      <c r="B24" s="156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</row>
    <row r="25" spans="1:39" ht="15" customHeight="1" thickBot="1" x14ac:dyDescent="0.25">
      <c r="A25" s="161">
        <v>1234</v>
      </c>
      <c r="B25" s="156" t="s">
        <v>11</v>
      </c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</row>
    <row r="26" spans="1:39" ht="15" customHeight="1" x14ac:dyDescent="0.2">
      <c r="A26" s="157"/>
      <c r="B26" s="156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</row>
    <row r="27" spans="1:39" ht="15" customHeight="1" x14ac:dyDescent="0.2">
      <c r="A27" s="212" t="s">
        <v>12</v>
      </c>
      <c r="B27" s="156" t="s">
        <v>13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</row>
    <row r="28" spans="1:39" ht="15" customHeight="1" x14ac:dyDescent="0.2">
      <c r="A28" s="213"/>
      <c r="B28" s="162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</row>
    <row r="29" spans="1:39" x14ac:dyDescent="0.2">
      <c r="A29" s="214"/>
      <c r="B29" s="127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</row>
    <row r="30" spans="1:39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</row>
    <row r="31" spans="1:39" x14ac:dyDescent="0.2">
      <c r="A31" s="127" t="s">
        <v>14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</row>
    <row r="32" spans="1:39" x14ac:dyDescent="0.2">
      <c r="A32" s="95" t="s">
        <v>15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</row>
    <row r="33" spans="1:39" x14ac:dyDescent="0.2">
      <c r="A33" s="95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</row>
    <row r="34" spans="1:39" x14ac:dyDescent="0.2"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</row>
    <row r="35" spans="1:39" x14ac:dyDescent="0.2">
      <c r="A35" s="52" t="s">
        <v>0</v>
      </c>
      <c r="B35" s="10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</row>
    <row r="36" spans="1:39" x14ac:dyDescent="0.2">
      <c r="A36" s="20" t="s">
        <v>16</v>
      </c>
      <c r="B36" s="20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</row>
    <row r="37" spans="1:39" x14ac:dyDescent="0.2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</row>
    <row r="38" spans="1:39" x14ac:dyDescent="0.2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</row>
    <row r="39" spans="1:39" ht="12" customHeight="1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</row>
    <row r="40" spans="1:39" ht="12" customHeight="1" x14ac:dyDescent="0.2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</row>
    <row r="41" spans="1:39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</row>
    <row r="42" spans="1:39" x14ac:dyDescent="0.2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</row>
    <row r="43" spans="1:39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</row>
    <row r="44" spans="1:39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</row>
    <row r="45" spans="1:39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</row>
    <row r="46" spans="1:39" x14ac:dyDescent="0.2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</row>
    <row r="47" spans="1:39" x14ac:dyDescent="0.2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</row>
    <row r="48" spans="1:39" x14ac:dyDescent="0.2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</row>
    <row r="49" spans="1:39" x14ac:dyDescent="0.2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</row>
    <row r="50" spans="1:39" x14ac:dyDescent="0.2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</row>
    <row r="51" spans="1:39" x14ac:dyDescent="0.2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</row>
    <row r="52" spans="1:39" x14ac:dyDescent="0.2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</row>
    <row r="53" spans="1:39" x14ac:dyDescent="0.2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</row>
    <row r="54" spans="1:39" x14ac:dyDescent="0.2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</row>
    <row r="55" spans="1:39" x14ac:dyDescent="0.2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</row>
    <row r="56" spans="1:39" x14ac:dyDescent="0.2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</row>
    <row r="57" spans="1:39" x14ac:dyDescent="0.2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</row>
    <row r="58" spans="1:39" x14ac:dyDescent="0.2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</row>
    <row r="59" spans="1:39" x14ac:dyDescent="0.2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</row>
    <row r="60" spans="1:39" x14ac:dyDescent="0.2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</row>
    <row r="61" spans="1:39" x14ac:dyDescent="0.2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</row>
    <row r="62" spans="1:39" x14ac:dyDescent="0.2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</row>
    <row r="63" spans="1:39" x14ac:dyDescent="0.2">
      <c r="A63" s="93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</row>
    <row r="64" spans="1:39" x14ac:dyDescent="0.2">
      <c r="A64" s="93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</row>
    <row r="65" spans="1:39" x14ac:dyDescent="0.2">
      <c r="A65" s="93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</row>
    <row r="66" spans="1:39" x14ac:dyDescent="0.2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</row>
    <row r="67" spans="1:39" x14ac:dyDescent="0.2">
      <c r="A67" s="93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</row>
    <row r="68" spans="1:39" x14ac:dyDescent="0.2">
      <c r="A68" s="93"/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</row>
    <row r="69" spans="1:39" x14ac:dyDescent="0.2">
      <c r="A69" s="93"/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</row>
    <row r="70" spans="1:39" x14ac:dyDescent="0.2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</row>
    <row r="71" spans="1:39" x14ac:dyDescent="0.2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</row>
    <row r="72" spans="1:39" x14ac:dyDescent="0.2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</row>
    <row r="73" spans="1:39" x14ac:dyDescent="0.2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</row>
    <row r="74" spans="1:39" x14ac:dyDescent="0.2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</row>
    <row r="75" spans="1:39" x14ac:dyDescent="0.2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</row>
    <row r="76" spans="1:39" x14ac:dyDescent="0.2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</row>
    <row r="77" spans="1:39" x14ac:dyDescent="0.2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</row>
    <row r="78" spans="1:39" x14ac:dyDescent="0.2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</row>
    <row r="79" spans="1:39" x14ac:dyDescent="0.2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</row>
    <row r="80" spans="1:39" x14ac:dyDescent="0.2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</row>
    <row r="81" spans="1:39" x14ac:dyDescent="0.2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</row>
    <row r="82" spans="1:39" x14ac:dyDescent="0.2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</row>
    <row r="83" spans="1:39" x14ac:dyDescent="0.2">
      <c r="A83" s="93"/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</row>
    <row r="84" spans="1:39" x14ac:dyDescent="0.2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</row>
    <row r="85" spans="1:39" x14ac:dyDescent="0.2">
      <c r="A85" s="93"/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</row>
    <row r="86" spans="1:39" x14ac:dyDescent="0.2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</row>
    <row r="87" spans="1:39" x14ac:dyDescent="0.2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</row>
    <row r="88" spans="1:39" x14ac:dyDescent="0.2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</row>
    <row r="89" spans="1:39" x14ac:dyDescent="0.2">
      <c r="A89" s="93"/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</row>
    <row r="90" spans="1:39" ht="12" customHeight="1" x14ac:dyDescent="0.2">
      <c r="A90" s="93"/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</row>
    <row r="91" spans="1:39" ht="12" customHeight="1" x14ac:dyDescent="0.2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</row>
    <row r="92" spans="1:39" ht="12" customHeight="1" x14ac:dyDescent="0.2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</row>
    <row r="93" spans="1:39" ht="12" customHeight="1" x14ac:dyDescent="0.2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</row>
    <row r="94" spans="1:39" ht="12" customHeight="1" x14ac:dyDescent="0.2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</row>
  </sheetData>
  <sheetProtection formatColumns="0" formatRows="0"/>
  <protectedRanges>
    <protectedRange sqref="A32" name="Tartomány1"/>
  </protectedRanges>
  <mergeCells count="2">
    <mergeCell ref="A1:B4"/>
    <mergeCell ref="A5:B6"/>
  </mergeCells>
  <phoneticPr fontId="51" type="noConversion"/>
  <hyperlinks>
    <hyperlink ref="B1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10">
    <tabColor theme="0" tint="-0.34998626667073579"/>
    <pageSetUpPr fitToPage="1"/>
  </sheetPr>
  <dimension ref="A1:M58"/>
  <sheetViews>
    <sheetView tabSelected="1" topLeftCell="A34" workbookViewId="0">
      <selection activeCell="L74" sqref="L74"/>
    </sheetView>
  </sheetViews>
  <sheetFormatPr defaultRowHeight="12.75" x14ac:dyDescent="0.2"/>
  <cols>
    <col min="1" max="1" width="30.7109375" customWidth="1"/>
    <col min="2" max="2" width="11.140625" customWidth="1"/>
    <col min="3" max="3" width="12.7109375" customWidth="1"/>
    <col min="4" max="4" width="11.140625" customWidth="1"/>
    <col min="5" max="5" width="11.28515625" customWidth="1"/>
    <col min="6" max="6" width="10.28515625" customWidth="1"/>
    <col min="7" max="7" width="10.7109375" customWidth="1"/>
    <col min="8" max="8" width="11.140625" customWidth="1"/>
    <col min="9" max="9" width="15.140625" customWidth="1"/>
    <col min="10" max="10" width="11.28515625" customWidth="1"/>
    <col min="11" max="11" width="17.42578125" customWidth="1"/>
    <col min="12" max="12" width="11.5703125" customWidth="1"/>
  </cols>
  <sheetData>
    <row r="1" spans="1:13" s="16" customFormat="1" x14ac:dyDescent="0.2"/>
    <row r="2" spans="1:13" s="20" customFormat="1" x14ac:dyDescent="0.2">
      <c r="A2" s="17" t="s">
        <v>341</v>
      </c>
      <c r="B2" s="18"/>
      <c r="C2" s="19"/>
      <c r="D2" s="19"/>
    </row>
    <row r="3" spans="1:13" x14ac:dyDescent="0.2">
      <c r="A3" s="4" t="s">
        <v>342</v>
      </c>
      <c r="B3" s="4" t="s">
        <v>343</v>
      </c>
      <c r="C3">
        <v>1</v>
      </c>
      <c r="D3" s="4" t="s">
        <v>344</v>
      </c>
      <c r="E3">
        <v>21</v>
      </c>
      <c r="F3" s="4" t="s">
        <v>345</v>
      </c>
      <c r="G3">
        <v>310</v>
      </c>
      <c r="J3" s="13" t="s">
        <v>346</v>
      </c>
    </row>
    <row r="4" spans="1:13" s="21" customFormat="1" x14ac:dyDescent="0.2"/>
    <row r="5" spans="1:13" s="9" customFormat="1" ht="12" customHeight="1" x14ac:dyDescent="0.2">
      <c r="A5" s="260" t="s">
        <v>347</v>
      </c>
      <c r="B5" s="14"/>
      <c r="J5" s="14"/>
      <c r="L5" s="14"/>
      <c r="M5" s="14"/>
    </row>
    <row r="6" spans="1:13" s="8" customFormat="1" ht="11.25" customHeight="1" x14ac:dyDescent="0.2">
      <c r="A6" s="260"/>
      <c r="B6" s="8" t="s">
        <v>348</v>
      </c>
      <c r="J6" s="8" t="s">
        <v>349</v>
      </c>
      <c r="L6" s="8" t="s">
        <v>350</v>
      </c>
      <c r="M6" s="8" t="s">
        <v>351</v>
      </c>
    </row>
    <row r="7" spans="1:13" x14ac:dyDescent="0.2">
      <c r="B7" s="4"/>
      <c r="J7" s="4"/>
      <c r="L7" s="4"/>
      <c r="M7" s="4"/>
    </row>
    <row r="8" spans="1:13" x14ac:dyDescent="0.2">
      <c r="A8" s="21" t="s">
        <v>352</v>
      </c>
      <c r="B8" s="26">
        <v>0.36</v>
      </c>
      <c r="C8" s="4" t="s">
        <v>353</v>
      </c>
      <c r="J8" s="4" t="s">
        <v>354</v>
      </c>
      <c r="L8">
        <v>2013</v>
      </c>
      <c r="M8">
        <v>2015</v>
      </c>
    </row>
    <row r="9" spans="1:13" x14ac:dyDescent="0.2">
      <c r="A9" s="21" t="s">
        <v>66</v>
      </c>
      <c r="B9" s="5">
        <v>0.20200000000000001</v>
      </c>
      <c r="C9" s="4" t="s">
        <v>353</v>
      </c>
      <c r="J9" s="4" t="s">
        <v>355</v>
      </c>
      <c r="L9">
        <v>2007</v>
      </c>
      <c r="M9">
        <v>2016</v>
      </c>
    </row>
    <row r="10" spans="1:13" x14ac:dyDescent="0.2">
      <c r="A10" s="21" t="s">
        <v>356</v>
      </c>
      <c r="B10" s="5">
        <v>0.377</v>
      </c>
      <c r="C10" s="4" t="s">
        <v>353</v>
      </c>
      <c r="J10" s="4" t="s">
        <v>357</v>
      </c>
      <c r="L10">
        <v>2014</v>
      </c>
      <c r="M10">
        <v>2016</v>
      </c>
    </row>
    <row r="11" spans="1:13" x14ac:dyDescent="0.2">
      <c r="A11" s="21" t="s">
        <v>358</v>
      </c>
      <c r="B11" s="5">
        <v>0.40400000000000003</v>
      </c>
      <c r="C11" s="4" t="s">
        <v>353</v>
      </c>
      <c r="J11" s="4" t="s">
        <v>357</v>
      </c>
      <c r="L11">
        <v>2014</v>
      </c>
      <c r="M11">
        <v>2016</v>
      </c>
    </row>
    <row r="12" spans="1:13" x14ac:dyDescent="0.2">
      <c r="A12" s="21" t="s">
        <v>197</v>
      </c>
      <c r="B12" s="22">
        <v>0.26676</v>
      </c>
      <c r="C12" s="4" t="s">
        <v>353</v>
      </c>
      <c r="D12" t="s">
        <v>243</v>
      </c>
      <c r="F12" s="5">
        <v>10.96</v>
      </c>
      <c r="G12" t="s">
        <v>246</v>
      </c>
      <c r="H12" s="5">
        <v>1.0960000000000001E-2</v>
      </c>
      <c r="I12" t="s">
        <v>247</v>
      </c>
      <c r="J12" s="4" t="s">
        <v>355</v>
      </c>
      <c r="L12">
        <v>2007</v>
      </c>
      <c r="M12">
        <v>2016</v>
      </c>
    </row>
    <row r="13" spans="1:13" x14ac:dyDescent="0.2">
      <c r="A13" s="21" t="s">
        <v>196</v>
      </c>
      <c r="B13" s="22">
        <v>0.24948000000000001</v>
      </c>
      <c r="C13" s="4" t="s">
        <v>353</v>
      </c>
      <c r="D13" t="s">
        <v>243</v>
      </c>
      <c r="F13" s="5">
        <v>9.61</v>
      </c>
      <c r="G13" t="s">
        <v>246</v>
      </c>
      <c r="H13" s="5">
        <v>9.6099999999999988E-3</v>
      </c>
      <c r="I13" t="s">
        <v>247</v>
      </c>
      <c r="J13" s="4" t="s">
        <v>355</v>
      </c>
      <c r="L13">
        <v>2007</v>
      </c>
      <c r="M13">
        <v>2016</v>
      </c>
    </row>
    <row r="14" spans="1:13" x14ac:dyDescent="0.2">
      <c r="A14" s="21" t="s">
        <v>68</v>
      </c>
      <c r="B14" s="5">
        <v>7.0000000000000001E-3</v>
      </c>
      <c r="C14" s="4" t="s">
        <v>353</v>
      </c>
      <c r="J14" s="4" t="s">
        <v>355</v>
      </c>
      <c r="L14">
        <v>2007</v>
      </c>
      <c r="M14">
        <v>2016</v>
      </c>
    </row>
    <row r="15" spans="1:13" x14ac:dyDescent="0.2">
      <c r="A15" s="21" t="s">
        <v>359</v>
      </c>
      <c r="B15" s="5">
        <v>0.20399999999999999</v>
      </c>
      <c r="C15" s="4" t="s">
        <v>353</v>
      </c>
      <c r="J15" s="4" t="s">
        <v>357</v>
      </c>
      <c r="L15">
        <v>2014</v>
      </c>
      <c r="M15">
        <v>2016</v>
      </c>
    </row>
    <row r="16" spans="1:13" x14ac:dyDescent="0.2">
      <c r="A16" s="21" t="s">
        <v>360</v>
      </c>
      <c r="B16" s="22">
        <v>0</v>
      </c>
      <c r="C16" s="4" t="s">
        <v>353</v>
      </c>
      <c r="J16" s="4" t="s">
        <v>355</v>
      </c>
      <c r="L16">
        <v>2007</v>
      </c>
      <c r="M16">
        <v>2016</v>
      </c>
    </row>
    <row r="17" spans="1:13" x14ac:dyDescent="0.2">
      <c r="A17" s="21" t="s">
        <v>69</v>
      </c>
      <c r="B17" s="22">
        <v>0</v>
      </c>
      <c r="C17" s="4" t="s">
        <v>353</v>
      </c>
      <c r="J17" s="4" t="s">
        <v>355</v>
      </c>
      <c r="L17">
        <v>2007</v>
      </c>
      <c r="M17">
        <v>2016</v>
      </c>
    </row>
    <row r="18" spans="1:13" x14ac:dyDescent="0.2">
      <c r="A18" s="21" t="s">
        <v>361</v>
      </c>
      <c r="B18" s="22">
        <v>0.33700000000000002</v>
      </c>
      <c r="C18" s="4" t="s">
        <v>353</v>
      </c>
      <c r="J18" s="4" t="s">
        <v>355</v>
      </c>
      <c r="L18">
        <v>2007</v>
      </c>
      <c r="M18">
        <v>2016</v>
      </c>
    </row>
    <row r="20" spans="1:13" s="9" customFormat="1" x14ac:dyDescent="0.2">
      <c r="A20" s="260" t="s">
        <v>362</v>
      </c>
      <c r="B20" s="14"/>
      <c r="G20" s="14"/>
      <c r="H20" s="14"/>
      <c r="I20" s="14"/>
      <c r="J20" s="14"/>
    </row>
    <row r="21" spans="1:13" s="9" customFormat="1" x14ac:dyDescent="0.2">
      <c r="A21" s="260"/>
      <c r="B21" s="8" t="s">
        <v>348</v>
      </c>
      <c r="D21" s="8"/>
      <c r="F21" s="8"/>
      <c r="H21" s="8"/>
      <c r="J21" s="8" t="s">
        <v>349</v>
      </c>
      <c r="L21" s="8" t="s">
        <v>350</v>
      </c>
      <c r="M21" s="8" t="s">
        <v>351</v>
      </c>
    </row>
    <row r="24" spans="1:13" ht="51" x14ac:dyDescent="0.2">
      <c r="B24" s="7" t="s">
        <v>363</v>
      </c>
      <c r="C24" s="7" t="s">
        <v>364</v>
      </c>
    </row>
    <row r="25" spans="1:13" x14ac:dyDescent="0.2">
      <c r="A25" t="s">
        <v>365</v>
      </c>
      <c r="B25" s="131">
        <v>7.86</v>
      </c>
      <c r="C25" s="120">
        <v>6.8</v>
      </c>
      <c r="J25" s="4" t="s">
        <v>366</v>
      </c>
      <c r="L25">
        <v>2011</v>
      </c>
      <c r="M25">
        <v>2016</v>
      </c>
    </row>
    <row r="26" spans="1:13" x14ac:dyDescent="0.2">
      <c r="A26" t="s">
        <v>367</v>
      </c>
      <c r="B26">
        <v>10.3</v>
      </c>
      <c r="C26">
        <v>11.97</v>
      </c>
      <c r="J26" s="4" t="s">
        <v>366</v>
      </c>
      <c r="L26">
        <v>2011</v>
      </c>
      <c r="M26">
        <v>2016</v>
      </c>
    </row>
    <row r="27" spans="1:13" x14ac:dyDescent="0.2">
      <c r="A27" t="s">
        <v>368</v>
      </c>
      <c r="C27">
        <v>30.62</v>
      </c>
      <c r="J27" s="4" t="s">
        <v>366</v>
      </c>
      <c r="L27">
        <v>2011</v>
      </c>
      <c r="M27">
        <v>2016</v>
      </c>
    </row>
    <row r="28" spans="1:13" x14ac:dyDescent="0.2">
      <c r="A28" t="s">
        <v>369</v>
      </c>
      <c r="C28">
        <v>30.62</v>
      </c>
      <c r="J28" s="4" t="s">
        <v>366</v>
      </c>
      <c r="L28">
        <v>2011</v>
      </c>
      <c r="M28">
        <v>2016</v>
      </c>
    </row>
    <row r="29" spans="1:13" x14ac:dyDescent="0.2">
      <c r="A29" t="s">
        <v>370</v>
      </c>
      <c r="C29">
        <v>25.8</v>
      </c>
      <c r="J29" s="4" t="s">
        <v>366</v>
      </c>
      <c r="L29">
        <v>2011</v>
      </c>
      <c r="M29">
        <v>2016</v>
      </c>
    </row>
    <row r="30" spans="1:13" x14ac:dyDescent="0.2">
      <c r="A30" t="s">
        <v>371</v>
      </c>
      <c r="C30">
        <v>25.8</v>
      </c>
      <c r="J30" s="4" t="s">
        <v>366</v>
      </c>
      <c r="L30">
        <v>2011</v>
      </c>
      <c r="M30">
        <v>2016</v>
      </c>
    </row>
    <row r="31" spans="1:13" x14ac:dyDescent="0.2">
      <c r="A31" t="s">
        <v>372</v>
      </c>
      <c r="C31">
        <v>41.9</v>
      </c>
      <c r="J31" s="4" t="s">
        <v>366</v>
      </c>
      <c r="L31">
        <v>2011</v>
      </c>
      <c r="M31">
        <v>2016</v>
      </c>
    </row>
    <row r="32" spans="1:13" x14ac:dyDescent="0.2">
      <c r="A32" t="s">
        <v>373</v>
      </c>
      <c r="C32">
        <v>41.9</v>
      </c>
      <c r="J32" s="4" t="s">
        <v>366</v>
      </c>
      <c r="L32">
        <v>2011</v>
      </c>
      <c r="M32">
        <v>2016</v>
      </c>
    </row>
    <row r="33" spans="1:13" x14ac:dyDescent="0.2">
      <c r="A33" t="s">
        <v>374</v>
      </c>
      <c r="C33">
        <v>25.8</v>
      </c>
      <c r="J33" s="4" t="s">
        <v>366</v>
      </c>
      <c r="L33">
        <v>2011</v>
      </c>
      <c r="M33">
        <v>2016</v>
      </c>
    </row>
    <row r="34" spans="1:13" x14ac:dyDescent="0.2">
      <c r="A34" t="s">
        <v>375</v>
      </c>
      <c r="B34">
        <v>3</v>
      </c>
      <c r="J34" s="4" t="s">
        <v>366</v>
      </c>
      <c r="L34">
        <v>2011</v>
      </c>
      <c r="M34">
        <v>2016</v>
      </c>
    </row>
    <row r="35" spans="1:13" x14ac:dyDescent="0.2">
      <c r="A35" t="s">
        <v>376</v>
      </c>
      <c r="C35">
        <v>25.8</v>
      </c>
      <c r="J35" s="4" t="s">
        <v>366</v>
      </c>
      <c r="L35">
        <v>2011</v>
      </c>
      <c r="M35">
        <v>2016</v>
      </c>
    </row>
    <row r="37" spans="1:13" s="9" customFormat="1" x14ac:dyDescent="0.2">
      <c r="A37" s="260" t="s">
        <v>377</v>
      </c>
      <c r="B37" s="14"/>
      <c r="G37" s="14"/>
      <c r="H37" s="14"/>
      <c r="I37" s="14"/>
      <c r="J37" s="14"/>
    </row>
    <row r="38" spans="1:13" s="9" customFormat="1" x14ac:dyDescent="0.2">
      <c r="A38" s="260"/>
      <c r="B38" s="8" t="s">
        <v>378</v>
      </c>
      <c r="D38" s="8" t="s">
        <v>379</v>
      </c>
      <c r="F38" s="8" t="s">
        <v>380</v>
      </c>
      <c r="H38" s="8" t="s">
        <v>381</v>
      </c>
      <c r="J38" s="8" t="s">
        <v>349</v>
      </c>
      <c r="L38" s="8" t="s">
        <v>350</v>
      </c>
      <c r="M38" s="8" t="s">
        <v>351</v>
      </c>
    </row>
    <row r="40" spans="1:13" x14ac:dyDescent="0.2">
      <c r="A40" s="4" t="s">
        <v>382</v>
      </c>
      <c r="B40" s="46">
        <f>130.517827991266/1000</f>
        <v>0.13051782799126599</v>
      </c>
      <c r="C40" s="4" t="s">
        <v>383</v>
      </c>
      <c r="D40" s="46">
        <f>B40*E$3</f>
        <v>2.7408743878165858</v>
      </c>
      <c r="E40" s="4" t="s">
        <v>384</v>
      </c>
      <c r="J40" s="4" t="s">
        <v>385</v>
      </c>
      <c r="L40">
        <v>2014</v>
      </c>
      <c r="M40">
        <v>2016</v>
      </c>
    </row>
    <row r="41" spans="1:13" x14ac:dyDescent="0.2">
      <c r="A41" s="4" t="s">
        <v>386</v>
      </c>
      <c r="B41" s="46">
        <f>55.3180381396268/1000</f>
        <v>5.5318038139626803E-2</v>
      </c>
      <c r="C41" s="4" t="s">
        <v>383</v>
      </c>
      <c r="D41" s="46">
        <f>B41*E$3</f>
        <v>1.1616788009321628</v>
      </c>
      <c r="E41" s="4" t="s">
        <v>384</v>
      </c>
      <c r="J41" s="4" t="s">
        <v>385</v>
      </c>
      <c r="L41">
        <v>2014</v>
      </c>
      <c r="M41">
        <v>2016</v>
      </c>
    </row>
    <row r="42" spans="1:13" x14ac:dyDescent="0.2">
      <c r="A42" s="4" t="s">
        <v>387</v>
      </c>
      <c r="B42" s="46">
        <v>8.0000000000000002E-3</v>
      </c>
      <c r="C42" s="4" t="s">
        <v>383</v>
      </c>
      <c r="D42" s="46">
        <f>B42*E$3</f>
        <v>0.16800000000000001</v>
      </c>
      <c r="E42" s="4" t="s">
        <v>384</v>
      </c>
      <c r="J42" s="4" t="s">
        <v>385</v>
      </c>
      <c r="L42">
        <v>2014</v>
      </c>
      <c r="M42">
        <v>2016</v>
      </c>
    </row>
    <row r="43" spans="1:13" x14ac:dyDescent="0.2">
      <c r="A43" s="4" t="s">
        <v>388</v>
      </c>
      <c r="B43" s="46">
        <f>30.93393799847/1000</f>
        <v>3.0933937998469999E-2</v>
      </c>
      <c r="C43" s="4" t="s">
        <v>383</v>
      </c>
      <c r="D43" s="46">
        <f>B43*E$3</f>
        <v>0.64961269796787002</v>
      </c>
      <c r="E43" s="4" t="s">
        <v>384</v>
      </c>
      <c r="F43" s="46">
        <f>1.09832427200293/1000</f>
        <v>1.0983242720029301E-3</v>
      </c>
      <c r="G43" s="4" t="s">
        <v>389</v>
      </c>
      <c r="H43" s="46">
        <f>F43*G$3</f>
        <v>0.34048052432090831</v>
      </c>
      <c r="I43" s="4" t="s">
        <v>384</v>
      </c>
      <c r="J43" s="4" t="s">
        <v>385</v>
      </c>
      <c r="L43">
        <v>2014</v>
      </c>
      <c r="M43">
        <v>2016</v>
      </c>
    </row>
    <row r="44" spans="1:13" x14ac:dyDescent="0.2">
      <c r="A44" s="4" t="s">
        <v>390</v>
      </c>
      <c r="B44" s="46">
        <f>8.82615686989816/1000</f>
        <v>8.8261568698981604E-3</v>
      </c>
      <c r="C44" s="4" t="s">
        <v>383</v>
      </c>
      <c r="D44" s="46">
        <f>B44*E$3</f>
        <v>0.18534929426786137</v>
      </c>
      <c r="E44" s="4" t="s">
        <v>384</v>
      </c>
      <c r="F44" s="46">
        <f>0.47172870811546/1000</f>
        <v>4.7172870811546002E-4</v>
      </c>
      <c r="G44" s="4" t="s">
        <v>389</v>
      </c>
      <c r="H44" s="46">
        <f>F44*G$3</f>
        <v>0.14623589951579261</v>
      </c>
      <c r="I44" s="4" t="s">
        <v>384</v>
      </c>
      <c r="J44" s="4" t="s">
        <v>385</v>
      </c>
      <c r="L44">
        <v>2014</v>
      </c>
      <c r="M44">
        <v>2016</v>
      </c>
    </row>
    <row r="45" spans="1:13" x14ac:dyDescent="0.2">
      <c r="A45" s="4" t="s">
        <v>391</v>
      </c>
      <c r="B45" s="46">
        <f>11580/3064900</f>
        <v>3.7782635648797675E-3</v>
      </c>
      <c r="C45" s="4" t="s">
        <v>383</v>
      </c>
      <c r="D45" s="46">
        <f>B45*E3</f>
        <v>7.9343534862475112E-2</v>
      </c>
      <c r="E45" s="4" t="s">
        <v>384</v>
      </c>
      <c r="F45" s="48">
        <f>0.06298561027788/1000</f>
        <v>6.2985610277879997E-5</v>
      </c>
      <c r="G45" s="4" t="s">
        <v>389</v>
      </c>
      <c r="H45" s="46">
        <f>F45*G$3</f>
        <v>1.9525539186142801E-2</v>
      </c>
      <c r="I45" s="4" t="s">
        <v>384</v>
      </c>
      <c r="J45" s="4" t="s">
        <v>385</v>
      </c>
      <c r="L45">
        <v>2014</v>
      </c>
      <c r="M45">
        <v>2016</v>
      </c>
    </row>
    <row r="46" spans="1:13" x14ac:dyDescent="0.2">
      <c r="A46" s="4" t="s">
        <v>392</v>
      </c>
      <c r="B46" s="46">
        <f>0.0294341049607/1000</f>
        <v>2.9434104960700003E-5</v>
      </c>
      <c r="C46" s="4" t="s">
        <v>383</v>
      </c>
      <c r="D46" s="46">
        <f>B46*E3</f>
        <v>6.1811620417470008E-4</v>
      </c>
      <c r="E46" s="4" t="s">
        <v>384</v>
      </c>
      <c r="F46" s="48">
        <f>0.00144100010165/1000</f>
        <v>1.4410001016500001E-6</v>
      </c>
      <c r="G46" s="4" t="s">
        <v>389</v>
      </c>
      <c r="H46" s="132">
        <f>F46*G3</f>
        <v>4.4671003151150002E-4</v>
      </c>
      <c r="I46" s="4" t="s">
        <v>384</v>
      </c>
      <c r="J46" s="4" t="s">
        <v>385</v>
      </c>
      <c r="L46">
        <v>2014</v>
      </c>
      <c r="M46">
        <v>2016</v>
      </c>
    </row>
    <row r="47" spans="1:13" x14ac:dyDescent="0.2">
      <c r="A47" s="4" t="s">
        <v>393</v>
      </c>
      <c r="H47" s="46">
        <v>0.32840000000000003</v>
      </c>
      <c r="I47" s="4" t="s">
        <v>394</v>
      </c>
      <c r="J47" s="4" t="s">
        <v>395</v>
      </c>
      <c r="L47">
        <v>2014</v>
      </c>
      <c r="M47">
        <v>2016</v>
      </c>
    </row>
    <row r="49" spans="1:13" s="9" customFormat="1" x14ac:dyDescent="0.2">
      <c r="A49" s="260" t="s">
        <v>396</v>
      </c>
      <c r="F49" s="14"/>
      <c r="J49" s="14"/>
    </row>
    <row r="50" spans="1:13" s="9" customFormat="1" x14ac:dyDescent="0.2">
      <c r="A50" s="260"/>
      <c r="B50" s="8" t="s">
        <v>348</v>
      </c>
      <c r="E50" s="8" t="s">
        <v>379</v>
      </c>
      <c r="H50" s="8" t="s">
        <v>379</v>
      </c>
      <c r="J50" s="8" t="s">
        <v>349</v>
      </c>
      <c r="L50" s="8" t="s">
        <v>350</v>
      </c>
      <c r="M50" s="8" t="s">
        <v>351</v>
      </c>
    </row>
    <row r="52" spans="1:13" x14ac:dyDescent="0.2">
      <c r="A52" t="s">
        <v>397</v>
      </c>
      <c r="F52">
        <f>0.05</f>
        <v>0.05</v>
      </c>
      <c r="G52" t="s">
        <v>398</v>
      </c>
      <c r="H52" s="46">
        <f>F52*E3</f>
        <v>1.05</v>
      </c>
      <c r="I52" t="s">
        <v>399</v>
      </c>
      <c r="J52" s="4" t="s">
        <v>385</v>
      </c>
      <c r="L52">
        <v>2014</v>
      </c>
      <c r="M52">
        <v>2016</v>
      </c>
    </row>
    <row r="54" spans="1:13" x14ac:dyDescent="0.2">
      <c r="A54" s="260" t="s">
        <v>400</v>
      </c>
      <c r="B54" s="9"/>
      <c r="C54" s="9"/>
      <c r="D54" s="9"/>
      <c r="E54" s="9"/>
      <c r="F54" s="14"/>
      <c r="G54" s="9"/>
      <c r="H54" s="9"/>
      <c r="I54" s="9"/>
      <c r="J54" s="14"/>
      <c r="K54" s="9"/>
      <c r="L54" s="9"/>
      <c r="M54" s="9"/>
    </row>
    <row r="55" spans="1:13" x14ac:dyDescent="0.2">
      <c r="A55" s="260"/>
      <c r="B55" s="8" t="s">
        <v>348</v>
      </c>
      <c r="C55" s="9"/>
      <c r="D55" s="9"/>
      <c r="E55" s="9"/>
      <c r="F55" s="8"/>
      <c r="G55" s="9"/>
      <c r="H55" s="8"/>
      <c r="I55" s="9"/>
      <c r="J55" s="8" t="s">
        <v>349</v>
      </c>
      <c r="K55" s="9"/>
      <c r="L55" s="8" t="s">
        <v>350</v>
      </c>
      <c r="M55" s="8" t="s">
        <v>351</v>
      </c>
    </row>
    <row r="57" spans="1:13" x14ac:dyDescent="0.2">
      <c r="A57" s="4" t="s">
        <v>401</v>
      </c>
      <c r="B57" s="129">
        <v>-1.58</v>
      </c>
      <c r="C57" s="128" t="s">
        <v>402</v>
      </c>
      <c r="J57" s="4" t="s">
        <v>385</v>
      </c>
      <c r="L57">
        <v>2014</v>
      </c>
      <c r="M57">
        <v>2016</v>
      </c>
    </row>
    <row r="58" spans="1:13" x14ac:dyDescent="0.2">
      <c r="A58" s="4" t="s">
        <v>403</v>
      </c>
      <c r="B58" s="129">
        <v>-0.8</v>
      </c>
      <c r="C58" s="128" t="s">
        <v>402</v>
      </c>
      <c r="J58" s="4" t="s">
        <v>404</v>
      </c>
      <c r="L58">
        <v>2012</v>
      </c>
      <c r="M58">
        <v>2016</v>
      </c>
    </row>
  </sheetData>
  <sheetProtection password="FA7E" sheet="1" formatColumns="0" formatRows="0"/>
  <protectedRanges>
    <protectedRange sqref="B8 J8:M8 J3 J57:M58 B57:B58" name="Tartomány1"/>
  </protectedRanges>
  <mergeCells count="5">
    <mergeCell ref="A54:A55"/>
    <mergeCell ref="A5:A6"/>
    <mergeCell ref="A37:A38"/>
    <mergeCell ref="A49:A50"/>
    <mergeCell ref="A20:A21"/>
  </mergeCells>
  <phoneticPr fontId="51" type="noConversion"/>
  <hyperlinks>
    <hyperlink ref="J3" r:id="rId1" xr:uid="{00000000-0004-0000-0900-000000000000}"/>
  </hyperlinks>
  <pageMargins left="0.70866141732283472" right="0.70866141732283472" top="0.74803149606299213" bottom="0.74803149606299213" header="0.31496062992125984" footer="0.31496062992125984"/>
  <pageSetup paperSize="9" scale="64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>
    <tabColor theme="4"/>
  </sheetPr>
  <dimension ref="A1:IV78"/>
  <sheetViews>
    <sheetView topLeftCell="A43" workbookViewId="0">
      <selection activeCell="A54" sqref="A54:J78"/>
    </sheetView>
  </sheetViews>
  <sheetFormatPr defaultRowHeight="12.75" x14ac:dyDescent="0.2"/>
  <cols>
    <col min="1" max="1" width="10.42578125" customWidth="1"/>
    <col min="3" max="3" width="18.42578125" customWidth="1"/>
    <col min="4" max="4" width="12.7109375" customWidth="1"/>
    <col min="5" max="5" width="14.42578125" customWidth="1"/>
    <col min="6" max="6" width="14.5703125" customWidth="1"/>
    <col min="7" max="7" width="13.7109375" customWidth="1"/>
    <col min="8" max="8" width="14.7109375" customWidth="1"/>
    <col min="9" max="9" width="14" customWidth="1"/>
    <col min="10" max="10" width="16.42578125" customWidth="1"/>
    <col min="12" max="12" width="14.140625" customWidth="1"/>
    <col min="13" max="13" width="6.85546875" customWidth="1"/>
    <col min="14" max="14" width="9.5703125" bestFit="1" customWidth="1"/>
  </cols>
  <sheetData>
    <row r="1" spans="1:256" s="164" customFormat="1" ht="28.5" customHeight="1" thickBot="1" x14ac:dyDescent="0.25">
      <c r="A1" s="163" t="s">
        <v>17</v>
      </c>
      <c r="L1" s="165" t="s">
        <v>18</v>
      </c>
    </row>
    <row r="2" spans="1:256" s="167" customFormat="1" ht="15" thickBot="1" x14ac:dyDescent="0.3">
      <c r="A2" s="166"/>
      <c r="K2" s="168" t="s">
        <v>19</v>
      </c>
      <c r="L2" s="55">
        <f>L5+L15+L26+L50</f>
        <v>214329.90177699324</v>
      </c>
      <c r="M2" s="168" t="s">
        <v>20</v>
      </c>
    </row>
    <row r="4" spans="1:256" s="10" customFormat="1" ht="28.5" customHeight="1" thickBot="1" x14ac:dyDescent="0.25">
      <c r="A4" s="52" t="s">
        <v>21</v>
      </c>
      <c r="E4" s="52" t="s">
        <v>22</v>
      </c>
      <c r="F4" s="52" t="s">
        <v>23</v>
      </c>
      <c r="G4" s="52" t="s">
        <v>24</v>
      </c>
      <c r="H4" s="52" t="s">
        <v>25</v>
      </c>
      <c r="I4" s="52" t="s">
        <v>26</v>
      </c>
      <c r="J4" s="52" t="s">
        <v>27</v>
      </c>
      <c r="L4" s="52" t="s">
        <v>28</v>
      </c>
    </row>
    <row r="5" spans="1:256" s="10" customFormat="1" ht="15" thickBot="1" x14ac:dyDescent="0.3">
      <c r="D5" s="52" t="s">
        <v>19</v>
      </c>
      <c r="E5" s="62">
        <f>C$10*'emissziós faktorok'!B8</f>
        <v>4997.88</v>
      </c>
      <c r="F5" s="55">
        <f>D$10*'emissziós faktorok'!B8</f>
        <v>18501.48</v>
      </c>
      <c r="G5" s="63">
        <f>E$10*'emissziós faktorok'!B8</f>
        <v>1076.76</v>
      </c>
      <c r="H5" s="55">
        <f>F$10*'emissziós faktorok'!B8</f>
        <v>42595.92</v>
      </c>
      <c r="I5" s="63">
        <f>H$10*'emissziós faktorok'!B8</f>
        <v>31632.12</v>
      </c>
      <c r="J5" s="55">
        <f>G$10*'emissziós faktorok'!B8</f>
        <v>174.95999999999998</v>
      </c>
      <c r="K5" s="52" t="s">
        <v>20</v>
      </c>
      <c r="L5" s="55">
        <f>SUM(E5:J5)</f>
        <v>98979.12</v>
      </c>
      <c r="M5" s="52" t="s">
        <v>20</v>
      </c>
    </row>
    <row r="6" spans="1:256" x14ac:dyDescent="0.2">
      <c r="A6" s="215" t="s">
        <v>29</v>
      </c>
    </row>
    <row r="8" spans="1:256" ht="25.5" customHeight="1" x14ac:dyDescent="0.2">
      <c r="A8" s="231" t="s">
        <v>30</v>
      </c>
      <c r="B8" s="1" t="s">
        <v>31</v>
      </c>
      <c r="C8" s="3" t="s">
        <v>32</v>
      </c>
      <c r="D8" s="2" t="s">
        <v>33</v>
      </c>
      <c r="E8" s="3" t="s">
        <v>34</v>
      </c>
      <c r="F8" s="2" t="s">
        <v>35</v>
      </c>
      <c r="G8" s="2" t="s">
        <v>36</v>
      </c>
      <c r="H8" s="2" t="s">
        <v>37</v>
      </c>
    </row>
    <row r="9" spans="1:256" x14ac:dyDescent="0.2">
      <c r="A9" s="232"/>
      <c r="B9" s="233" t="s">
        <v>38</v>
      </c>
      <c r="C9" s="234"/>
      <c r="D9" s="234"/>
      <c r="E9" s="234"/>
      <c r="F9" s="234"/>
      <c r="G9" s="234"/>
      <c r="H9" s="235"/>
    </row>
    <row r="10" spans="1:256" x14ac:dyDescent="0.2">
      <c r="A10" s="23">
        <v>2022</v>
      </c>
      <c r="B10" s="24">
        <v>274942</v>
      </c>
      <c r="C10" s="24">
        <v>13883</v>
      </c>
      <c r="D10" s="24">
        <v>51393</v>
      </c>
      <c r="E10" s="24">
        <v>2991</v>
      </c>
      <c r="F10" s="24">
        <v>118322</v>
      </c>
      <c r="G10" s="24">
        <v>486</v>
      </c>
      <c r="H10" s="24">
        <v>87867</v>
      </c>
    </row>
    <row r="13" spans="1:256" ht="12" customHeight="1" x14ac:dyDescent="0.2"/>
    <row r="14" spans="1:256" s="10" customFormat="1" ht="29.25" customHeight="1" thickBot="1" x14ac:dyDescent="0.25">
      <c r="A14" s="52" t="s">
        <v>39</v>
      </c>
      <c r="E14" s="52" t="s">
        <v>22</v>
      </c>
      <c r="F14" s="52" t="s">
        <v>23</v>
      </c>
      <c r="G14" s="52" t="s">
        <v>25</v>
      </c>
      <c r="H14" s="52" t="s">
        <v>26</v>
      </c>
      <c r="I14" s="52" t="s">
        <v>27</v>
      </c>
      <c r="L14" s="52" t="s">
        <v>28</v>
      </c>
    </row>
    <row r="15" spans="1:256" s="10" customFormat="1" ht="12.75" customHeight="1" thickBot="1" x14ac:dyDescent="0.3">
      <c r="A15" s="52"/>
      <c r="D15" s="52" t="s">
        <v>19</v>
      </c>
      <c r="E15" s="62">
        <f>E$21*K$20/3.6*'emissziós faktorok'!B9</f>
        <v>4496.6322222222225</v>
      </c>
      <c r="F15" s="62">
        <f>(B$21+C$21)*$K$20/3.6*'emissziós faktorok'!B9</f>
        <v>41644.881111111114</v>
      </c>
      <c r="G15" s="62">
        <f>F$21*$K$20/3.6*'emissziós faktorok'!B9</f>
        <v>12921.378888888888</v>
      </c>
      <c r="H15" s="62">
        <f>(D21+H$21)*$K$20/3.6*'emissziós faktorok'!B9</f>
        <v>53558.953333333331</v>
      </c>
      <c r="I15" s="55">
        <f>G$21*$K$20/3.6*'emissziós faktorok'!B9</f>
        <v>146.89888888888888</v>
      </c>
      <c r="J15" s="52" t="s">
        <v>20</v>
      </c>
      <c r="L15" s="55">
        <f>SUM(E15:I15)</f>
        <v>112768.74444444444</v>
      </c>
      <c r="M15" s="52" t="s">
        <v>20</v>
      </c>
    </row>
    <row r="16" spans="1:256" s="10" customFormat="1" ht="12.75" customHeight="1" x14ac:dyDescent="0.2">
      <c r="A16" s="215" t="s">
        <v>40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5"/>
      <c r="BN16" s="215"/>
      <c r="BO16" s="215"/>
      <c r="BP16" s="215"/>
      <c r="BQ16" s="215"/>
      <c r="BR16" s="215"/>
      <c r="BS16" s="215"/>
      <c r="BT16" s="215"/>
      <c r="BU16" s="215"/>
      <c r="BV16" s="215"/>
      <c r="BW16" s="215"/>
      <c r="BX16" s="215"/>
      <c r="BY16" s="215"/>
      <c r="BZ16" s="215"/>
      <c r="CA16" s="215"/>
      <c r="CB16" s="215"/>
      <c r="CC16" s="215"/>
      <c r="CD16" s="215"/>
      <c r="CE16" s="215"/>
      <c r="CF16" s="215"/>
      <c r="CG16" s="215"/>
      <c r="CH16" s="215"/>
      <c r="CI16" s="215"/>
      <c r="CJ16" s="215"/>
      <c r="CK16" s="215"/>
      <c r="CL16" s="215"/>
      <c r="CM16" s="215"/>
      <c r="CN16" s="215"/>
      <c r="CO16" s="215"/>
      <c r="CP16" s="215"/>
      <c r="CQ16" s="215"/>
      <c r="CR16" s="215"/>
      <c r="CS16" s="215"/>
      <c r="CT16" s="215"/>
      <c r="CU16" s="215"/>
      <c r="CV16" s="215"/>
      <c r="CW16" s="215"/>
      <c r="CX16" s="215"/>
      <c r="CY16" s="215"/>
      <c r="CZ16" s="215"/>
      <c r="DA16" s="215"/>
      <c r="DB16" s="215"/>
      <c r="DC16" s="215"/>
      <c r="DD16" s="215"/>
      <c r="DE16" s="215"/>
      <c r="DF16" s="215"/>
      <c r="DG16" s="215"/>
      <c r="DH16" s="215"/>
      <c r="DI16" s="215"/>
      <c r="DJ16" s="215"/>
      <c r="DK16" s="215"/>
      <c r="DL16" s="215"/>
      <c r="DM16" s="215"/>
      <c r="DN16" s="215"/>
      <c r="DO16" s="215"/>
      <c r="DP16" s="215"/>
      <c r="DQ16" s="215"/>
      <c r="DR16" s="215"/>
      <c r="DS16" s="215"/>
      <c r="DT16" s="215"/>
      <c r="DU16" s="215"/>
      <c r="DV16" s="215"/>
      <c r="DW16" s="215"/>
      <c r="DX16" s="215"/>
      <c r="DY16" s="215"/>
      <c r="DZ16" s="215"/>
      <c r="EA16" s="215"/>
      <c r="EB16" s="215"/>
      <c r="EC16" s="215"/>
      <c r="ED16" s="215"/>
      <c r="EE16" s="215"/>
      <c r="EF16" s="215"/>
      <c r="EG16" s="215"/>
      <c r="EH16" s="215"/>
      <c r="EI16" s="215"/>
      <c r="EJ16" s="215"/>
      <c r="EK16" s="215"/>
      <c r="EL16" s="215"/>
      <c r="EM16" s="215"/>
      <c r="EN16" s="215"/>
      <c r="EO16" s="215"/>
      <c r="EP16" s="215"/>
      <c r="EQ16" s="215"/>
      <c r="ER16" s="215"/>
      <c r="ES16" s="215"/>
      <c r="ET16" s="215"/>
      <c r="EU16" s="215"/>
      <c r="EV16" s="215"/>
      <c r="EW16" s="215"/>
      <c r="EX16" s="215"/>
      <c r="EY16" s="215"/>
      <c r="EZ16" s="215"/>
      <c r="FA16" s="215"/>
      <c r="FB16" s="215"/>
      <c r="FC16" s="215"/>
      <c r="FD16" s="215"/>
      <c r="FE16" s="215"/>
      <c r="FF16" s="215"/>
      <c r="FG16" s="215"/>
      <c r="FH16" s="215"/>
      <c r="FI16" s="215"/>
      <c r="FJ16" s="215"/>
      <c r="FK16" s="215"/>
      <c r="FL16" s="215"/>
      <c r="FM16" s="215"/>
      <c r="FN16" s="215"/>
      <c r="FO16" s="215"/>
      <c r="FP16" s="215"/>
      <c r="FQ16" s="215"/>
      <c r="FR16" s="215"/>
      <c r="FS16" s="215"/>
      <c r="FT16" s="215"/>
      <c r="FU16" s="215"/>
      <c r="FV16" s="215"/>
      <c r="FW16" s="215"/>
      <c r="FX16" s="215"/>
      <c r="FY16" s="215"/>
      <c r="FZ16" s="215"/>
      <c r="GA16" s="215"/>
      <c r="GB16" s="215"/>
      <c r="GC16" s="215"/>
      <c r="GD16" s="215"/>
      <c r="GE16" s="215"/>
      <c r="GF16" s="215"/>
      <c r="GG16" s="215"/>
      <c r="GH16" s="215"/>
      <c r="GI16" s="215"/>
      <c r="GJ16" s="215"/>
      <c r="GK16" s="215"/>
      <c r="GL16" s="215"/>
      <c r="GM16" s="215"/>
      <c r="GN16" s="215"/>
      <c r="GO16" s="215"/>
      <c r="GP16" s="215"/>
      <c r="GQ16" s="215"/>
      <c r="GR16" s="215"/>
      <c r="GS16" s="215"/>
      <c r="GT16" s="215"/>
      <c r="GU16" s="215"/>
      <c r="GV16" s="215"/>
      <c r="GW16" s="215"/>
      <c r="GX16" s="215"/>
      <c r="GY16" s="215"/>
      <c r="GZ16" s="215"/>
      <c r="HA16" s="215"/>
      <c r="HB16" s="215"/>
      <c r="HC16" s="215"/>
      <c r="HD16" s="215"/>
      <c r="HE16" s="215"/>
      <c r="HF16" s="215"/>
      <c r="HG16" s="215"/>
      <c r="HH16" s="215"/>
      <c r="HI16" s="215"/>
      <c r="HJ16" s="215"/>
      <c r="HK16" s="215"/>
      <c r="HL16" s="215"/>
      <c r="HM16" s="215"/>
      <c r="HN16" s="215"/>
      <c r="HO16" s="215"/>
      <c r="HP16" s="215"/>
      <c r="HQ16" s="215"/>
      <c r="HR16" s="215"/>
      <c r="HS16" s="215"/>
      <c r="HT16" s="215"/>
      <c r="HU16" s="215"/>
      <c r="HV16" s="215"/>
      <c r="HW16" s="215"/>
      <c r="HX16" s="215"/>
      <c r="HY16" s="215"/>
      <c r="HZ16" s="215"/>
      <c r="IA16" s="215"/>
      <c r="IB16" s="215"/>
      <c r="IC16" s="215"/>
      <c r="ID16" s="215"/>
      <c r="IE16" s="215"/>
      <c r="IF16" s="215"/>
      <c r="IG16" s="215"/>
      <c r="IH16" s="215"/>
      <c r="II16" s="215"/>
      <c r="IJ16" s="215"/>
      <c r="IK16" s="215"/>
      <c r="IL16" s="215"/>
      <c r="IM16" s="215"/>
      <c r="IN16" s="215"/>
      <c r="IO16" s="215"/>
      <c r="IP16" s="215"/>
      <c r="IQ16" s="215"/>
      <c r="IR16" s="215"/>
      <c r="IS16" s="215"/>
      <c r="IT16" s="215"/>
      <c r="IU16" s="215"/>
      <c r="IV16" s="215"/>
    </row>
    <row r="17" spans="1:256" s="10" customFormat="1" ht="12.75" customHeight="1" x14ac:dyDescent="0.2">
      <c r="A17" s="103" t="s">
        <v>41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  <c r="BH17" s="103"/>
      <c r="BI17" s="103"/>
      <c r="BJ17" s="103"/>
      <c r="BK17" s="103"/>
      <c r="BL17" s="103"/>
      <c r="BM17" s="103"/>
      <c r="BN17" s="103"/>
      <c r="BO17" s="103"/>
      <c r="BP17" s="103"/>
      <c r="BQ17" s="103"/>
      <c r="BR17" s="103"/>
      <c r="BS17" s="103"/>
      <c r="BT17" s="103"/>
      <c r="BU17" s="103"/>
      <c r="BV17" s="103"/>
      <c r="BW17" s="103"/>
      <c r="BX17" s="103"/>
      <c r="BY17" s="103"/>
      <c r="BZ17" s="103"/>
      <c r="CA17" s="103"/>
      <c r="CB17" s="103"/>
      <c r="CC17" s="103"/>
      <c r="CD17" s="103"/>
      <c r="CE17" s="103"/>
      <c r="CF17" s="103"/>
      <c r="CG17" s="103"/>
      <c r="CH17" s="103"/>
      <c r="CI17" s="103"/>
      <c r="CJ17" s="103"/>
      <c r="CK17" s="103"/>
      <c r="CL17" s="103"/>
      <c r="CM17" s="103"/>
      <c r="CN17" s="103"/>
      <c r="CO17" s="103"/>
      <c r="CP17" s="103"/>
      <c r="CQ17" s="103"/>
      <c r="CR17" s="103"/>
      <c r="CS17" s="103"/>
      <c r="CT17" s="103"/>
      <c r="CU17" s="103"/>
      <c r="CV17" s="103"/>
      <c r="CW17" s="103"/>
      <c r="CX17" s="103"/>
      <c r="CY17" s="103"/>
      <c r="CZ17" s="103"/>
      <c r="DA17" s="103"/>
      <c r="DB17" s="103"/>
      <c r="DC17" s="103"/>
      <c r="DD17" s="103"/>
      <c r="DE17" s="103"/>
      <c r="DF17" s="103"/>
      <c r="DG17" s="103"/>
      <c r="DH17" s="103"/>
      <c r="DI17" s="103"/>
      <c r="DJ17" s="103"/>
      <c r="DK17" s="103"/>
      <c r="DL17" s="103"/>
      <c r="DM17" s="103"/>
      <c r="DN17" s="103"/>
      <c r="DO17" s="103"/>
      <c r="DP17" s="103"/>
      <c r="DQ17" s="103"/>
      <c r="DR17" s="103"/>
      <c r="DS17" s="103"/>
      <c r="DT17" s="103"/>
      <c r="DU17" s="103"/>
      <c r="DV17" s="103"/>
      <c r="DW17" s="103"/>
      <c r="DX17" s="103"/>
      <c r="DY17" s="103"/>
      <c r="DZ17" s="103"/>
      <c r="EA17" s="103"/>
      <c r="EB17" s="103"/>
      <c r="EC17" s="103"/>
      <c r="ED17" s="103"/>
      <c r="EE17" s="103"/>
      <c r="EF17" s="103"/>
      <c r="EG17" s="103"/>
      <c r="EH17" s="103"/>
      <c r="EI17" s="103"/>
      <c r="EJ17" s="103"/>
      <c r="EK17" s="103"/>
      <c r="EL17" s="103"/>
      <c r="EM17" s="103"/>
      <c r="EN17" s="103"/>
      <c r="EO17" s="103"/>
      <c r="EP17" s="103"/>
      <c r="EQ17" s="103"/>
      <c r="ER17" s="103"/>
      <c r="ES17" s="103"/>
      <c r="ET17" s="103"/>
      <c r="EU17" s="103"/>
      <c r="EV17" s="103"/>
      <c r="EW17" s="103"/>
      <c r="EX17" s="103"/>
      <c r="EY17" s="103"/>
      <c r="EZ17" s="103"/>
      <c r="FA17" s="103"/>
      <c r="FB17" s="103"/>
      <c r="FC17" s="103"/>
      <c r="FD17" s="103"/>
      <c r="FE17" s="103"/>
      <c r="FF17" s="103"/>
      <c r="FG17" s="103"/>
      <c r="FH17" s="103"/>
      <c r="FI17" s="103"/>
      <c r="FJ17" s="103"/>
      <c r="FK17" s="103"/>
      <c r="FL17" s="103"/>
      <c r="FM17" s="103"/>
      <c r="FN17" s="103"/>
      <c r="FO17" s="103"/>
      <c r="FP17" s="103"/>
      <c r="FQ17" s="103"/>
      <c r="FR17" s="103"/>
      <c r="FS17" s="103"/>
      <c r="FT17" s="103"/>
      <c r="FU17" s="103"/>
      <c r="FV17" s="103"/>
      <c r="FW17" s="103"/>
      <c r="FX17" s="103"/>
      <c r="FY17" s="103"/>
      <c r="FZ17" s="103"/>
      <c r="GA17" s="103"/>
      <c r="GB17" s="103"/>
      <c r="GC17" s="103"/>
      <c r="GD17" s="103"/>
      <c r="GE17" s="103"/>
      <c r="GF17" s="103"/>
      <c r="GG17" s="103"/>
      <c r="GH17" s="103"/>
      <c r="GI17" s="103"/>
      <c r="GJ17" s="103"/>
      <c r="GK17" s="103"/>
      <c r="GL17" s="103"/>
      <c r="GM17" s="103"/>
      <c r="GN17" s="103"/>
      <c r="GO17" s="103"/>
      <c r="GP17" s="103"/>
      <c r="GQ17" s="103"/>
      <c r="GR17" s="103"/>
      <c r="GS17" s="103"/>
      <c r="GT17" s="103"/>
      <c r="GU17" s="103"/>
      <c r="GV17" s="103"/>
      <c r="GW17" s="103"/>
      <c r="GX17" s="103"/>
      <c r="GY17" s="103"/>
      <c r="GZ17" s="103"/>
      <c r="HA17" s="103"/>
      <c r="HB17" s="103"/>
      <c r="HC17" s="103"/>
      <c r="HD17" s="103"/>
      <c r="HE17" s="103"/>
      <c r="HF17" s="103"/>
      <c r="HG17" s="103"/>
      <c r="HH17" s="103"/>
      <c r="HI17" s="103"/>
      <c r="HJ17" s="103"/>
      <c r="HK17" s="103"/>
      <c r="HL17" s="103"/>
      <c r="HM17" s="103"/>
      <c r="HN17" s="103"/>
      <c r="HO17" s="103"/>
      <c r="HP17" s="103"/>
      <c r="HQ17" s="103"/>
      <c r="HR17" s="103"/>
      <c r="HS17" s="103"/>
      <c r="HT17" s="103"/>
      <c r="HU17" s="103"/>
      <c r="HV17" s="103"/>
      <c r="HW17" s="103"/>
      <c r="HX17" s="103"/>
      <c r="HY17" s="103"/>
      <c r="HZ17" s="103"/>
      <c r="IA17" s="103"/>
      <c r="IB17" s="103"/>
      <c r="IC17" s="103"/>
      <c r="ID17" s="103"/>
      <c r="IE17" s="103"/>
      <c r="IF17" s="103"/>
      <c r="IG17" s="103"/>
      <c r="IH17" s="103"/>
      <c r="II17" s="103"/>
      <c r="IJ17" s="103"/>
      <c r="IK17" s="103"/>
      <c r="IL17" s="103"/>
      <c r="IM17" s="103"/>
      <c r="IN17" s="103"/>
      <c r="IO17" s="103"/>
      <c r="IP17" s="103"/>
      <c r="IQ17" s="103"/>
      <c r="IR17" s="103"/>
      <c r="IS17" s="103"/>
      <c r="IT17" s="103"/>
      <c r="IU17" s="103"/>
      <c r="IV17" s="103"/>
    </row>
    <row r="19" spans="1:256" ht="12.75" customHeight="1" x14ac:dyDescent="0.2">
      <c r="A19" s="223" t="s">
        <v>30</v>
      </c>
      <c r="B19" s="225" t="s">
        <v>42</v>
      </c>
      <c r="C19" s="226"/>
      <c r="D19" s="226"/>
      <c r="E19" s="226"/>
      <c r="F19" s="226"/>
      <c r="G19" s="226"/>
      <c r="H19" s="226"/>
      <c r="I19" s="227"/>
      <c r="K19" s="12" t="s">
        <v>43</v>
      </c>
      <c r="L19" s="12"/>
    </row>
    <row r="20" spans="1:256" ht="38.25" x14ac:dyDescent="0.2">
      <c r="A20" s="224"/>
      <c r="B20" s="2" t="s">
        <v>44</v>
      </c>
      <c r="C20" s="3" t="s">
        <v>45</v>
      </c>
      <c r="D20" s="3" t="s">
        <v>46</v>
      </c>
      <c r="E20" s="2" t="s">
        <v>47</v>
      </c>
      <c r="F20" s="2" t="s">
        <v>48</v>
      </c>
      <c r="G20" s="2" t="s">
        <v>49</v>
      </c>
      <c r="H20" s="2" t="s">
        <v>50</v>
      </c>
      <c r="I20" s="2" t="s">
        <v>51</v>
      </c>
      <c r="K20" s="15">
        <v>34</v>
      </c>
      <c r="L20" s="12" t="s">
        <v>52</v>
      </c>
    </row>
    <row r="21" spans="1:256" ht="36" customHeight="1" x14ac:dyDescent="0.2">
      <c r="A21" s="25">
        <v>2022</v>
      </c>
      <c r="B21" s="51">
        <v>19023</v>
      </c>
      <c r="C21" s="51">
        <v>2806</v>
      </c>
      <c r="D21" s="51">
        <v>97</v>
      </c>
      <c r="E21" s="51">
        <v>2357</v>
      </c>
      <c r="F21" s="51">
        <v>6773</v>
      </c>
      <c r="G21" s="51">
        <v>77</v>
      </c>
      <c r="H21" s="51">
        <v>27977</v>
      </c>
      <c r="I21" s="51">
        <v>59110</v>
      </c>
      <c r="K21" s="12" t="s">
        <v>53</v>
      </c>
      <c r="L21" s="12" t="s">
        <v>54</v>
      </c>
    </row>
    <row r="25" spans="1:256" s="10" customFormat="1" ht="29.25" customHeight="1" thickBot="1" x14ac:dyDescent="0.25">
      <c r="A25" s="52" t="s">
        <v>55</v>
      </c>
      <c r="E25" s="52" t="s">
        <v>22</v>
      </c>
      <c r="F25" s="52" t="s">
        <v>23</v>
      </c>
      <c r="G25" s="52" t="s">
        <v>25</v>
      </c>
      <c r="H25" s="52" t="s">
        <v>26</v>
      </c>
      <c r="I25" s="52" t="s">
        <v>27</v>
      </c>
      <c r="L25" s="52" t="s">
        <v>28</v>
      </c>
    </row>
    <row r="26" spans="1:256" s="10" customFormat="1" ht="12.75" customHeight="1" thickBot="1" x14ac:dyDescent="0.3">
      <c r="A26" s="52"/>
      <c r="D26" s="52" t="s">
        <v>19</v>
      </c>
      <c r="E26" s="62">
        <f>A31*'1. ENERGIAFOGYASZTÁS'!F31</f>
        <v>0</v>
      </c>
      <c r="F26" s="62">
        <f>A33*'1. ENERGIAFOGYASZTÁS'!F31</f>
        <v>0</v>
      </c>
      <c r="G26" s="62">
        <f>A35*'1. ENERGIAFOGYASZTÁS'!F31</f>
        <v>0</v>
      </c>
      <c r="H26" s="62">
        <f>A37*'1. ENERGIAFOGYASZTÁS'!F31</f>
        <v>0</v>
      </c>
      <c r="I26" s="55">
        <f>A39*'1. ENERGIAFOGYASZTÁS'!F31</f>
        <v>0</v>
      </c>
      <c r="J26" s="52" t="s">
        <v>20</v>
      </c>
      <c r="L26" s="55">
        <f>SUM(E26:I26)</f>
        <v>0</v>
      </c>
      <c r="M26" s="52" t="s">
        <v>20</v>
      </c>
    </row>
    <row r="27" spans="1:256" x14ac:dyDescent="0.2">
      <c r="A27" s="215" t="s">
        <v>56</v>
      </c>
    </row>
    <row r="28" spans="1:256" x14ac:dyDescent="0.2">
      <c r="A28" s="215" t="s">
        <v>57</v>
      </c>
    </row>
    <row r="30" spans="1:256" ht="12.75" customHeight="1" x14ac:dyDescent="0.2">
      <c r="A30" s="4" t="s">
        <v>58</v>
      </c>
      <c r="D30" s="236" t="s">
        <v>59</v>
      </c>
      <c r="E30" s="236"/>
    </row>
    <row r="31" spans="1:256" ht="15.75" x14ac:dyDescent="0.3">
      <c r="A31" s="23"/>
      <c r="B31" s="4" t="s">
        <v>60</v>
      </c>
      <c r="D31" s="236"/>
      <c r="E31" s="236"/>
      <c r="F31" s="22">
        <f>F45</f>
        <v>0</v>
      </c>
      <c r="G31" s="4" t="s">
        <v>61</v>
      </c>
    </row>
    <row r="32" spans="1:256" x14ac:dyDescent="0.2">
      <c r="A32" s="4" t="s">
        <v>62</v>
      </c>
      <c r="D32" s="86"/>
    </row>
    <row r="33" spans="1:8" x14ac:dyDescent="0.2">
      <c r="A33" s="23"/>
      <c r="B33" s="4" t="s">
        <v>60</v>
      </c>
      <c r="D33" s="107" t="s">
        <v>63</v>
      </c>
      <c r="E33" s="108"/>
      <c r="F33" s="108"/>
      <c r="G33" s="108"/>
      <c r="H33" s="87"/>
    </row>
    <row r="34" spans="1:8" x14ac:dyDescent="0.2">
      <c r="A34" s="12" t="s">
        <v>64</v>
      </c>
      <c r="B34" s="12"/>
      <c r="D34" s="216" t="s">
        <v>65</v>
      </c>
      <c r="H34" s="88"/>
    </row>
    <row r="35" spans="1:8" x14ac:dyDescent="0.2">
      <c r="A35" s="92"/>
      <c r="B35" s="12" t="s">
        <v>60</v>
      </c>
      <c r="D35" s="237" t="s">
        <v>66</v>
      </c>
      <c r="E35" s="238"/>
      <c r="F35" s="65">
        <v>1</v>
      </c>
      <c r="H35" s="88"/>
    </row>
    <row r="36" spans="1:8" x14ac:dyDescent="0.2">
      <c r="A36" s="12" t="s">
        <v>67</v>
      </c>
      <c r="B36" s="12"/>
      <c r="D36" s="237" t="s">
        <v>68</v>
      </c>
      <c r="E36" s="238"/>
      <c r="F36" s="65">
        <v>0</v>
      </c>
      <c r="H36" s="88"/>
    </row>
    <row r="37" spans="1:8" x14ac:dyDescent="0.2">
      <c r="A37" s="92"/>
      <c r="B37" s="12" t="s">
        <v>60</v>
      </c>
      <c r="D37" s="237" t="s">
        <v>69</v>
      </c>
      <c r="E37" s="238"/>
      <c r="F37" s="65">
        <v>0</v>
      </c>
      <c r="H37" s="88"/>
    </row>
    <row r="38" spans="1:8" x14ac:dyDescent="0.2">
      <c r="A38" s="12" t="s">
        <v>70</v>
      </c>
      <c r="B38" s="12"/>
      <c r="D38" s="237" t="s">
        <v>71</v>
      </c>
      <c r="E38" s="238"/>
      <c r="F38" s="65">
        <v>0</v>
      </c>
      <c r="H38" s="88"/>
    </row>
    <row r="39" spans="1:8" ht="15.75" x14ac:dyDescent="0.3">
      <c r="A39" s="92"/>
      <c r="B39" s="12" t="s">
        <v>60</v>
      </c>
      <c r="D39" s="221" t="s">
        <v>72</v>
      </c>
      <c r="E39" s="222"/>
      <c r="F39" s="65"/>
      <c r="G39" s="4" t="s">
        <v>61</v>
      </c>
      <c r="H39" s="88"/>
    </row>
    <row r="40" spans="1:8" ht="15.75" x14ac:dyDescent="0.3">
      <c r="D40" s="221" t="s">
        <v>73</v>
      </c>
      <c r="E40" s="222"/>
      <c r="F40" s="5">
        <f>(F35*0+F36*'emissziós faktorok'!B14+F37*'emissziós faktorok'!B17+F38*G38)</f>
        <v>0</v>
      </c>
      <c r="G40" s="4" t="s">
        <v>61</v>
      </c>
      <c r="H40" s="88"/>
    </row>
    <row r="41" spans="1:8" x14ac:dyDescent="0.2">
      <c r="D41" s="207"/>
      <c r="E41" s="114"/>
      <c r="F41" s="4"/>
      <c r="G41" s="4"/>
      <c r="H41" s="88"/>
    </row>
    <row r="42" spans="1:8" x14ac:dyDescent="0.2">
      <c r="D42" s="221" t="s">
        <v>74</v>
      </c>
      <c r="E42" s="222"/>
      <c r="F42" s="66">
        <v>0.9</v>
      </c>
      <c r="H42" s="88"/>
    </row>
    <row r="43" spans="1:8" x14ac:dyDescent="0.2">
      <c r="D43" s="221" t="s">
        <v>75</v>
      </c>
      <c r="E43" s="222"/>
      <c r="F43" s="66">
        <v>0.1</v>
      </c>
      <c r="H43" s="88"/>
    </row>
    <row r="44" spans="1:8" ht="15" customHeight="1" x14ac:dyDescent="0.2">
      <c r="D44" s="221" t="s">
        <v>76</v>
      </c>
      <c r="E44" s="222"/>
      <c r="F44" s="66">
        <v>1</v>
      </c>
      <c r="H44" s="88"/>
    </row>
    <row r="45" spans="1:8" ht="15" customHeight="1" x14ac:dyDescent="0.3">
      <c r="D45" s="228" t="s">
        <v>77</v>
      </c>
      <c r="E45" s="229"/>
      <c r="F45" s="22">
        <f>F40*(1/F42)*(1+F43/1)*F44</f>
        <v>0</v>
      </c>
      <c r="G45" s="112" t="s">
        <v>61</v>
      </c>
      <c r="H45" s="90"/>
    </row>
    <row r="49" spans="1:256" s="10" customFormat="1" ht="29.25" customHeight="1" thickBot="1" x14ac:dyDescent="0.25">
      <c r="A49" s="230" t="s">
        <v>78</v>
      </c>
      <c r="B49" s="230"/>
      <c r="C49" s="230"/>
      <c r="E49" s="52" t="s">
        <v>22</v>
      </c>
      <c r="F49" s="52" t="s">
        <v>23</v>
      </c>
      <c r="G49" s="52"/>
      <c r="H49" s="52"/>
      <c r="I49" s="52"/>
      <c r="L49" s="52" t="s">
        <v>28</v>
      </c>
    </row>
    <row r="50" spans="1:256" s="10" customFormat="1" ht="12.75" customHeight="1" thickBot="1" x14ac:dyDescent="0.3">
      <c r="A50" s="230"/>
      <c r="B50" s="230"/>
      <c r="C50" s="230"/>
      <c r="D50" s="52" t="s">
        <v>19</v>
      </c>
      <c r="E50" s="62">
        <f>A64*'emissziós faktorok'!B14+A66*AVERAGE('emissziós faktorok'!B10:B11)</f>
        <v>0</v>
      </c>
      <c r="F50" s="55">
        <f>IF(C68&gt;0,C68*'emissziós faktorok'!B14,(A68*'emissziós faktorok'!B14))+IF(C70&gt;0,'1. ENERGIAFOGYASZTÁS'!C70*AVERAGE('emissziós faktorok'!B10:B11),(A70*AVERAGE('emissziós faktorok'!B10:B11)))</f>
        <v>2582.0373325488099</v>
      </c>
      <c r="G50" s="52" t="s">
        <v>20</v>
      </c>
      <c r="H50" s="52"/>
      <c r="I50" s="52"/>
      <c r="L50" s="55">
        <f>SUM(E50:F50)</f>
        <v>2582.0373325488099</v>
      </c>
      <c r="M50" s="52" t="s">
        <v>20</v>
      </c>
    </row>
    <row r="51" spans="1:256" x14ac:dyDescent="0.2">
      <c r="A51" s="215" t="s">
        <v>79</v>
      </c>
      <c r="B51" s="215"/>
    </row>
    <row r="52" spans="1:256" x14ac:dyDescent="0.2">
      <c r="A52" s="215" t="s">
        <v>80</v>
      </c>
      <c r="B52" s="215"/>
    </row>
    <row r="53" spans="1:256" x14ac:dyDescent="0.2">
      <c r="A53" s="103" t="s">
        <v>81</v>
      </c>
      <c r="C53" s="21"/>
    </row>
    <row r="54" spans="1:256" ht="15" customHeight="1" x14ac:dyDescent="0.2">
      <c r="A54" s="101" t="s">
        <v>82</v>
      </c>
      <c r="B54" s="101" t="s">
        <v>83</v>
      </c>
      <c r="C54" s="21"/>
    </row>
    <row r="55" spans="1:256" x14ac:dyDescent="0.2">
      <c r="A55" s="215" t="s">
        <v>84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5"/>
      <c r="BP55" s="215"/>
      <c r="BQ55" s="215"/>
      <c r="BR55" s="215"/>
      <c r="BS55" s="215"/>
      <c r="BT55" s="215"/>
      <c r="BU55" s="215"/>
      <c r="BV55" s="215"/>
      <c r="BW55" s="215"/>
      <c r="BX55" s="215"/>
      <c r="BY55" s="215"/>
      <c r="BZ55" s="215"/>
      <c r="CA55" s="215"/>
      <c r="CB55" s="215"/>
      <c r="CC55" s="215"/>
      <c r="CD55" s="215"/>
      <c r="CE55" s="215"/>
      <c r="CF55" s="215"/>
      <c r="CG55" s="215"/>
      <c r="CH55" s="215"/>
      <c r="CI55" s="215"/>
      <c r="CJ55" s="215"/>
      <c r="CK55" s="215"/>
      <c r="CL55" s="215"/>
      <c r="CM55" s="215"/>
      <c r="CN55" s="215"/>
      <c r="CO55" s="215"/>
      <c r="CP55" s="215"/>
      <c r="CQ55" s="215"/>
      <c r="CR55" s="215"/>
      <c r="CS55" s="215"/>
      <c r="CT55" s="215"/>
      <c r="CU55" s="215"/>
      <c r="CV55" s="215"/>
      <c r="CW55" s="215"/>
      <c r="CX55" s="215"/>
      <c r="CY55" s="215"/>
      <c r="CZ55" s="215"/>
      <c r="DA55" s="215"/>
      <c r="DB55" s="215"/>
      <c r="DC55" s="215"/>
      <c r="DD55" s="215"/>
      <c r="DE55" s="215"/>
      <c r="DF55" s="215"/>
      <c r="DG55" s="215"/>
      <c r="DH55" s="215"/>
      <c r="DI55" s="215"/>
      <c r="DJ55" s="215"/>
      <c r="DK55" s="215"/>
      <c r="DL55" s="215"/>
      <c r="DM55" s="215"/>
      <c r="DN55" s="215"/>
      <c r="DO55" s="215"/>
      <c r="DP55" s="215"/>
      <c r="DQ55" s="215"/>
      <c r="DR55" s="215"/>
      <c r="DS55" s="215"/>
      <c r="DT55" s="215"/>
      <c r="DU55" s="215"/>
      <c r="DV55" s="215"/>
      <c r="DW55" s="215"/>
      <c r="DX55" s="215"/>
      <c r="DY55" s="215"/>
      <c r="DZ55" s="215"/>
      <c r="EA55" s="215"/>
      <c r="EB55" s="215"/>
      <c r="EC55" s="215"/>
      <c r="ED55" s="215"/>
      <c r="EE55" s="215"/>
      <c r="EF55" s="215"/>
      <c r="EG55" s="215"/>
      <c r="EH55" s="215"/>
      <c r="EI55" s="215"/>
      <c r="EJ55" s="215"/>
      <c r="EK55" s="215"/>
      <c r="EL55" s="215"/>
      <c r="EM55" s="215"/>
      <c r="EN55" s="215"/>
      <c r="EO55" s="215"/>
      <c r="EP55" s="215"/>
      <c r="EQ55" s="215"/>
      <c r="ER55" s="215"/>
      <c r="ES55" s="215"/>
      <c r="ET55" s="215"/>
      <c r="EU55" s="215"/>
      <c r="EV55" s="215"/>
      <c r="EW55" s="215"/>
      <c r="EX55" s="215"/>
      <c r="EY55" s="215"/>
      <c r="EZ55" s="215"/>
      <c r="FA55" s="215"/>
      <c r="FB55" s="215"/>
      <c r="FC55" s="215"/>
      <c r="FD55" s="215"/>
      <c r="FE55" s="215"/>
      <c r="FF55" s="215"/>
      <c r="FG55" s="215"/>
      <c r="FH55" s="215"/>
      <c r="FI55" s="215"/>
      <c r="FJ55" s="215"/>
      <c r="FK55" s="215"/>
      <c r="FL55" s="215"/>
      <c r="FM55" s="215"/>
      <c r="FN55" s="215"/>
      <c r="FO55" s="215"/>
      <c r="FP55" s="215"/>
      <c r="FQ55" s="215"/>
      <c r="FR55" s="215"/>
      <c r="FS55" s="215"/>
      <c r="FT55" s="215"/>
      <c r="FU55" s="215"/>
      <c r="FV55" s="215"/>
      <c r="FW55" s="215"/>
      <c r="FX55" s="215"/>
      <c r="FY55" s="215"/>
      <c r="FZ55" s="215"/>
      <c r="GA55" s="215"/>
      <c r="GB55" s="215"/>
      <c r="GC55" s="215"/>
      <c r="GD55" s="215"/>
      <c r="GE55" s="215"/>
      <c r="GF55" s="215"/>
      <c r="GG55" s="215"/>
      <c r="GH55" s="215"/>
      <c r="GI55" s="215"/>
      <c r="GJ55" s="215"/>
      <c r="GK55" s="215"/>
      <c r="GL55" s="215"/>
      <c r="GM55" s="215"/>
      <c r="GN55" s="215"/>
      <c r="GO55" s="215"/>
      <c r="GP55" s="215"/>
      <c r="GQ55" s="215"/>
      <c r="GR55" s="215"/>
      <c r="GS55" s="215"/>
      <c r="GT55" s="215"/>
      <c r="GU55" s="215"/>
      <c r="GV55" s="215"/>
      <c r="GW55" s="215"/>
      <c r="GX55" s="215"/>
      <c r="GY55" s="215"/>
      <c r="GZ55" s="215"/>
      <c r="HA55" s="215"/>
      <c r="HB55" s="215"/>
      <c r="HC55" s="215"/>
      <c r="HD55" s="215"/>
      <c r="HE55" s="215"/>
      <c r="HF55" s="215"/>
      <c r="HG55" s="215"/>
      <c r="HH55" s="215"/>
      <c r="HI55" s="215"/>
      <c r="HJ55" s="215"/>
      <c r="HK55" s="215"/>
      <c r="HL55" s="215"/>
      <c r="HM55" s="215"/>
      <c r="HN55" s="215"/>
      <c r="HO55" s="215"/>
      <c r="HP55" s="215"/>
      <c r="HQ55" s="215"/>
      <c r="HR55" s="215"/>
      <c r="HS55" s="215"/>
      <c r="HT55" s="215"/>
      <c r="HU55" s="215"/>
      <c r="HV55" s="215"/>
      <c r="HW55" s="215"/>
      <c r="HX55" s="215"/>
      <c r="HY55" s="215"/>
      <c r="HZ55" s="215"/>
      <c r="IA55" s="215"/>
      <c r="IB55" s="215"/>
      <c r="IC55" s="215"/>
      <c r="ID55" s="215"/>
      <c r="IE55" s="215"/>
      <c r="IF55" s="215"/>
      <c r="IG55" s="215"/>
      <c r="IH55" s="215"/>
      <c r="II55" s="215"/>
      <c r="IJ55" s="215"/>
      <c r="IK55" s="215"/>
      <c r="IL55" s="215"/>
      <c r="IM55" s="215"/>
      <c r="IN55" s="215"/>
      <c r="IO55" s="215"/>
      <c r="IP55" s="215"/>
      <c r="IQ55" s="215"/>
      <c r="IR55" s="215"/>
      <c r="IS55" s="215"/>
      <c r="IT55" s="215"/>
      <c r="IU55" s="215"/>
      <c r="IV55" s="215"/>
    </row>
    <row r="56" spans="1:256" x14ac:dyDescent="0.2">
      <c r="A56" s="101" t="s">
        <v>85</v>
      </c>
      <c r="B56" s="101" t="s">
        <v>86</v>
      </c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3"/>
      <c r="BP56" s="103"/>
      <c r="BQ56" s="103"/>
      <c r="BR56" s="103"/>
      <c r="BS56" s="103"/>
      <c r="BT56" s="103"/>
      <c r="BU56" s="103"/>
      <c r="BV56" s="103"/>
      <c r="BW56" s="103"/>
      <c r="BX56" s="103"/>
      <c r="BY56" s="103"/>
      <c r="BZ56" s="103"/>
      <c r="CA56" s="103"/>
      <c r="CB56" s="103"/>
      <c r="CC56" s="103"/>
      <c r="CD56" s="103"/>
      <c r="CE56" s="103"/>
      <c r="CF56" s="103"/>
      <c r="CG56" s="103"/>
      <c r="CH56" s="103"/>
      <c r="CI56" s="103"/>
      <c r="CJ56" s="103"/>
      <c r="CK56" s="103"/>
      <c r="CL56" s="103"/>
      <c r="CM56" s="103"/>
      <c r="CN56" s="103"/>
      <c r="CO56" s="103"/>
      <c r="CP56" s="103"/>
      <c r="CQ56" s="103"/>
      <c r="CR56" s="103"/>
      <c r="CS56" s="103"/>
      <c r="CT56" s="103"/>
      <c r="CU56" s="103"/>
      <c r="CV56" s="103"/>
      <c r="CW56" s="103"/>
      <c r="CX56" s="103"/>
      <c r="CY56" s="103"/>
      <c r="CZ56" s="103"/>
      <c r="DA56" s="103"/>
      <c r="DB56" s="103"/>
      <c r="DC56" s="103"/>
      <c r="DD56" s="103"/>
      <c r="DE56" s="103"/>
      <c r="DF56" s="103"/>
      <c r="DG56" s="103"/>
      <c r="DH56" s="103"/>
      <c r="DI56" s="103"/>
      <c r="DJ56" s="103"/>
      <c r="DK56" s="103"/>
      <c r="DL56" s="103"/>
      <c r="DM56" s="103"/>
      <c r="DN56" s="103"/>
      <c r="DO56" s="103"/>
      <c r="DP56" s="103"/>
      <c r="DQ56" s="103"/>
      <c r="DR56" s="103"/>
      <c r="DS56" s="103"/>
      <c r="DT56" s="103"/>
      <c r="DU56" s="103"/>
      <c r="DV56" s="103"/>
      <c r="DW56" s="103"/>
      <c r="DX56" s="103"/>
      <c r="DY56" s="103"/>
      <c r="DZ56" s="103"/>
      <c r="EA56" s="103"/>
      <c r="EB56" s="103"/>
      <c r="EC56" s="103"/>
      <c r="ED56" s="103"/>
      <c r="EE56" s="103"/>
      <c r="EF56" s="103"/>
      <c r="EG56" s="103"/>
      <c r="EH56" s="103"/>
      <c r="EI56" s="103"/>
      <c r="EJ56" s="103"/>
      <c r="EK56" s="103"/>
      <c r="EL56" s="103"/>
      <c r="EM56" s="103"/>
      <c r="EN56" s="103"/>
      <c r="EO56" s="103"/>
      <c r="EP56" s="103"/>
      <c r="EQ56" s="103"/>
      <c r="ER56" s="103"/>
      <c r="ES56" s="103"/>
      <c r="ET56" s="103"/>
      <c r="EU56" s="103"/>
      <c r="EV56" s="103"/>
      <c r="EW56" s="103"/>
      <c r="EX56" s="103"/>
      <c r="EY56" s="103"/>
      <c r="EZ56" s="103"/>
      <c r="FA56" s="103"/>
      <c r="FB56" s="103"/>
      <c r="FC56" s="103"/>
      <c r="FD56" s="103"/>
      <c r="FE56" s="103"/>
      <c r="FF56" s="103"/>
      <c r="FG56" s="103"/>
      <c r="FH56" s="103"/>
      <c r="FI56" s="103"/>
      <c r="FJ56" s="103"/>
      <c r="FK56" s="103"/>
      <c r="FL56" s="103"/>
      <c r="FM56" s="103"/>
      <c r="FN56" s="103"/>
      <c r="FO56" s="103"/>
      <c r="FP56" s="103"/>
      <c r="FQ56" s="103"/>
      <c r="FR56" s="103"/>
      <c r="FS56" s="103"/>
      <c r="FT56" s="103"/>
      <c r="FU56" s="103"/>
      <c r="FV56" s="103"/>
      <c r="FW56" s="103"/>
      <c r="FX56" s="103"/>
      <c r="FY56" s="103"/>
      <c r="FZ56" s="103"/>
      <c r="GA56" s="103"/>
      <c r="GB56" s="103"/>
      <c r="GC56" s="103"/>
      <c r="GD56" s="103"/>
      <c r="GE56" s="103"/>
      <c r="GF56" s="103"/>
      <c r="GG56" s="103"/>
      <c r="GH56" s="103"/>
      <c r="GI56" s="103"/>
      <c r="GJ56" s="103"/>
      <c r="GK56" s="103"/>
      <c r="GL56" s="103"/>
      <c r="GM56" s="103"/>
      <c r="GN56" s="103"/>
      <c r="GO56" s="103"/>
      <c r="GP56" s="103"/>
      <c r="GQ56" s="103"/>
      <c r="GR56" s="103"/>
      <c r="GS56" s="103"/>
      <c r="GT56" s="103"/>
      <c r="GU56" s="103"/>
      <c r="GV56" s="103"/>
      <c r="GW56" s="103"/>
      <c r="GX56" s="103"/>
      <c r="GY56" s="103"/>
      <c r="GZ56" s="103"/>
      <c r="HA56" s="103"/>
      <c r="HB56" s="103"/>
      <c r="HC56" s="103"/>
      <c r="HD56" s="103"/>
      <c r="HE56" s="103"/>
      <c r="HF56" s="103"/>
      <c r="HG56" s="103"/>
      <c r="HH56" s="103"/>
      <c r="HI56" s="103"/>
      <c r="HJ56" s="103"/>
      <c r="HK56" s="103"/>
      <c r="HL56" s="103"/>
      <c r="HM56" s="103"/>
      <c r="HN56" s="103"/>
      <c r="HO56" s="103"/>
      <c r="HP56" s="103"/>
      <c r="HQ56" s="103"/>
      <c r="HR56" s="103"/>
      <c r="HS56" s="103"/>
      <c r="HT56" s="103"/>
      <c r="HU56" s="103"/>
      <c r="HV56" s="103"/>
      <c r="HW56" s="103"/>
      <c r="HX56" s="103"/>
      <c r="HY56" s="103"/>
      <c r="HZ56" s="103"/>
      <c r="IA56" s="103"/>
      <c r="IB56" s="103"/>
      <c r="IC56" s="103"/>
      <c r="ID56" s="103"/>
      <c r="IE56" s="103"/>
      <c r="IF56" s="103"/>
      <c r="IG56" s="103"/>
      <c r="IH56" s="103"/>
      <c r="II56" s="103"/>
      <c r="IJ56" s="103"/>
      <c r="IK56" s="103"/>
      <c r="IL56" s="103"/>
      <c r="IM56" s="103"/>
      <c r="IN56" s="103"/>
      <c r="IO56" s="103"/>
      <c r="IP56" s="103"/>
      <c r="IQ56" s="103"/>
      <c r="IR56" s="103"/>
      <c r="IS56" s="103"/>
      <c r="IT56" s="103"/>
      <c r="IU56" s="103"/>
      <c r="IV56" s="103"/>
    </row>
    <row r="58" spans="1:256" x14ac:dyDescent="0.2">
      <c r="A58" s="4" t="s">
        <v>87</v>
      </c>
      <c r="E58" s="107" t="s">
        <v>88</v>
      </c>
      <c r="F58" s="108"/>
      <c r="G58" s="108"/>
      <c r="H58" s="108"/>
      <c r="I58" s="87"/>
    </row>
    <row r="59" spans="1:256" x14ac:dyDescent="0.2">
      <c r="A59" s="23"/>
      <c r="B59" s="4" t="s">
        <v>89</v>
      </c>
      <c r="E59" s="117" t="s">
        <v>90</v>
      </c>
      <c r="F59" s="115"/>
      <c r="G59" s="115" t="s">
        <v>91</v>
      </c>
      <c r="H59" s="115" t="s">
        <v>92</v>
      </c>
      <c r="I59" s="118" t="s">
        <v>93</v>
      </c>
      <c r="J59" s="115"/>
    </row>
    <row r="60" spans="1:256" x14ac:dyDescent="0.2">
      <c r="A60" s="4" t="s">
        <v>94</v>
      </c>
      <c r="E60" s="109" t="s">
        <v>95</v>
      </c>
      <c r="G60" s="4" t="s">
        <v>96</v>
      </c>
      <c r="H60" s="217">
        <v>135236</v>
      </c>
      <c r="I60" s="110" t="s">
        <v>97</v>
      </c>
      <c r="K60" s="4"/>
    </row>
    <row r="61" spans="1:256" x14ac:dyDescent="0.2">
      <c r="A61" s="23"/>
      <c r="B61" s="4" t="s">
        <v>89</v>
      </c>
      <c r="E61" s="109" t="s">
        <v>98</v>
      </c>
      <c r="G61" s="4" t="s">
        <v>99</v>
      </c>
      <c r="H61" s="217">
        <v>27152</v>
      </c>
      <c r="I61" s="110" t="s">
        <v>97</v>
      </c>
      <c r="K61" s="4"/>
    </row>
    <row r="62" spans="1:256" x14ac:dyDescent="0.2">
      <c r="E62" s="109" t="s">
        <v>100</v>
      </c>
      <c r="G62" s="4" t="s">
        <v>101</v>
      </c>
      <c r="H62" s="217">
        <v>20800</v>
      </c>
      <c r="I62" s="110" t="s">
        <v>97</v>
      </c>
      <c r="K62" s="4"/>
    </row>
    <row r="63" spans="1:256" x14ac:dyDescent="0.2">
      <c r="A63" s="4" t="s">
        <v>87</v>
      </c>
      <c r="E63" s="91"/>
      <c r="F63" s="4" t="s">
        <v>102</v>
      </c>
      <c r="G63" s="4" t="s">
        <v>103</v>
      </c>
      <c r="H63" s="217">
        <v>10</v>
      </c>
      <c r="I63" s="110" t="s">
        <v>97</v>
      </c>
      <c r="K63" s="4"/>
    </row>
    <row r="64" spans="1:256" x14ac:dyDescent="0.2">
      <c r="A64" s="5">
        <f>A59*A76</f>
        <v>0</v>
      </c>
      <c r="B64" s="4" t="s">
        <v>60</v>
      </c>
      <c r="E64" s="91"/>
      <c r="F64" s="4" t="s">
        <v>104</v>
      </c>
      <c r="G64" s="4" t="s">
        <v>105</v>
      </c>
      <c r="H64" s="217">
        <v>3000</v>
      </c>
      <c r="I64" s="110" t="s">
        <v>97</v>
      </c>
      <c r="K64" s="4"/>
    </row>
    <row r="65" spans="1:11" x14ac:dyDescent="0.2">
      <c r="A65" s="4" t="s">
        <v>94</v>
      </c>
      <c r="E65" s="91"/>
      <c r="F65" s="4" t="s">
        <v>106</v>
      </c>
      <c r="G65" s="4" t="s">
        <v>107</v>
      </c>
      <c r="H65" s="217">
        <v>260</v>
      </c>
      <c r="I65" s="110" t="s">
        <v>97</v>
      </c>
      <c r="K65" s="4"/>
    </row>
    <row r="66" spans="1:11" x14ac:dyDescent="0.2">
      <c r="A66" s="5">
        <f>A61*A78</f>
        <v>0</v>
      </c>
      <c r="B66" s="4" t="s">
        <v>60</v>
      </c>
      <c r="E66" s="109" t="s">
        <v>108</v>
      </c>
      <c r="G66" s="4" t="s">
        <v>109</v>
      </c>
      <c r="H66" s="217">
        <v>16295</v>
      </c>
      <c r="I66" s="110" t="s">
        <v>97</v>
      </c>
      <c r="K66" s="4"/>
    </row>
    <row r="67" spans="1:11" ht="25.5" customHeight="1" x14ac:dyDescent="0.2">
      <c r="A67" s="220" t="s">
        <v>110</v>
      </c>
      <c r="B67" s="220"/>
      <c r="C67" s="220"/>
      <c r="D67" s="220"/>
      <c r="E67" s="91"/>
      <c r="F67" s="4" t="s">
        <v>102</v>
      </c>
      <c r="G67" s="4" t="s">
        <v>111</v>
      </c>
      <c r="H67" s="217">
        <v>40</v>
      </c>
      <c r="I67" s="110" t="s">
        <v>97</v>
      </c>
    </row>
    <row r="68" spans="1:11" x14ac:dyDescent="0.2">
      <c r="A68" s="5">
        <f>H70*A76</f>
        <v>262613.7167348623</v>
      </c>
      <c r="B68" s="4" t="s">
        <v>60</v>
      </c>
      <c r="C68" s="23"/>
      <c r="D68" s="4" t="s">
        <v>60</v>
      </c>
      <c r="E68" s="91"/>
      <c r="F68" s="4" t="s">
        <v>104</v>
      </c>
      <c r="G68" s="4" t="s">
        <v>112</v>
      </c>
      <c r="H68" s="217">
        <v>6500</v>
      </c>
      <c r="I68" s="110" t="s">
        <v>97</v>
      </c>
    </row>
    <row r="69" spans="1:11" ht="25.5" customHeight="1" x14ac:dyDescent="0.2">
      <c r="A69" s="220" t="s">
        <v>113</v>
      </c>
      <c r="B69" s="220"/>
      <c r="C69" s="220"/>
      <c r="D69" s="220"/>
      <c r="E69" s="91"/>
      <c r="F69" s="4" t="s">
        <v>106</v>
      </c>
      <c r="G69" s="4" t="s">
        <v>114</v>
      </c>
      <c r="H69" s="217">
        <v>740</v>
      </c>
      <c r="I69" s="110" t="s">
        <v>97</v>
      </c>
    </row>
    <row r="70" spans="1:11" x14ac:dyDescent="0.2">
      <c r="A70" s="5">
        <f>H71*A78</f>
        <v>1904.5872353515338</v>
      </c>
      <c r="B70" s="4" t="s">
        <v>60</v>
      </c>
      <c r="C70" s="23"/>
      <c r="D70" s="4" t="s">
        <v>60</v>
      </c>
      <c r="E70" s="109" t="s">
        <v>115</v>
      </c>
      <c r="H70" s="61">
        <f>((H62+(H64/2)+(H65/2)+H66+(H68/2)+(H69/2))*A72)*H61/H60</f>
        <v>47270.090851548404</v>
      </c>
      <c r="I70" s="110" t="s">
        <v>89</v>
      </c>
    </row>
    <row r="71" spans="1:11" x14ac:dyDescent="0.2">
      <c r="A71" s="4" t="s">
        <v>116</v>
      </c>
      <c r="E71" s="111" t="s">
        <v>117</v>
      </c>
      <c r="F71" s="89"/>
      <c r="G71" s="89"/>
      <c r="H71" s="61">
        <f>((H63+(H65/2)+H67+(H69/2))*A74)*H61/H60</f>
        <v>352.70133987991363</v>
      </c>
      <c r="I71" s="113" t="s">
        <v>89</v>
      </c>
    </row>
    <row r="72" spans="1:11" x14ac:dyDescent="0.2">
      <c r="A72" s="116">
        <v>5.56</v>
      </c>
      <c r="B72" s="4" t="s">
        <v>89</v>
      </c>
    </row>
    <row r="73" spans="1:11" x14ac:dyDescent="0.2">
      <c r="A73" s="4" t="s">
        <v>118</v>
      </c>
      <c r="F73" s="4"/>
    </row>
    <row r="74" spans="1:11" x14ac:dyDescent="0.2">
      <c r="A74" s="105">
        <v>3.194</v>
      </c>
      <c r="B74" s="4" t="s">
        <v>89</v>
      </c>
      <c r="F74" s="4"/>
    </row>
    <row r="75" spans="1:11" x14ac:dyDescent="0.2">
      <c r="A75" s="4" t="s">
        <v>119</v>
      </c>
    </row>
    <row r="76" spans="1:11" ht="15" customHeight="1" x14ac:dyDescent="0.2">
      <c r="A76" s="105">
        <v>5.5556000000000001</v>
      </c>
      <c r="B76" s="4" t="s">
        <v>120</v>
      </c>
    </row>
    <row r="77" spans="1:11" ht="15" customHeight="1" x14ac:dyDescent="0.2">
      <c r="A77" s="4" t="s">
        <v>121</v>
      </c>
    </row>
    <row r="78" spans="1:11" x14ac:dyDescent="0.2">
      <c r="A78" s="105">
        <v>5.4</v>
      </c>
      <c r="B78" s="4" t="s">
        <v>120</v>
      </c>
    </row>
  </sheetData>
  <sheetProtection password="FA7E" sheet="1" formatColumns="0" formatRows="0"/>
  <protectedRanges>
    <protectedRange sqref="A10:H10 A17 A21:I21 K20 A31 A33 A35 A37 A39 F35:F39 F42:F44 A53 A56 A59 A61 C68 C70 A72 A74 A76 A78 H60:H69" name="Tartomány1"/>
  </protectedRanges>
  <mergeCells count="18">
    <mergeCell ref="A8:A9"/>
    <mergeCell ref="B9:H9"/>
    <mergeCell ref="D30:E31"/>
    <mergeCell ref="D42:E42"/>
    <mergeCell ref="D35:E35"/>
    <mergeCell ref="D36:E36"/>
    <mergeCell ref="D37:E37"/>
    <mergeCell ref="D38:E38"/>
    <mergeCell ref="D39:E39"/>
    <mergeCell ref="A67:D67"/>
    <mergeCell ref="A69:D69"/>
    <mergeCell ref="D40:E40"/>
    <mergeCell ref="A19:A20"/>
    <mergeCell ref="B19:I19"/>
    <mergeCell ref="D43:E43"/>
    <mergeCell ref="D44:E44"/>
    <mergeCell ref="D45:E45"/>
    <mergeCell ref="A49:C50"/>
  </mergeCells>
  <phoneticPr fontId="51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>
    <tabColor theme="4"/>
  </sheetPr>
  <dimension ref="A1:R55"/>
  <sheetViews>
    <sheetView topLeftCell="A22" workbookViewId="0">
      <selection sqref="A1:P55"/>
    </sheetView>
  </sheetViews>
  <sheetFormatPr defaultRowHeight="12.75" x14ac:dyDescent="0.2"/>
  <cols>
    <col min="1" max="1" width="37.42578125" customWidth="1"/>
    <col min="2" max="2" width="17.140625" customWidth="1"/>
    <col min="3" max="3" width="13" customWidth="1"/>
    <col min="4" max="4" width="11" customWidth="1"/>
    <col min="5" max="5" width="5.85546875" bestFit="1" customWidth="1"/>
    <col min="6" max="6" width="5.42578125" customWidth="1"/>
    <col min="7" max="7" width="8.28515625" customWidth="1"/>
    <col min="8" max="8" width="11.140625" customWidth="1"/>
    <col min="9" max="9" width="7" bestFit="1" customWidth="1"/>
    <col min="10" max="10" width="5.5703125" customWidth="1"/>
    <col min="11" max="11" width="13.28515625" customWidth="1"/>
    <col min="12" max="12" width="10.85546875" customWidth="1"/>
    <col min="13" max="13" width="7" bestFit="1" customWidth="1"/>
    <col min="14" max="14" width="5.28515625" customWidth="1"/>
    <col min="15" max="15" width="11.140625" customWidth="1"/>
    <col min="16" max="16" width="7" bestFit="1" customWidth="1"/>
  </cols>
  <sheetData>
    <row r="1" spans="1:18" s="10" customFormat="1" ht="28.5" customHeight="1" thickBot="1" x14ac:dyDescent="0.25">
      <c r="A1" s="52" t="s">
        <v>122</v>
      </c>
      <c r="B1" s="52"/>
      <c r="C1" s="52"/>
      <c r="G1" s="53"/>
      <c r="H1" s="53"/>
      <c r="I1" s="54"/>
      <c r="K1" s="240" t="s">
        <v>123</v>
      </c>
      <c r="L1" s="57"/>
      <c r="M1" s="57"/>
      <c r="O1" s="52" t="s">
        <v>18</v>
      </c>
      <c r="Q1" s="85"/>
      <c r="R1" s="52"/>
    </row>
    <row r="2" spans="1:18" s="167" customFormat="1" ht="15" thickBot="1" x14ac:dyDescent="0.3">
      <c r="C2" s="168" t="s">
        <v>19</v>
      </c>
      <c r="D2" s="55">
        <f>D11+D35</f>
        <v>0</v>
      </c>
      <c r="E2" s="168" t="s">
        <v>20</v>
      </c>
      <c r="G2" s="169" t="s">
        <v>124</v>
      </c>
      <c r="H2" s="56">
        <f>H35+H11</f>
        <v>0</v>
      </c>
      <c r="I2" s="169" t="s">
        <v>125</v>
      </c>
      <c r="K2" s="240"/>
      <c r="L2" s="58">
        <f>L35+L11</f>
        <v>0</v>
      </c>
      <c r="M2" s="170" t="s">
        <v>125</v>
      </c>
      <c r="O2" s="55">
        <f>O11+O35</f>
        <v>0</v>
      </c>
      <c r="P2" s="168" t="s">
        <v>125</v>
      </c>
      <c r="Q2" s="168"/>
    </row>
    <row r="3" spans="1:18" customFormat="1" x14ac:dyDescent="0.2">
      <c r="G3" s="21"/>
      <c r="H3" s="50"/>
      <c r="I3" s="21"/>
      <c r="O3" s="50"/>
      <c r="P3" s="21"/>
    </row>
    <row r="4" spans="1:18" x14ac:dyDescent="0.2">
      <c r="A4" s="215" t="s">
        <v>126</v>
      </c>
      <c r="B4" s="215"/>
    </row>
    <row r="5" spans="1:18" x14ac:dyDescent="0.2">
      <c r="A5" s="215" t="s">
        <v>127</v>
      </c>
      <c r="B5" s="215"/>
    </row>
    <row r="6" spans="1:18" ht="114.75" x14ac:dyDescent="0.2">
      <c r="A6" s="261" t="s">
        <v>408</v>
      </c>
      <c r="B6" s="215"/>
    </row>
    <row r="7" spans="1:18" x14ac:dyDescent="0.2">
      <c r="A7" s="215" t="s">
        <v>128</v>
      </c>
      <c r="B7" s="215"/>
    </row>
    <row r="8" spans="1:18" ht="165.75" x14ac:dyDescent="0.2">
      <c r="A8" s="261" t="s">
        <v>409</v>
      </c>
      <c r="B8" s="215"/>
    </row>
    <row r="9" spans="1:18" ht="12" customHeight="1" x14ac:dyDescent="0.2"/>
    <row r="10" spans="1:18" s="10" customFormat="1" ht="27" customHeight="1" thickBot="1" x14ac:dyDescent="0.25">
      <c r="A10" s="239" t="s">
        <v>129</v>
      </c>
      <c r="B10" s="208"/>
      <c r="C10" s="52"/>
      <c r="G10" s="53"/>
      <c r="H10" s="53"/>
      <c r="I10" s="54"/>
      <c r="K10" s="240" t="s">
        <v>123</v>
      </c>
      <c r="L10" s="57"/>
      <c r="M10" s="57"/>
      <c r="O10" s="52" t="s">
        <v>28</v>
      </c>
    </row>
    <row r="11" spans="1:18" s="10" customFormat="1" ht="13.5" customHeight="1" thickBot="1" x14ac:dyDescent="0.3">
      <c r="A11" s="239"/>
      <c r="B11" s="208"/>
      <c r="C11" s="52" t="s">
        <v>19</v>
      </c>
      <c r="D11" s="55">
        <f>SUM(D17:D31)</f>
        <v>0</v>
      </c>
      <c r="E11" s="52" t="s">
        <v>20</v>
      </c>
      <c r="G11" s="54" t="s">
        <v>124</v>
      </c>
      <c r="H11" s="56">
        <f>SUM(H17:H31)*'emissziós faktorok'!E3</f>
        <v>0</v>
      </c>
      <c r="I11" s="54" t="s">
        <v>125</v>
      </c>
      <c r="K11" s="240"/>
      <c r="L11" s="58">
        <f>SUM(L17:L31)*'emissziós faktorok'!G3</f>
        <v>0</v>
      </c>
      <c r="M11" s="57" t="s">
        <v>125</v>
      </c>
      <c r="O11" s="55">
        <f>D11+H11+L11</f>
        <v>0</v>
      </c>
      <c r="P11" s="52" t="s">
        <v>125</v>
      </c>
    </row>
    <row r="12" spans="1:18" x14ac:dyDescent="0.2">
      <c r="A12" s="215" t="s">
        <v>130</v>
      </c>
      <c r="B12" s="86"/>
    </row>
    <row r="13" spans="1:18" x14ac:dyDescent="0.2">
      <c r="A13" s="215" t="s">
        <v>131</v>
      </c>
      <c r="B13" s="86"/>
    </row>
    <row r="15" spans="1:18" x14ac:dyDescent="0.2">
      <c r="A15" s="4" t="s">
        <v>3</v>
      </c>
      <c r="B15" s="23"/>
    </row>
    <row r="16" spans="1:18" x14ac:dyDescent="0.2">
      <c r="A16" s="4" t="s">
        <v>132</v>
      </c>
      <c r="B16" s="4" t="s">
        <v>133</v>
      </c>
      <c r="C16" s="4"/>
      <c r="D16" s="4" t="s">
        <v>134</v>
      </c>
      <c r="E16" s="4"/>
    </row>
    <row r="17" spans="1:13" ht="15.75" x14ac:dyDescent="0.3">
      <c r="A17" s="23"/>
      <c r="B17" s="23"/>
      <c r="C17" s="4"/>
      <c r="D17" s="23"/>
      <c r="E17" s="4" t="s">
        <v>135</v>
      </c>
      <c r="H17" s="23"/>
      <c r="I17" s="4" t="s">
        <v>136</v>
      </c>
      <c r="L17" s="23"/>
      <c r="M17" s="4" t="s">
        <v>137</v>
      </c>
    </row>
    <row r="18" spans="1:13" ht="15.75" x14ac:dyDescent="0.3">
      <c r="A18" s="23"/>
      <c r="B18" s="23"/>
      <c r="C18" s="4"/>
      <c r="D18" s="23"/>
      <c r="E18" s="4" t="s">
        <v>135</v>
      </c>
      <c r="H18" s="23"/>
      <c r="I18" s="4" t="s">
        <v>136</v>
      </c>
      <c r="L18" s="23"/>
      <c r="M18" s="4" t="s">
        <v>137</v>
      </c>
    </row>
    <row r="19" spans="1:13" ht="15.75" x14ac:dyDescent="0.3">
      <c r="A19" s="23"/>
      <c r="B19" s="23"/>
      <c r="C19" s="4"/>
      <c r="D19" s="23"/>
      <c r="E19" s="4" t="s">
        <v>135</v>
      </c>
      <c r="H19" s="23"/>
      <c r="I19" s="4" t="s">
        <v>136</v>
      </c>
      <c r="L19" s="23"/>
      <c r="M19" s="4" t="s">
        <v>137</v>
      </c>
    </row>
    <row r="20" spans="1:13" ht="15.75" x14ac:dyDescent="0.3">
      <c r="A20" s="23"/>
      <c r="B20" s="23"/>
      <c r="C20" s="4"/>
      <c r="D20" s="23"/>
      <c r="E20" s="4" t="s">
        <v>135</v>
      </c>
      <c r="H20" s="23"/>
      <c r="I20" s="4" t="s">
        <v>136</v>
      </c>
      <c r="L20" s="23"/>
      <c r="M20" s="4" t="s">
        <v>137</v>
      </c>
    </row>
    <row r="21" spans="1:13" ht="15.75" x14ac:dyDescent="0.3">
      <c r="A21" s="23"/>
      <c r="B21" s="23"/>
      <c r="C21" s="4"/>
      <c r="D21" s="23"/>
      <c r="E21" s="4" t="s">
        <v>135</v>
      </c>
      <c r="H21" s="23"/>
      <c r="I21" s="4" t="s">
        <v>136</v>
      </c>
      <c r="L21" s="23"/>
      <c r="M21" s="4" t="s">
        <v>137</v>
      </c>
    </row>
    <row r="22" spans="1:13" ht="15.75" x14ac:dyDescent="0.3">
      <c r="A22" s="23"/>
      <c r="B22" s="23"/>
      <c r="C22" s="4"/>
      <c r="D22" s="23"/>
      <c r="E22" s="4" t="s">
        <v>135</v>
      </c>
      <c r="H22" s="23"/>
      <c r="I22" s="4" t="s">
        <v>136</v>
      </c>
      <c r="L22" s="23"/>
      <c r="M22" s="4" t="s">
        <v>137</v>
      </c>
    </row>
    <row r="23" spans="1:13" ht="15.75" x14ac:dyDescent="0.3">
      <c r="A23" s="23"/>
      <c r="B23" s="23"/>
      <c r="C23" s="4"/>
      <c r="D23" s="23"/>
      <c r="E23" s="4" t="s">
        <v>135</v>
      </c>
      <c r="H23" s="23"/>
      <c r="I23" s="4" t="s">
        <v>136</v>
      </c>
      <c r="L23" s="23"/>
      <c r="M23" s="4" t="s">
        <v>137</v>
      </c>
    </row>
    <row r="24" spans="1:13" ht="15.75" x14ac:dyDescent="0.3">
      <c r="A24" s="23"/>
      <c r="B24" s="23"/>
      <c r="C24" s="4"/>
      <c r="D24" s="23"/>
      <c r="E24" s="4" t="s">
        <v>135</v>
      </c>
      <c r="H24" s="23"/>
      <c r="I24" s="4" t="s">
        <v>136</v>
      </c>
      <c r="L24" s="23"/>
      <c r="M24" s="4" t="s">
        <v>137</v>
      </c>
    </row>
    <row r="25" spans="1:13" ht="15.75" x14ac:dyDescent="0.3">
      <c r="A25" s="23"/>
      <c r="B25" s="23"/>
      <c r="C25" s="4"/>
      <c r="D25" s="23"/>
      <c r="E25" s="4" t="s">
        <v>135</v>
      </c>
      <c r="H25" s="23"/>
      <c r="I25" s="4" t="s">
        <v>136</v>
      </c>
      <c r="L25" s="23"/>
      <c r="M25" s="4" t="s">
        <v>137</v>
      </c>
    </row>
    <row r="26" spans="1:13" ht="15.75" x14ac:dyDescent="0.3">
      <c r="A26" s="23"/>
      <c r="B26" s="23"/>
      <c r="C26" s="4"/>
      <c r="D26" s="23"/>
      <c r="E26" s="4" t="s">
        <v>135</v>
      </c>
      <c r="H26" s="23"/>
      <c r="I26" s="4" t="s">
        <v>136</v>
      </c>
      <c r="L26" s="23"/>
      <c r="M26" s="4" t="s">
        <v>137</v>
      </c>
    </row>
    <row r="27" spans="1:13" ht="15.75" x14ac:dyDescent="0.3">
      <c r="A27" s="23"/>
      <c r="B27" s="23"/>
      <c r="C27" s="4"/>
      <c r="D27" s="23"/>
      <c r="E27" s="4" t="s">
        <v>135</v>
      </c>
      <c r="H27" s="23"/>
      <c r="I27" s="4" t="s">
        <v>136</v>
      </c>
      <c r="L27" s="23"/>
      <c r="M27" s="4" t="s">
        <v>137</v>
      </c>
    </row>
    <row r="28" spans="1:13" ht="15.75" x14ac:dyDescent="0.3">
      <c r="A28" s="23"/>
      <c r="B28" s="23"/>
      <c r="C28" s="4"/>
      <c r="D28" s="23"/>
      <c r="E28" s="4" t="s">
        <v>135</v>
      </c>
      <c r="H28" s="23"/>
      <c r="I28" s="4" t="s">
        <v>136</v>
      </c>
      <c r="L28" s="23"/>
      <c r="M28" s="4" t="s">
        <v>137</v>
      </c>
    </row>
    <row r="29" spans="1:13" ht="15.75" x14ac:dyDescent="0.3">
      <c r="A29" s="23"/>
      <c r="B29" s="23"/>
      <c r="C29" s="4"/>
      <c r="D29" s="23"/>
      <c r="E29" s="4" t="s">
        <v>135</v>
      </c>
      <c r="H29" s="23"/>
      <c r="I29" s="4" t="s">
        <v>136</v>
      </c>
      <c r="L29" s="23"/>
      <c r="M29" s="4" t="s">
        <v>137</v>
      </c>
    </row>
    <row r="30" spans="1:13" ht="15.75" x14ac:dyDescent="0.3">
      <c r="A30" s="23"/>
      <c r="B30" s="23"/>
      <c r="C30" s="4"/>
      <c r="D30" s="23"/>
      <c r="E30" s="4" t="s">
        <v>135</v>
      </c>
      <c r="H30" s="23"/>
      <c r="I30" s="4" t="s">
        <v>136</v>
      </c>
      <c r="L30" s="23"/>
      <c r="M30" s="4" t="s">
        <v>137</v>
      </c>
    </row>
    <row r="31" spans="1:13" ht="15.75" x14ac:dyDescent="0.3">
      <c r="A31" s="23"/>
      <c r="B31" s="23"/>
      <c r="C31" s="4"/>
      <c r="D31" s="23"/>
      <c r="E31" s="4" t="s">
        <v>135</v>
      </c>
      <c r="H31" s="23"/>
      <c r="I31" s="4" t="s">
        <v>136</v>
      </c>
      <c r="L31" s="23"/>
      <c r="M31" s="4" t="s">
        <v>137</v>
      </c>
    </row>
    <row r="34" spans="1:16" s="10" customFormat="1" ht="29.25" customHeight="1" thickBot="1" x14ac:dyDescent="0.25">
      <c r="A34" s="239" t="s">
        <v>138</v>
      </c>
      <c r="B34" s="208"/>
      <c r="C34" s="52"/>
      <c r="G34" s="53"/>
      <c r="H34" s="53"/>
      <c r="I34" s="54"/>
      <c r="K34" s="240" t="s">
        <v>123</v>
      </c>
      <c r="L34" s="57"/>
      <c r="M34" s="57"/>
      <c r="O34" s="52" t="s">
        <v>28</v>
      </c>
    </row>
    <row r="35" spans="1:16" s="10" customFormat="1" ht="12.75" customHeight="1" thickBot="1" x14ac:dyDescent="0.3">
      <c r="A35" s="239"/>
      <c r="B35" s="208"/>
      <c r="C35" s="52" t="s">
        <v>19</v>
      </c>
      <c r="D35" s="55">
        <f>SUM(D41:D55)</f>
        <v>0</v>
      </c>
      <c r="E35" s="52" t="s">
        <v>20</v>
      </c>
      <c r="G35" s="54" t="s">
        <v>124</v>
      </c>
      <c r="H35" s="56">
        <f>SUM(H41:H55)*'emissziós faktorok'!E3</f>
        <v>0</v>
      </c>
      <c r="I35" s="54" t="s">
        <v>125</v>
      </c>
      <c r="K35" s="240"/>
      <c r="L35" s="58">
        <f>SUM(L41:L55)*'emissziós faktorok'!G3</f>
        <v>0</v>
      </c>
      <c r="M35" s="57" t="s">
        <v>125</v>
      </c>
      <c r="O35" s="55">
        <f>D35+H35+L35</f>
        <v>0</v>
      </c>
      <c r="P35" s="52" t="s">
        <v>125</v>
      </c>
    </row>
    <row r="36" spans="1:16" x14ac:dyDescent="0.2">
      <c r="A36" s="215" t="s">
        <v>139</v>
      </c>
    </row>
    <row r="37" spans="1:16" x14ac:dyDescent="0.2">
      <c r="A37" s="215" t="s">
        <v>140</v>
      </c>
    </row>
    <row r="39" spans="1:16" x14ac:dyDescent="0.2">
      <c r="A39" s="4" t="s">
        <v>3</v>
      </c>
      <c r="B39" s="23"/>
    </row>
    <row r="40" spans="1:16" x14ac:dyDescent="0.2">
      <c r="A40" s="4" t="s">
        <v>132</v>
      </c>
      <c r="B40" s="4" t="s">
        <v>133</v>
      </c>
    </row>
    <row r="41" spans="1:16" ht="15.75" x14ac:dyDescent="0.3">
      <c r="A41" s="23"/>
      <c r="B41" s="23"/>
      <c r="D41" s="23"/>
      <c r="E41" s="4" t="s">
        <v>135</v>
      </c>
      <c r="H41" s="23"/>
      <c r="I41" s="4" t="s">
        <v>136</v>
      </c>
      <c r="L41" s="23"/>
      <c r="M41" s="4" t="s">
        <v>137</v>
      </c>
    </row>
    <row r="42" spans="1:16" ht="15.75" x14ac:dyDescent="0.3">
      <c r="A42" s="23"/>
      <c r="B42" s="23"/>
      <c r="D42" s="23"/>
      <c r="E42" s="4" t="s">
        <v>135</v>
      </c>
      <c r="H42" s="23"/>
      <c r="I42" s="4" t="s">
        <v>136</v>
      </c>
      <c r="L42" s="23"/>
      <c r="M42" s="4" t="s">
        <v>137</v>
      </c>
    </row>
    <row r="43" spans="1:16" ht="15.75" x14ac:dyDescent="0.3">
      <c r="A43" s="23"/>
      <c r="B43" s="23"/>
      <c r="D43" s="23"/>
      <c r="E43" s="4" t="s">
        <v>135</v>
      </c>
      <c r="H43" s="23"/>
      <c r="I43" s="4" t="s">
        <v>136</v>
      </c>
      <c r="L43" s="23"/>
      <c r="M43" s="4" t="s">
        <v>137</v>
      </c>
    </row>
    <row r="44" spans="1:16" ht="15.75" x14ac:dyDescent="0.3">
      <c r="A44" s="23"/>
      <c r="B44" s="23"/>
      <c r="D44" s="23"/>
      <c r="E44" s="4" t="s">
        <v>135</v>
      </c>
      <c r="H44" s="23"/>
      <c r="I44" s="4" t="s">
        <v>136</v>
      </c>
      <c r="L44" s="23"/>
      <c r="M44" s="4" t="s">
        <v>137</v>
      </c>
    </row>
    <row r="45" spans="1:16" ht="15.75" x14ac:dyDescent="0.3">
      <c r="A45" s="23"/>
      <c r="B45" s="23"/>
      <c r="D45" s="23"/>
      <c r="E45" s="4" t="s">
        <v>135</v>
      </c>
      <c r="H45" s="23"/>
      <c r="I45" s="4" t="s">
        <v>136</v>
      </c>
      <c r="L45" s="23"/>
      <c r="M45" s="4" t="s">
        <v>137</v>
      </c>
    </row>
    <row r="46" spans="1:16" ht="15.75" x14ac:dyDescent="0.3">
      <c r="A46" s="23"/>
      <c r="B46" s="23"/>
      <c r="D46" s="23"/>
      <c r="E46" s="4" t="s">
        <v>135</v>
      </c>
      <c r="H46" s="23"/>
      <c r="I46" s="4" t="s">
        <v>136</v>
      </c>
      <c r="L46" s="23"/>
      <c r="M46" s="4" t="s">
        <v>137</v>
      </c>
    </row>
    <row r="47" spans="1:16" ht="15.75" x14ac:dyDescent="0.3">
      <c r="A47" s="23"/>
      <c r="B47" s="23"/>
      <c r="D47" s="23"/>
      <c r="E47" s="4" t="s">
        <v>135</v>
      </c>
      <c r="H47" s="23"/>
      <c r="I47" s="4" t="s">
        <v>136</v>
      </c>
      <c r="L47" s="23"/>
      <c r="M47" s="4" t="s">
        <v>137</v>
      </c>
    </row>
    <row r="48" spans="1:16" ht="15.75" x14ac:dyDescent="0.3">
      <c r="A48" s="23"/>
      <c r="B48" s="23"/>
      <c r="D48" s="23"/>
      <c r="E48" s="4" t="s">
        <v>135</v>
      </c>
      <c r="H48" s="23"/>
      <c r="I48" s="4" t="s">
        <v>136</v>
      </c>
      <c r="L48" s="23"/>
      <c r="M48" s="4" t="s">
        <v>137</v>
      </c>
    </row>
    <row r="49" spans="1:13" ht="15.75" x14ac:dyDescent="0.3">
      <c r="A49" s="23"/>
      <c r="B49" s="23"/>
      <c r="D49" s="23"/>
      <c r="E49" s="4" t="s">
        <v>135</v>
      </c>
      <c r="H49" s="23"/>
      <c r="I49" s="4" t="s">
        <v>136</v>
      </c>
      <c r="L49" s="23"/>
      <c r="M49" s="4" t="s">
        <v>137</v>
      </c>
    </row>
    <row r="50" spans="1:13" ht="15.75" x14ac:dyDescent="0.3">
      <c r="A50" s="23"/>
      <c r="B50" s="23"/>
      <c r="D50" s="23"/>
      <c r="E50" s="4" t="s">
        <v>135</v>
      </c>
      <c r="H50" s="23"/>
      <c r="I50" s="4" t="s">
        <v>136</v>
      </c>
      <c r="L50" s="23"/>
      <c r="M50" s="4" t="s">
        <v>137</v>
      </c>
    </row>
    <row r="51" spans="1:13" ht="15.75" x14ac:dyDescent="0.3">
      <c r="A51" s="23"/>
      <c r="B51" s="23"/>
      <c r="D51" s="23"/>
      <c r="E51" s="4" t="s">
        <v>135</v>
      </c>
      <c r="H51" s="23"/>
      <c r="I51" s="4" t="s">
        <v>136</v>
      </c>
      <c r="L51" s="23"/>
      <c r="M51" s="4" t="s">
        <v>137</v>
      </c>
    </row>
    <row r="52" spans="1:13" ht="15.75" x14ac:dyDescent="0.3">
      <c r="A52" s="23"/>
      <c r="B52" s="23"/>
      <c r="D52" s="23"/>
      <c r="E52" s="4" t="s">
        <v>135</v>
      </c>
      <c r="H52" s="23"/>
      <c r="I52" s="4" t="s">
        <v>136</v>
      </c>
      <c r="L52" s="23"/>
      <c r="M52" s="4" t="s">
        <v>137</v>
      </c>
    </row>
    <row r="53" spans="1:13" ht="15.75" x14ac:dyDescent="0.3">
      <c r="A53" s="23"/>
      <c r="B53" s="23"/>
      <c r="D53" s="23"/>
      <c r="E53" s="4" t="s">
        <v>135</v>
      </c>
      <c r="H53" s="23"/>
      <c r="I53" s="4" t="s">
        <v>136</v>
      </c>
      <c r="L53" s="23"/>
      <c r="M53" s="4" t="s">
        <v>137</v>
      </c>
    </row>
    <row r="54" spans="1:13" ht="15.75" x14ac:dyDescent="0.3">
      <c r="A54" s="23"/>
      <c r="B54" s="23"/>
      <c r="D54" s="23"/>
      <c r="E54" s="4" t="s">
        <v>135</v>
      </c>
      <c r="H54" s="23"/>
      <c r="I54" s="4" t="s">
        <v>136</v>
      </c>
      <c r="L54" s="23"/>
      <c r="M54" s="4" t="s">
        <v>137</v>
      </c>
    </row>
    <row r="55" spans="1:13" ht="15.75" x14ac:dyDescent="0.3">
      <c r="A55" s="23"/>
      <c r="B55" s="23"/>
      <c r="D55" s="23"/>
      <c r="E55" s="4" t="s">
        <v>135</v>
      </c>
      <c r="H55" s="23"/>
      <c r="I55" s="4" t="s">
        <v>136</v>
      </c>
      <c r="L55" s="23"/>
      <c r="M55" s="4" t="s">
        <v>137</v>
      </c>
    </row>
  </sheetData>
  <sheetProtection password="FA7E" sheet="1" formatColumns="0" formatRows="0"/>
  <protectedRanges>
    <protectedRange sqref="A6 A8 B15 A17:B31 D17:D31 H17:H31 L17:L31 B39 A41:B55 D41:D55 H41:H55 L41:L55" name="Tartomány1"/>
  </protectedRanges>
  <mergeCells count="5">
    <mergeCell ref="A34:A35"/>
    <mergeCell ref="K34:K35"/>
    <mergeCell ref="K1:K2"/>
    <mergeCell ref="A10:A11"/>
    <mergeCell ref="K10:K11"/>
  </mergeCells>
  <phoneticPr fontId="51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>
    <tabColor theme="4"/>
  </sheetPr>
  <dimension ref="A1:AE169"/>
  <sheetViews>
    <sheetView topLeftCell="A132" zoomScale="96" zoomScaleNormal="96" workbookViewId="0">
      <selection activeCell="A87" sqref="A87:K165"/>
    </sheetView>
  </sheetViews>
  <sheetFormatPr defaultRowHeight="12.75" x14ac:dyDescent="0.2"/>
  <cols>
    <col min="1" max="1" width="63.7109375" customWidth="1"/>
    <col min="2" max="2" width="17.7109375" customWidth="1"/>
    <col min="3" max="3" width="18" bestFit="1" customWidth="1"/>
    <col min="4" max="4" width="21.85546875" customWidth="1"/>
    <col min="5" max="5" width="21.7109375" customWidth="1"/>
    <col min="6" max="6" width="17.5703125" customWidth="1"/>
    <col min="7" max="7" width="17.42578125" customWidth="1"/>
    <col min="8" max="8" width="17.5703125" bestFit="1" customWidth="1"/>
    <col min="9" max="9" width="17.28515625" bestFit="1" customWidth="1"/>
    <col min="10" max="10" width="13.7109375" customWidth="1"/>
    <col min="11" max="11" width="15.140625" customWidth="1"/>
    <col min="12" max="12" width="18.42578125" customWidth="1"/>
    <col min="13" max="13" width="19.7109375" bestFit="1" customWidth="1"/>
    <col min="14" max="14" width="13.28515625" customWidth="1"/>
    <col min="15" max="15" width="11.28515625" customWidth="1"/>
    <col min="16" max="16" width="13.42578125" bestFit="1" customWidth="1"/>
    <col min="17" max="42" width="11.7109375" bestFit="1" customWidth="1"/>
  </cols>
  <sheetData>
    <row r="1" spans="1:8" s="10" customFormat="1" ht="28.5" customHeight="1" thickBot="1" x14ac:dyDescent="0.25">
      <c r="A1" s="52" t="s">
        <v>141</v>
      </c>
      <c r="C1" s="52" t="s">
        <v>142</v>
      </c>
      <c r="D1" s="52" t="s">
        <v>143</v>
      </c>
      <c r="E1" s="52" t="s">
        <v>144</v>
      </c>
      <c r="G1" s="52" t="s">
        <v>18</v>
      </c>
    </row>
    <row r="2" spans="1:8" s="167" customFormat="1" ht="15" thickBot="1" x14ac:dyDescent="0.3">
      <c r="B2" s="168" t="s">
        <v>19</v>
      </c>
      <c r="C2" s="55">
        <f>+C6+C17+C23</f>
        <v>67690.235450509077</v>
      </c>
      <c r="D2" s="125">
        <f>+D23+D6</f>
        <v>7040.5855359113002</v>
      </c>
      <c r="E2" s="125">
        <f>+E23</f>
        <v>42260.682185482132</v>
      </c>
      <c r="F2" s="168" t="s">
        <v>20</v>
      </c>
      <c r="G2" s="55">
        <f>C2+D2+E2</f>
        <v>116991.50317190251</v>
      </c>
      <c r="H2" s="168" t="s">
        <v>20</v>
      </c>
    </row>
    <row r="4" spans="1:8" s="10" customFormat="1" ht="29.25" customHeight="1" thickBot="1" x14ac:dyDescent="0.25">
      <c r="A4" s="243" t="s">
        <v>145</v>
      </c>
      <c r="C4" s="52" t="s">
        <v>142</v>
      </c>
      <c r="D4" s="52" t="s">
        <v>143</v>
      </c>
    </row>
    <row r="5" spans="1:8" s="10" customFormat="1" ht="13.5" thickBot="1" x14ac:dyDescent="0.25">
      <c r="A5" s="243"/>
      <c r="B5" s="52" t="s">
        <v>19</v>
      </c>
      <c r="C5" s="55">
        <f>+F128+F129</f>
        <v>11004.844345725644</v>
      </c>
      <c r="E5" s="52"/>
      <c r="G5" s="52" t="s">
        <v>28</v>
      </c>
    </row>
    <row r="6" spans="1:8" s="10" customFormat="1" ht="39.75" thickBot="1" x14ac:dyDescent="0.3">
      <c r="A6" s="243"/>
      <c r="B6" s="152" t="s">
        <v>146</v>
      </c>
      <c r="C6" s="55">
        <f>+C5*B145</f>
        <v>9905.6530773511677</v>
      </c>
      <c r="D6" s="125">
        <f>+F143</f>
        <v>2023.9367557741759</v>
      </c>
      <c r="E6" s="52" t="s">
        <v>20</v>
      </c>
      <c r="G6" s="153">
        <f>+C6+D6</f>
        <v>11929.589833125343</v>
      </c>
      <c r="H6" s="52" t="s">
        <v>20</v>
      </c>
    </row>
    <row r="7" spans="1:8" x14ac:dyDescent="0.2">
      <c r="A7" s="199" t="s">
        <v>147</v>
      </c>
      <c r="B7" s="193"/>
      <c r="C7" s="50"/>
      <c r="D7" s="192"/>
      <c r="E7" s="21"/>
      <c r="G7" s="21"/>
      <c r="H7" s="21"/>
    </row>
    <row r="8" spans="1:8" x14ac:dyDescent="0.2">
      <c r="A8" s="198" t="s">
        <v>148</v>
      </c>
    </row>
    <row r="9" spans="1:8" x14ac:dyDescent="0.2">
      <c r="A9" s="198"/>
    </row>
    <row r="10" spans="1:8" x14ac:dyDescent="0.2">
      <c r="A10" s="7" t="s">
        <v>149</v>
      </c>
      <c r="B10" s="98">
        <v>0</v>
      </c>
    </row>
    <row r="11" spans="1:8" ht="42.75" customHeight="1" x14ac:dyDescent="0.2">
      <c r="A11" s="6" t="s">
        <v>150</v>
      </c>
      <c r="B11" s="98">
        <v>110959</v>
      </c>
      <c r="C11" t="s">
        <v>151</v>
      </c>
    </row>
    <row r="12" spans="1:8" x14ac:dyDescent="0.2">
      <c r="A12" s="7" t="s">
        <v>152</v>
      </c>
      <c r="B12" s="98">
        <v>18452</v>
      </c>
      <c r="C12" t="s">
        <v>153</v>
      </c>
    </row>
    <row r="13" spans="1:8" ht="33" customHeight="1" x14ac:dyDescent="0.2">
      <c r="A13" s="7" t="s">
        <v>154</v>
      </c>
      <c r="B13" s="98">
        <v>8059</v>
      </c>
      <c r="C13" t="s">
        <v>153</v>
      </c>
    </row>
    <row r="14" spans="1:8" ht="44.25" customHeight="1" x14ac:dyDescent="0.2">
      <c r="A14" s="6" t="s">
        <v>155</v>
      </c>
      <c r="B14" s="98">
        <v>2377278</v>
      </c>
      <c r="C14" t="s">
        <v>156</v>
      </c>
    </row>
    <row r="15" spans="1:8" ht="33" customHeight="1" x14ac:dyDescent="0.2">
      <c r="A15" s="7"/>
    </row>
    <row r="16" spans="1:8" s="10" customFormat="1" ht="29.25" customHeight="1" thickBot="1" x14ac:dyDescent="0.25">
      <c r="A16" s="239" t="s">
        <v>157</v>
      </c>
      <c r="C16" s="52" t="s">
        <v>142</v>
      </c>
      <c r="G16" s="52" t="s">
        <v>28</v>
      </c>
    </row>
    <row r="17" spans="1:14" s="10" customFormat="1" ht="15" thickBot="1" x14ac:dyDescent="0.3">
      <c r="A17" s="239"/>
      <c r="B17" s="52" t="s">
        <v>19</v>
      </c>
      <c r="C17" s="55">
        <f>+F131+F132</f>
        <v>580.074796865596</v>
      </c>
      <c r="D17" s="52" t="s">
        <v>20</v>
      </c>
      <c r="G17" s="55">
        <f>+C17</f>
        <v>580.074796865596</v>
      </c>
      <c r="H17" s="52" t="s">
        <v>20</v>
      </c>
    </row>
    <row r="19" spans="1:14" x14ac:dyDescent="0.2">
      <c r="A19" s="6" t="s">
        <v>158</v>
      </c>
      <c r="B19" s="98">
        <v>1</v>
      </c>
    </row>
    <row r="20" spans="1:14" ht="25.5" x14ac:dyDescent="0.2">
      <c r="A20" s="6" t="s">
        <v>159</v>
      </c>
      <c r="B20" s="98">
        <v>6986</v>
      </c>
      <c r="C20" t="s">
        <v>160</v>
      </c>
    </row>
    <row r="21" spans="1:14" x14ac:dyDescent="0.2">
      <c r="A21" s="6"/>
    </row>
    <row r="22" spans="1:14" s="10" customFormat="1" ht="29.25" customHeight="1" thickBot="1" x14ac:dyDescent="0.25">
      <c r="A22" s="242" t="s">
        <v>161</v>
      </c>
      <c r="C22" s="52" t="s">
        <v>142</v>
      </c>
      <c r="D22" s="52" t="s">
        <v>143</v>
      </c>
      <c r="E22" s="52" t="s">
        <v>144</v>
      </c>
      <c r="G22" s="52" t="s">
        <v>28</v>
      </c>
    </row>
    <row r="23" spans="1:14" s="10" customFormat="1" ht="15" thickBot="1" x14ac:dyDescent="0.3">
      <c r="A23" s="242"/>
      <c r="B23" s="52" t="s">
        <v>19</v>
      </c>
      <c r="C23" s="55">
        <f>+F135+F136</f>
        <v>57204.507576292308</v>
      </c>
      <c r="D23" s="125">
        <f>+F138</f>
        <v>5016.648780137124</v>
      </c>
      <c r="E23" s="125">
        <f>+F139</f>
        <v>42260.682185482132</v>
      </c>
      <c r="F23" s="52" t="s">
        <v>20</v>
      </c>
      <c r="G23" s="55">
        <f>C23+D23+E23</f>
        <v>104481.83854191157</v>
      </c>
      <c r="H23" s="52" t="s">
        <v>20</v>
      </c>
    </row>
    <row r="24" spans="1:14" s="194" customFormat="1" x14ac:dyDescent="0.2">
      <c r="A24" s="210" t="s">
        <v>162</v>
      </c>
      <c r="B24" s="197"/>
      <c r="C24" s="196"/>
      <c r="D24" s="200"/>
      <c r="E24" s="200"/>
      <c r="F24" s="197"/>
      <c r="G24" s="196"/>
      <c r="H24" s="197"/>
    </row>
    <row r="25" spans="1:14" s="194" customFormat="1" x14ac:dyDescent="0.2">
      <c r="A25" s="201" t="s">
        <v>163</v>
      </c>
      <c r="B25" s="197"/>
      <c r="C25" s="196"/>
      <c r="D25" s="200"/>
      <c r="E25" s="200"/>
      <c r="F25" s="197"/>
      <c r="G25" s="196"/>
      <c r="H25" s="197"/>
    </row>
    <row r="26" spans="1:14" s="194" customFormat="1" ht="17.25" customHeight="1" x14ac:dyDescent="0.2">
      <c r="A26" s="244" t="s">
        <v>164</v>
      </c>
      <c r="B26" s="244"/>
      <c r="C26" s="244"/>
      <c r="D26" s="200"/>
      <c r="E26" s="200"/>
      <c r="F26" s="197"/>
      <c r="G26" s="196"/>
      <c r="H26" s="197"/>
    </row>
    <row r="27" spans="1:14" s="194" customFormat="1" x14ac:dyDescent="0.2">
      <c r="A27" s="198" t="s">
        <v>165</v>
      </c>
      <c r="D27" s="197"/>
      <c r="E27" s="196"/>
      <c r="F27" s="197"/>
      <c r="I27" s="202"/>
      <c r="J27" s="197"/>
    </row>
    <row r="28" spans="1:14" s="194" customFormat="1" x14ac:dyDescent="0.2">
      <c r="A28" s="198"/>
      <c r="D28" s="197"/>
      <c r="E28" s="196"/>
      <c r="F28" s="197"/>
      <c r="I28" s="202"/>
      <c r="J28" s="197"/>
    </row>
    <row r="29" spans="1:14" x14ac:dyDescent="0.2">
      <c r="A29" s="21" t="s">
        <v>166</v>
      </c>
    </row>
    <row r="30" spans="1:14" x14ac:dyDescent="0.2">
      <c r="A30" s="121" t="s">
        <v>167</v>
      </c>
      <c r="B30" s="121" t="s">
        <v>168</v>
      </c>
      <c r="C30" s="121" t="s">
        <v>169</v>
      </c>
      <c r="D30" s="122" t="s">
        <v>170</v>
      </c>
      <c r="E30" s="5" t="s">
        <v>171</v>
      </c>
      <c r="F30" s="5" t="s">
        <v>172</v>
      </c>
      <c r="G30" s="5" t="s">
        <v>173</v>
      </c>
      <c r="H30" s="5" t="s">
        <v>174</v>
      </c>
      <c r="I30" s="5" t="s">
        <v>175</v>
      </c>
      <c r="J30" s="5" t="s">
        <v>176</v>
      </c>
      <c r="K30" s="5" t="s">
        <v>177</v>
      </c>
      <c r="L30" s="5" t="s">
        <v>178</v>
      </c>
      <c r="M30" s="5" t="s">
        <v>179</v>
      </c>
      <c r="N30" s="5" t="s">
        <v>180</v>
      </c>
    </row>
    <row r="31" spans="1:14" x14ac:dyDescent="0.2">
      <c r="A31" s="98">
        <v>8</v>
      </c>
      <c r="B31" s="98">
        <v>31.562999999999999</v>
      </c>
      <c r="C31" s="98">
        <v>44.110999999999997</v>
      </c>
      <c r="D31" s="98">
        <v>18733.120000000003</v>
      </c>
      <c r="E31" s="98">
        <v>2497.6000000000004</v>
      </c>
      <c r="F31" s="98">
        <v>256.48</v>
      </c>
      <c r="G31" s="98">
        <v>2.2400000000000002</v>
      </c>
      <c r="H31" s="98">
        <v>328.16</v>
      </c>
      <c r="I31" s="98">
        <v>166.88000000000002</v>
      </c>
      <c r="J31" s="98">
        <v>198.24</v>
      </c>
      <c r="K31" s="98">
        <v>1145.7600000000002</v>
      </c>
      <c r="L31" s="98">
        <v>1.1200000000000001</v>
      </c>
      <c r="M31" s="98">
        <v>0</v>
      </c>
      <c r="N31" s="98">
        <v>147.84</v>
      </c>
    </row>
    <row r="32" spans="1:14" x14ac:dyDescent="0.2">
      <c r="A32" s="98">
        <v>8</v>
      </c>
      <c r="B32" s="98">
        <v>44.110999999999997</v>
      </c>
      <c r="C32" s="98">
        <v>48.359000000000002</v>
      </c>
      <c r="D32" s="98">
        <v>19229.280000000002</v>
      </c>
      <c r="E32" s="98">
        <v>4331.04</v>
      </c>
      <c r="F32" s="98">
        <v>650.72</v>
      </c>
      <c r="G32" s="98">
        <v>33.6</v>
      </c>
      <c r="H32" s="98">
        <v>349.44000000000005</v>
      </c>
      <c r="I32" s="98">
        <v>247.52</v>
      </c>
      <c r="J32" s="98">
        <v>155.68</v>
      </c>
      <c r="K32" s="98">
        <v>721.28000000000009</v>
      </c>
      <c r="L32" s="98">
        <v>0</v>
      </c>
      <c r="M32" s="98">
        <v>8.9600000000000009</v>
      </c>
      <c r="N32" s="98">
        <v>79.52000000000001</v>
      </c>
    </row>
    <row r="33" spans="1:14" x14ac:dyDescent="0.2">
      <c r="A33" s="98">
        <v>8</v>
      </c>
      <c r="B33" s="98">
        <v>48.359000000000002</v>
      </c>
      <c r="C33" s="98">
        <v>53.32</v>
      </c>
      <c r="D33" s="98">
        <v>15649.760000000002</v>
      </c>
      <c r="E33" s="98">
        <v>2598.4</v>
      </c>
      <c r="F33" s="98">
        <v>64.960000000000008</v>
      </c>
      <c r="G33" s="98">
        <v>0</v>
      </c>
      <c r="H33" s="98">
        <v>211.68</v>
      </c>
      <c r="I33" s="98">
        <v>194.88000000000002</v>
      </c>
      <c r="J33" s="98">
        <v>108.64000000000001</v>
      </c>
      <c r="K33" s="98">
        <v>488.32000000000005</v>
      </c>
      <c r="L33" s="98">
        <v>0</v>
      </c>
      <c r="M33" s="98">
        <v>7.8400000000000007</v>
      </c>
      <c r="N33" s="98">
        <v>258.72000000000003</v>
      </c>
    </row>
    <row r="34" spans="1:14" x14ac:dyDescent="0.2">
      <c r="A34" s="98">
        <v>8</v>
      </c>
      <c r="B34" s="98">
        <v>53.32</v>
      </c>
      <c r="C34" s="98">
        <v>57.183999999999997</v>
      </c>
      <c r="D34" s="98">
        <v>7294.56</v>
      </c>
      <c r="E34" s="98">
        <v>2100</v>
      </c>
      <c r="F34" s="98">
        <v>28.000000000000004</v>
      </c>
      <c r="G34" s="98">
        <v>1.1200000000000001</v>
      </c>
      <c r="H34" s="98">
        <v>224.00000000000003</v>
      </c>
      <c r="I34" s="98">
        <v>119.84000000000002</v>
      </c>
      <c r="J34" s="98">
        <v>99.68</v>
      </c>
      <c r="K34" s="98">
        <v>644.00000000000011</v>
      </c>
      <c r="L34" s="98">
        <v>1.1200000000000001</v>
      </c>
      <c r="M34" s="98">
        <v>2.2400000000000002</v>
      </c>
      <c r="N34" s="98">
        <v>13.440000000000001</v>
      </c>
    </row>
    <row r="35" spans="1:14" x14ac:dyDescent="0.2">
      <c r="A35" s="98">
        <v>8</v>
      </c>
      <c r="B35" s="98">
        <v>57.183999999999997</v>
      </c>
      <c r="C35" s="98">
        <v>60.098999999999997</v>
      </c>
      <c r="D35" s="98">
        <v>16604</v>
      </c>
      <c r="E35" s="98">
        <v>2760.8</v>
      </c>
      <c r="F35" s="98">
        <v>249.76000000000002</v>
      </c>
      <c r="G35" s="98">
        <v>2.2400000000000002</v>
      </c>
      <c r="H35" s="98">
        <v>349.44000000000005</v>
      </c>
      <c r="I35" s="98">
        <v>96.320000000000007</v>
      </c>
      <c r="J35" s="98">
        <v>172.48000000000002</v>
      </c>
      <c r="K35" s="98">
        <v>823.2</v>
      </c>
      <c r="L35" s="98">
        <v>5.6000000000000005</v>
      </c>
      <c r="M35" s="98">
        <v>6.7200000000000006</v>
      </c>
      <c r="N35" s="98">
        <v>192.64000000000001</v>
      </c>
    </row>
    <row r="36" spans="1:14" x14ac:dyDescent="0.2">
      <c r="A36" s="98">
        <v>73</v>
      </c>
      <c r="B36" s="98">
        <v>10.932</v>
      </c>
      <c r="C36" s="98">
        <v>13.35</v>
      </c>
      <c r="D36" s="98">
        <v>18299.68</v>
      </c>
      <c r="E36" s="98">
        <v>2533.44</v>
      </c>
      <c r="F36" s="98">
        <v>336.00000000000006</v>
      </c>
      <c r="G36" s="98">
        <v>4.4800000000000004</v>
      </c>
      <c r="H36" s="98">
        <v>67.2</v>
      </c>
      <c r="I36" s="98">
        <v>199.36</v>
      </c>
      <c r="J36" s="98">
        <v>22.400000000000002</v>
      </c>
      <c r="K36" s="98">
        <v>285.60000000000002</v>
      </c>
      <c r="L36" s="98">
        <v>0</v>
      </c>
      <c r="M36" s="98">
        <v>10.080000000000002</v>
      </c>
      <c r="N36" s="98">
        <v>188.16000000000003</v>
      </c>
    </row>
    <row r="37" spans="1:14" x14ac:dyDescent="0.2">
      <c r="A37" s="98">
        <v>77</v>
      </c>
      <c r="B37" s="98">
        <v>0</v>
      </c>
      <c r="C37" s="98">
        <v>3.0910000000000002</v>
      </c>
      <c r="D37" s="98">
        <v>11060.000000000002</v>
      </c>
      <c r="E37" s="98">
        <v>999.04000000000008</v>
      </c>
      <c r="F37" s="98">
        <v>119.84000000000002</v>
      </c>
      <c r="G37" s="98">
        <v>11.200000000000001</v>
      </c>
      <c r="H37" s="98">
        <v>114.24000000000001</v>
      </c>
      <c r="I37" s="98">
        <v>185.92000000000002</v>
      </c>
      <c r="J37" s="98">
        <v>44.800000000000004</v>
      </c>
      <c r="K37" s="98">
        <v>256.48</v>
      </c>
      <c r="L37" s="98">
        <v>0</v>
      </c>
      <c r="M37" s="98">
        <v>39.200000000000003</v>
      </c>
      <c r="N37" s="98">
        <v>110.88000000000001</v>
      </c>
    </row>
    <row r="38" spans="1:14" x14ac:dyDescent="0.2">
      <c r="A38" s="98">
        <v>82</v>
      </c>
      <c r="B38" s="98">
        <v>0.05</v>
      </c>
      <c r="C38" s="98">
        <v>2.3079999999999998</v>
      </c>
      <c r="D38" s="98">
        <v>14441.28</v>
      </c>
      <c r="E38" s="98">
        <v>3148.32</v>
      </c>
      <c r="F38" s="98">
        <v>351.68</v>
      </c>
      <c r="G38" s="98">
        <v>43.680000000000007</v>
      </c>
      <c r="H38" s="98">
        <v>92.960000000000008</v>
      </c>
      <c r="I38" s="98">
        <v>166.88000000000002</v>
      </c>
      <c r="J38" s="98">
        <v>89.600000000000009</v>
      </c>
      <c r="K38" s="98">
        <v>399.84000000000003</v>
      </c>
      <c r="L38" s="98">
        <v>0</v>
      </c>
      <c r="M38" s="98">
        <v>5.6000000000000005</v>
      </c>
      <c r="N38" s="98">
        <v>189.28000000000003</v>
      </c>
    </row>
    <row r="39" spans="1:14" x14ac:dyDescent="0.2">
      <c r="A39" s="98">
        <v>82</v>
      </c>
      <c r="B39" s="98">
        <v>2.3079999999999998</v>
      </c>
      <c r="C39" s="98">
        <v>6.0389999999999997</v>
      </c>
      <c r="D39" s="98">
        <v>8225.2800000000007</v>
      </c>
      <c r="E39" s="98">
        <v>1812.16</v>
      </c>
      <c r="F39" s="98">
        <v>290.08000000000004</v>
      </c>
      <c r="G39" s="98">
        <v>7.8400000000000007</v>
      </c>
      <c r="H39" s="98">
        <v>115.36000000000001</v>
      </c>
      <c r="I39" s="98">
        <v>116.48000000000002</v>
      </c>
      <c r="J39" s="98">
        <v>60.480000000000004</v>
      </c>
      <c r="K39" s="98">
        <v>252.00000000000003</v>
      </c>
      <c r="L39" s="98">
        <v>0</v>
      </c>
      <c r="M39" s="98">
        <v>6.7200000000000006</v>
      </c>
      <c r="N39" s="98">
        <v>147.84</v>
      </c>
    </row>
    <row r="40" spans="1:14" x14ac:dyDescent="0.2">
      <c r="A40" s="98">
        <v>82</v>
      </c>
      <c r="B40" s="98">
        <v>6.0389999999999997</v>
      </c>
      <c r="C40" s="98">
        <v>18.091000000000001</v>
      </c>
      <c r="D40" s="98">
        <v>7442.4000000000005</v>
      </c>
      <c r="E40" s="98">
        <v>992.32</v>
      </c>
      <c r="F40" s="98">
        <v>156.80000000000001</v>
      </c>
      <c r="G40" s="98">
        <v>0</v>
      </c>
      <c r="H40" s="98">
        <v>41.440000000000005</v>
      </c>
      <c r="I40" s="98">
        <v>146.72000000000003</v>
      </c>
      <c r="J40" s="98">
        <v>41.440000000000005</v>
      </c>
      <c r="K40" s="98">
        <v>219.52</v>
      </c>
      <c r="L40" s="98">
        <v>0</v>
      </c>
      <c r="M40" s="98">
        <v>11.200000000000001</v>
      </c>
      <c r="N40" s="98">
        <v>106.4</v>
      </c>
    </row>
    <row r="41" spans="1:14" x14ac:dyDescent="0.2">
      <c r="A41" s="98">
        <v>830</v>
      </c>
      <c r="B41" s="98">
        <v>0</v>
      </c>
      <c r="C41" s="98">
        <v>0.28699999999999998</v>
      </c>
      <c r="D41" s="98">
        <v>9682.4000000000015</v>
      </c>
      <c r="E41" s="98">
        <v>2528.96</v>
      </c>
      <c r="F41" s="98">
        <v>282.24</v>
      </c>
      <c r="G41" s="98">
        <v>2.2400000000000002</v>
      </c>
      <c r="H41" s="98">
        <v>200.48000000000002</v>
      </c>
      <c r="I41" s="98">
        <v>265.44</v>
      </c>
      <c r="J41" s="98">
        <v>170.24</v>
      </c>
      <c r="K41" s="98">
        <v>543.20000000000005</v>
      </c>
      <c r="L41" s="98">
        <v>0</v>
      </c>
      <c r="M41" s="98">
        <v>1.1200000000000001</v>
      </c>
      <c r="N41" s="98">
        <v>174.72000000000003</v>
      </c>
    </row>
    <row r="42" spans="1:14" x14ac:dyDescent="0.2">
      <c r="A42" s="98">
        <v>830</v>
      </c>
      <c r="B42" s="98">
        <v>0.28699999999999998</v>
      </c>
      <c r="C42" s="98">
        <v>2.8290000000000002</v>
      </c>
      <c r="D42" s="98">
        <v>11729.76</v>
      </c>
      <c r="E42" s="98">
        <v>1693.44</v>
      </c>
      <c r="F42" s="98">
        <v>381.92</v>
      </c>
      <c r="G42" s="98">
        <v>24.64</v>
      </c>
      <c r="H42" s="98">
        <v>216.16000000000003</v>
      </c>
      <c r="I42" s="98">
        <v>226.24</v>
      </c>
      <c r="J42" s="98">
        <v>100.80000000000001</v>
      </c>
      <c r="K42" s="98">
        <v>618.24</v>
      </c>
      <c r="L42" s="98">
        <v>2.2400000000000002</v>
      </c>
      <c r="M42" s="98">
        <v>2.2400000000000002</v>
      </c>
      <c r="N42" s="98">
        <v>119.84000000000002</v>
      </c>
    </row>
    <row r="43" spans="1:14" x14ac:dyDescent="0.2">
      <c r="A43" s="98">
        <v>830</v>
      </c>
      <c r="B43" s="98">
        <v>2.8290000000000002</v>
      </c>
      <c r="C43" s="98">
        <v>4.1070000000000002</v>
      </c>
      <c r="D43" s="98">
        <v>15553.440000000002</v>
      </c>
      <c r="E43" s="98">
        <v>4082.4000000000005</v>
      </c>
      <c r="F43" s="98">
        <v>442.40000000000003</v>
      </c>
      <c r="G43" s="98">
        <v>63.84</v>
      </c>
      <c r="H43" s="98">
        <v>396.48</v>
      </c>
      <c r="I43" s="98">
        <v>540.96</v>
      </c>
      <c r="J43" s="98">
        <v>193.76000000000002</v>
      </c>
      <c r="K43" s="98">
        <v>700.00000000000011</v>
      </c>
      <c r="L43" s="98">
        <v>1.1200000000000001</v>
      </c>
      <c r="M43" s="98">
        <v>12.32</v>
      </c>
      <c r="N43" s="98">
        <v>194.88000000000002</v>
      </c>
    </row>
    <row r="44" spans="1:14" x14ac:dyDescent="0.2">
      <c r="A44" s="98">
        <v>830</v>
      </c>
      <c r="B44" s="98">
        <v>4.1070000000000002</v>
      </c>
      <c r="C44" s="98">
        <v>6.6429999999999998</v>
      </c>
      <c r="D44" s="98">
        <v>13260.800000000001</v>
      </c>
      <c r="E44" s="98">
        <v>2749.6000000000004</v>
      </c>
      <c r="F44" s="98">
        <v>94.080000000000013</v>
      </c>
      <c r="G44" s="98">
        <v>0</v>
      </c>
      <c r="H44" s="98">
        <v>226.24</v>
      </c>
      <c r="I44" s="98">
        <v>412.16</v>
      </c>
      <c r="J44" s="98">
        <v>175.84</v>
      </c>
      <c r="K44" s="98">
        <v>714.56000000000006</v>
      </c>
      <c r="L44" s="98">
        <v>0</v>
      </c>
      <c r="M44" s="98">
        <v>14.560000000000002</v>
      </c>
      <c r="N44" s="98">
        <v>80.640000000000015</v>
      </c>
    </row>
    <row r="45" spans="1:14" x14ac:dyDescent="0.2">
      <c r="A45" s="98">
        <v>7217</v>
      </c>
      <c r="B45" s="98">
        <v>0</v>
      </c>
      <c r="C45" s="98">
        <v>8.8140000000000001</v>
      </c>
      <c r="D45" s="98">
        <v>7602.56</v>
      </c>
      <c r="E45" s="98">
        <v>1416.8000000000002</v>
      </c>
      <c r="F45" s="98">
        <v>192.64000000000001</v>
      </c>
      <c r="G45" s="98">
        <v>0</v>
      </c>
      <c r="H45" s="98">
        <v>84.000000000000014</v>
      </c>
      <c r="I45" s="98">
        <v>156.80000000000001</v>
      </c>
      <c r="J45" s="98">
        <v>25.76</v>
      </c>
      <c r="K45" s="98">
        <v>72.800000000000011</v>
      </c>
      <c r="L45" s="98">
        <v>0</v>
      </c>
      <c r="M45" s="98">
        <v>2.2400000000000002</v>
      </c>
      <c r="N45" s="98">
        <v>3.3600000000000003</v>
      </c>
    </row>
    <row r="46" spans="1:14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</row>
    <row r="47" spans="1:14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</row>
    <row r="48" spans="1:14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1:3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</row>
    <row r="50" spans="1:3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</row>
    <row r="51" spans="1:31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</row>
    <row r="52" spans="1:31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1:31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</row>
    <row r="54" spans="1:31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</row>
    <row r="55" spans="1:31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</row>
    <row r="56" spans="1:31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</row>
    <row r="57" spans="1:31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</row>
    <row r="58" spans="1:31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</row>
    <row r="59" spans="1:31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</row>
    <row r="60" spans="1:31" x14ac:dyDescent="0.2">
      <c r="A60" s="98"/>
      <c r="B60" s="98"/>
      <c r="C60" s="98"/>
      <c r="D60" s="151"/>
      <c r="E60" s="98"/>
      <c r="F60" s="98"/>
      <c r="G60" s="98"/>
      <c r="H60" s="98"/>
      <c r="I60" s="98"/>
      <c r="J60" s="98"/>
      <c r="K60" s="98"/>
      <c r="L60" s="98"/>
      <c r="M60" s="98"/>
      <c r="N60" s="98"/>
    </row>
    <row r="63" spans="1:31" x14ac:dyDescent="0.2">
      <c r="A63" s="21" t="s">
        <v>181</v>
      </c>
    </row>
    <row r="64" spans="1:31" ht="24.75" customHeight="1" x14ac:dyDescent="0.2">
      <c r="A64" s="190" t="s">
        <v>167</v>
      </c>
      <c r="B64" s="5">
        <f>+$A31</f>
        <v>8</v>
      </c>
      <c r="C64" s="5">
        <f>+$A32</f>
        <v>8</v>
      </c>
      <c r="D64" s="5">
        <f>+$A33</f>
        <v>8</v>
      </c>
      <c r="E64" s="5">
        <f>+$A34</f>
        <v>8</v>
      </c>
      <c r="F64" s="5">
        <f>+$A35</f>
        <v>8</v>
      </c>
      <c r="G64" s="5">
        <f>+$A36</f>
        <v>73</v>
      </c>
      <c r="H64" s="5">
        <f>+$A37</f>
        <v>77</v>
      </c>
      <c r="I64" s="5">
        <f>+$A38</f>
        <v>82</v>
      </c>
      <c r="J64" s="5">
        <f>+$A39</f>
        <v>82</v>
      </c>
      <c r="K64" s="5">
        <f>+$A40</f>
        <v>82</v>
      </c>
      <c r="L64" s="5">
        <f>+$A41</f>
        <v>830</v>
      </c>
      <c r="M64" s="5">
        <f>+$A42</f>
        <v>830</v>
      </c>
      <c r="N64" s="5">
        <f>+$A43</f>
        <v>830</v>
      </c>
      <c r="O64" s="5">
        <f>+$A44</f>
        <v>830</v>
      </c>
      <c r="P64" s="5">
        <f>+$A45</f>
        <v>7217</v>
      </c>
      <c r="Q64" s="5">
        <f>+$A46</f>
        <v>0</v>
      </c>
      <c r="R64" s="5">
        <f>+$A47</f>
        <v>0</v>
      </c>
      <c r="S64" s="5">
        <f>+$A48</f>
        <v>0</v>
      </c>
      <c r="T64" s="5">
        <f>+$A49</f>
        <v>0</v>
      </c>
      <c r="U64" s="5">
        <f>+$A50</f>
        <v>0</v>
      </c>
      <c r="V64" s="5">
        <f>+$A51</f>
        <v>0</v>
      </c>
      <c r="W64" s="5">
        <f>+$A52</f>
        <v>0</v>
      </c>
      <c r="X64" s="5">
        <f>+$A53</f>
        <v>0</v>
      </c>
      <c r="Y64" s="5">
        <f>+$A54</f>
        <v>0</v>
      </c>
      <c r="Z64" s="5">
        <f>+$A55</f>
        <v>0</v>
      </c>
      <c r="AA64" s="5">
        <f>+$A56</f>
        <v>0</v>
      </c>
      <c r="AB64" s="5">
        <f>+$A57</f>
        <v>0</v>
      </c>
      <c r="AC64" s="5">
        <f>+$A58</f>
        <v>0</v>
      </c>
      <c r="AD64" s="5">
        <f>+$A59</f>
        <v>0</v>
      </c>
      <c r="AE64" s="5">
        <f>+$A60</f>
        <v>0</v>
      </c>
    </row>
    <row r="65" spans="1:31" x14ac:dyDescent="0.2">
      <c r="A65" s="190" t="s">
        <v>182</v>
      </c>
      <c r="B65" s="5">
        <f>+$C31-$B31</f>
        <v>12.547999999999998</v>
      </c>
      <c r="C65" s="5">
        <f>+$C32-$B32</f>
        <v>4.2480000000000047</v>
      </c>
      <c r="D65" s="5">
        <f>+$C33-$B33</f>
        <v>4.9609999999999985</v>
      </c>
      <c r="E65" s="5">
        <f>+$C34-$B34</f>
        <v>3.8639999999999972</v>
      </c>
      <c r="F65" s="5">
        <f>+$C35-$B35</f>
        <v>2.9149999999999991</v>
      </c>
      <c r="G65" s="5">
        <f>+$C36-$B36</f>
        <v>2.4179999999999993</v>
      </c>
      <c r="H65" s="5">
        <f>+$C37-$B37</f>
        <v>3.0910000000000002</v>
      </c>
      <c r="I65" s="5">
        <f>+$C38-$B38</f>
        <v>2.258</v>
      </c>
      <c r="J65" s="5">
        <f>+$C39-$B39</f>
        <v>3.7309999999999999</v>
      </c>
      <c r="K65" s="5">
        <f>+$C40-$B40</f>
        <v>12.052000000000001</v>
      </c>
      <c r="L65" s="5">
        <f>+$C41-$B41</f>
        <v>0.28699999999999998</v>
      </c>
      <c r="M65" s="5">
        <f>+$C42-$B42</f>
        <v>2.5420000000000003</v>
      </c>
      <c r="N65" s="5">
        <f>+$C43-$B43</f>
        <v>1.278</v>
      </c>
      <c r="O65" s="5">
        <f>+$C44-$B44</f>
        <v>2.5359999999999996</v>
      </c>
      <c r="P65" s="5">
        <f>+$C45-$B45</f>
        <v>8.8140000000000001</v>
      </c>
      <c r="Q65" s="5">
        <f>+$C46-$B46</f>
        <v>0</v>
      </c>
      <c r="R65" s="5">
        <f>+$C47-$B47</f>
        <v>0</v>
      </c>
      <c r="S65" s="5">
        <f>+$C48-$B48</f>
        <v>0</v>
      </c>
      <c r="T65" s="5">
        <f>+$C49-$B49</f>
        <v>0</v>
      </c>
      <c r="U65" s="5">
        <f>+$C50-$B50</f>
        <v>0</v>
      </c>
      <c r="V65" s="5">
        <f>+$C51-$B51</f>
        <v>0</v>
      </c>
      <c r="W65" s="5">
        <f>+$C52-$B52</f>
        <v>0</v>
      </c>
      <c r="X65" s="5">
        <f>+$C53-$B53</f>
        <v>0</v>
      </c>
      <c r="Y65" s="5">
        <f>+$C54-$B54</f>
        <v>0</v>
      </c>
      <c r="Z65" s="5">
        <f>+$C55-$B55</f>
        <v>0</v>
      </c>
      <c r="AA65" s="5">
        <f>+$C56-$B56</f>
        <v>0</v>
      </c>
      <c r="AB65" s="5">
        <f>+$C57-$B57</f>
        <v>0</v>
      </c>
      <c r="AC65" s="5">
        <f>+$C58-$B58</f>
        <v>0</v>
      </c>
      <c r="AD65" s="5">
        <f>+$C59-$B59</f>
        <v>0</v>
      </c>
      <c r="AE65" s="5">
        <f>+$C60-$B60</f>
        <v>0</v>
      </c>
    </row>
    <row r="67" spans="1:31" x14ac:dyDescent="0.2">
      <c r="A67" s="21" t="s">
        <v>183</v>
      </c>
    </row>
    <row r="68" spans="1:31" x14ac:dyDescent="0.2">
      <c r="A68" s="194" t="s">
        <v>184</v>
      </c>
    </row>
    <row r="69" spans="1:31" x14ac:dyDescent="0.2">
      <c r="A69" s="198" t="s">
        <v>163</v>
      </c>
    </row>
    <row r="70" spans="1:31" x14ac:dyDescent="0.2">
      <c r="A70" s="194" t="s">
        <v>185</v>
      </c>
    </row>
    <row r="71" spans="1:31" x14ac:dyDescent="0.2">
      <c r="A71" s="198" t="s">
        <v>186</v>
      </c>
    </row>
    <row r="72" spans="1:31" x14ac:dyDescent="0.2">
      <c r="A72" s="198"/>
    </row>
    <row r="73" spans="1:31" x14ac:dyDescent="0.2">
      <c r="A73" s="121" t="s">
        <v>187</v>
      </c>
      <c r="B73" s="206">
        <v>8</v>
      </c>
      <c r="C73" s="206">
        <v>830</v>
      </c>
      <c r="D73" s="206">
        <v>82</v>
      </c>
      <c r="E73" s="206"/>
      <c r="F73" s="206"/>
      <c r="G73" s="206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6"/>
      <c r="V73" s="206"/>
      <c r="W73" s="206"/>
      <c r="X73" s="206"/>
      <c r="Y73" s="206"/>
      <c r="Z73" s="206"/>
      <c r="AA73" s="206"/>
      <c r="AB73" s="206"/>
      <c r="AC73" s="206"/>
      <c r="AD73" s="206"/>
      <c r="AE73" s="206"/>
    </row>
    <row r="74" spans="1:31" x14ac:dyDescent="0.2">
      <c r="A74" s="121" t="s">
        <v>188</v>
      </c>
      <c r="B74" s="206">
        <v>5</v>
      </c>
      <c r="C74" s="206">
        <v>6</v>
      </c>
      <c r="D74" s="206">
        <v>6</v>
      </c>
      <c r="E74" s="206"/>
      <c r="F74" s="206"/>
      <c r="G74" s="206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</row>
    <row r="75" spans="1:31" ht="13.5" thickBot="1" x14ac:dyDescent="0.25">
      <c r="A75" s="191"/>
    </row>
    <row r="76" spans="1:31" ht="13.5" thickBot="1" x14ac:dyDescent="0.25">
      <c r="A76" t="s">
        <v>189</v>
      </c>
      <c r="B76" s="123">
        <f>SUM(B65:AE65)</f>
        <v>67.543000000000006</v>
      </c>
      <c r="C76" t="s">
        <v>190</v>
      </c>
    </row>
    <row r="77" spans="1:31" x14ac:dyDescent="0.2">
      <c r="A77" s="4" t="s">
        <v>191</v>
      </c>
      <c r="B77" s="98">
        <v>170.2</v>
      </c>
      <c r="C77" t="s">
        <v>190</v>
      </c>
    </row>
    <row r="78" spans="1:31" x14ac:dyDescent="0.2">
      <c r="A78" s="4" t="s">
        <v>192</v>
      </c>
      <c r="B78" s="121">
        <f>SUM(B74:AE74)</f>
        <v>17</v>
      </c>
      <c r="C78" t="s">
        <v>190</v>
      </c>
    </row>
    <row r="80" spans="1:31" ht="26.25" x14ac:dyDescent="0.25">
      <c r="A80" s="7" t="s">
        <v>193</v>
      </c>
      <c r="B80" s="98">
        <v>106981</v>
      </c>
      <c r="C80" t="s">
        <v>153</v>
      </c>
      <c r="F80" s="119"/>
    </row>
    <row r="81" spans="1:12" ht="26.25" x14ac:dyDescent="0.25">
      <c r="A81" s="7" t="s">
        <v>194</v>
      </c>
      <c r="B81" s="98">
        <v>54936</v>
      </c>
      <c r="C81" t="s">
        <v>153</v>
      </c>
      <c r="E81" s="119"/>
    </row>
    <row r="82" spans="1:12" ht="15" x14ac:dyDescent="0.25">
      <c r="A82" s="7"/>
      <c r="E82" s="119"/>
    </row>
    <row r="83" spans="1:12" ht="15" x14ac:dyDescent="0.25">
      <c r="A83" s="178" t="s">
        <v>195</v>
      </c>
      <c r="E83" s="119"/>
    </row>
    <row r="84" spans="1:12" ht="15" x14ac:dyDescent="0.25">
      <c r="A84" s="6" t="s">
        <v>196</v>
      </c>
      <c r="B84" s="134">
        <v>4.9000000000000002E-2</v>
      </c>
    </row>
    <row r="85" spans="1:12" ht="15" x14ac:dyDescent="0.25">
      <c r="A85" s="6" t="s">
        <v>197</v>
      </c>
      <c r="B85" s="134">
        <v>4.9000000000000002E-2</v>
      </c>
    </row>
    <row r="86" spans="1:12" x14ac:dyDescent="0.2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</row>
    <row r="87" spans="1:12" x14ac:dyDescent="0.2">
      <c r="A87" s="109" t="s">
        <v>198</v>
      </c>
      <c r="L87" s="91"/>
    </row>
    <row r="88" spans="1:12" x14ac:dyDescent="0.2">
      <c r="L88" s="91"/>
    </row>
    <row r="89" spans="1:12" x14ac:dyDescent="0.2">
      <c r="L89" s="91"/>
    </row>
    <row r="90" spans="1:12" x14ac:dyDescent="0.2">
      <c r="A90" s="121" t="s">
        <v>199</v>
      </c>
      <c r="B90" s="121" t="s">
        <v>200</v>
      </c>
      <c r="C90" s="5" t="s">
        <v>201</v>
      </c>
      <c r="D90" s="5" t="s">
        <v>202</v>
      </c>
      <c r="E90" s="5" t="s">
        <v>203</v>
      </c>
      <c r="F90" s="5" t="s">
        <v>204</v>
      </c>
      <c r="G90" s="5" t="s">
        <v>205</v>
      </c>
      <c r="H90" s="5" t="s">
        <v>206</v>
      </c>
      <c r="I90" s="5" t="s">
        <v>207</v>
      </c>
      <c r="J90" s="121" t="s">
        <v>208</v>
      </c>
      <c r="L90" s="91"/>
    </row>
    <row r="91" spans="1:12" x14ac:dyDescent="0.2">
      <c r="A91" s="121">
        <f t="shared" ref="A91:A120" si="0">+C31-B31</f>
        <v>12.547999999999998</v>
      </c>
      <c r="B91" s="5">
        <f t="shared" ref="B91:B120" si="1">+F31+G31</f>
        <v>258.72000000000003</v>
      </c>
      <c r="C91" s="5">
        <f t="shared" ref="C91:C120" si="2">+H31+I31+L31+M31</f>
        <v>496.16000000000008</v>
      </c>
      <c r="D91" s="5">
        <f t="shared" ref="D91:D120" si="3">+J31+K31</f>
        <v>1344.0000000000002</v>
      </c>
      <c r="E91" s="61">
        <f t="shared" ref="E91:F120" si="4">+$A91*D31</f>
        <v>235063.18976000001</v>
      </c>
      <c r="F91" s="61">
        <f t="shared" si="4"/>
        <v>31339.8848</v>
      </c>
      <c r="G91" s="61">
        <f t="shared" ref="G91:I120" si="5">+$A91*B91</f>
        <v>3246.4185600000001</v>
      </c>
      <c r="H91" s="61">
        <f t="shared" si="5"/>
        <v>6225.8156800000006</v>
      </c>
      <c r="I91" s="61">
        <f t="shared" si="5"/>
        <v>16864.511999999999</v>
      </c>
      <c r="J91" s="61">
        <f t="shared" ref="J91:J120" si="6">+$A91*N31</f>
        <v>1855.0963199999999</v>
      </c>
      <c r="L91" s="91"/>
    </row>
    <row r="92" spans="1:12" x14ac:dyDescent="0.2">
      <c r="A92" s="121">
        <f t="shared" si="0"/>
        <v>4.2480000000000047</v>
      </c>
      <c r="B92" s="5">
        <f t="shared" si="1"/>
        <v>684.32</v>
      </c>
      <c r="C92" s="5">
        <f t="shared" si="2"/>
        <v>605.92000000000007</v>
      </c>
      <c r="D92" s="5">
        <f t="shared" si="3"/>
        <v>876.96</v>
      </c>
      <c r="E92" s="61">
        <f t="shared" si="4"/>
        <v>81685.981440000105</v>
      </c>
      <c r="F92" s="61">
        <f t="shared" si="4"/>
        <v>18398.257920000022</v>
      </c>
      <c r="G92" s="61">
        <f t="shared" si="5"/>
        <v>2906.9913600000036</v>
      </c>
      <c r="H92" s="61">
        <f t="shared" si="5"/>
        <v>2573.9481600000031</v>
      </c>
      <c r="I92" s="61">
        <f t="shared" si="5"/>
        <v>3725.3260800000044</v>
      </c>
      <c r="J92" s="61">
        <f t="shared" si="6"/>
        <v>337.80096000000043</v>
      </c>
      <c r="L92" s="91"/>
    </row>
    <row r="93" spans="1:12" x14ac:dyDescent="0.2">
      <c r="A93" s="121">
        <f t="shared" si="0"/>
        <v>4.9609999999999985</v>
      </c>
      <c r="B93" s="5">
        <f t="shared" si="1"/>
        <v>64.960000000000008</v>
      </c>
      <c r="C93" s="5">
        <f t="shared" si="2"/>
        <v>414.40000000000003</v>
      </c>
      <c r="D93" s="5">
        <f t="shared" si="3"/>
        <v>596.96</v>
      </c>
      <c r="E93" s="61">
        <f t="shared" si="4"/>
        <v>77638.459359999993</v>
      </c>
      <c r="F93" s="61">
        <f t="shared" si="4"/>
        <v>12890.662399999997</v>
      </c>
      <c r="G93" s="61">
        <f t="shared" si="5"/>
        <v>322.26655999999997</v>
      </c>
      <c r="H93" s="61">
        <f t="shared" si="5"/>
        <v>2055.8383999999996</v>
      </c>
      <c r="I93" s="61">
        <f t="shared" si="5"/>
        <v>2961.5185599999995</v>
      </c>
      <c r="J93" s="61">
        <f t="shared" si="6"/>
        <v>1283.5099199999997</v>
      </c>
      <c r="L93" s="91"/>
    </row>
    <row r="94" spans="1:12" x14ac:dyDescent="0.2">
      <c r="A94" s="121">
        <f t="shared" si="0"/>
        <v>3.8639999999999972</v>
      </c>
      <c r="B94" s="5">
        <f t="shared" si="1"/>
        <v>29.120000000000005</v>
      </c>
      <c r="C94" s="5">
        <f t="shared" si="2"/>
        <v>347.20000000000005</v>
      </c>
      <c r="D94" s="5">
        <f t="shared" si="3"/>
        <v>743.68000000000006</v>
      </c>
      <c r="E94" s="61">
        <f t="shared" si="4"/>
        <v>28186.179839999983</v>
      </c>
      <c r="F94" s="61">
        <f t="shared" si="4"/>
        <v>8114.3999999999942</v>
      </c>
      <c r="G94" s="61">
        <f t="shared" si="5"/>
        <v>112.51967999999994</v>
      </c>
      <c r="H94" s="61">
        <f t="shared" si="5"/>
        <v>1341.5807999999993</v>
      </c>
      <c r="I94" s="61">
        <f t="shared" si="5"/>
        <v>2873.579519999998</v>
      </c>
      <c r="J94" s="61">
        <f t="shared" si="6"/>
        <v>51.932159999999968</v>
      </c>
      <c r="L94" s="91"/>
    </row>
    <row r="95" spans="1:12" x14ac:dyDescent="0.2">
      <c r="A95" s="121">
        <f t="shared" si="0"/>
        <v>2.9149999999999991</v>
      </c>
      <c r="B95" s="5">
        <f t="shared" si="1"/>
        <v>252.00000000000003</v>
      </c>
      <c r="C95" s="5">
        <f t="shared" si="2"/>
        <v>458.0800000000001</v>
      </c>
      <c r="D95" s="5">
        <f t="shared" si="3"/>
        <v>995.68000000000006</v>
      </c>
      <c r="E95" s="61">
        <f t="shared" si="4"/>
        <v>48400.659999999989</v>
      </c>
      <c r="F95" s="61">
        <f t="shared" si="4"/>
        <v>8047.7319999999982</v>
      </c>
      <c r="G95" s="61">
        <f t="shared" si="5"/>
        <v>734.57999999999981</v>
      </c>
      <c r="H95" s="61">
        <f t="shared" si="5"/>
        <v>1335.3031999999998</v>
      </c>
      <c r="I95" s="61">
        <f t="shared" si="5"/>
        <v>2902.4071999999992</v>
      </c>
      <c r="J95" s="61">
        <f t="shared" si="6"/>
        <v>561.54559999999992</v>
      </c>
      <c r="L95" s="91"/>
    </row>
    <row r="96" spans="1:12" x14ac:dyDescent="0.2">
      <c r="A96" s="121">
        <f t="shared" si="0"/>
        <v>2.4179999999999993</v>
      </c>
      <c r="B96" s="5">
        <f t="shared" si="1"/>
        <v>340.48000000000008</v>
      </c>
      <c r="C96" s="5">
        <f t="shared" si="2"/>
        <v>276.64</v>
      </c>
      <c r="D96" s="5">
        <f t="shared" si="3"/>
        <v>308</v>
      </c>
      <c r="E96" s="61">
        <f t="shared" si="4"/>
        <v>44248.626239999991</v>
      </c>
      <c r="F96" s="61">
        <f t="shared" si="4"/>
        <v>6125.8579199999986</v>
      </c>
      <c r="G96" s="61">
        <f t="shared" si="5"/>
        <v>823.28063999999995</v>
      </c>
      <c r="H96" s="61">
        <f t="shared" si="5"/>
        <v>668.91551999999979</v>
      </c>
      <c r="I96" s="61">
        <f t="shared" si="5"/>
        <v>744.7439999999998</v>
      </c>
      <c r="J96" s="61">
        <f t="shared" si="6"/>
        <v>454.97087999999991</v>
      </c>
      <c r="L96" s="91"/>
    </row>
    <row r="97" spans="1:12" x14ac:dyDescent="0.2">
      <c r="A97" s="121">
        <f t="shared" si="0"/>
        <v>3.0910000000000002</v>
      </c>
      <c r="B97" s="5">
        <f t="shared" si="1"/>
        <v>131.04000000000002</v>
      </c>
      <c r="C97" s="5">
        <f t="shared" si="2"/>
        <v>339.36</v>
      </c>
      <c r="D97" s="5">
        <f t="shared" si="3"/>
        <v>301.28000000000003</v>
      </c>
      <c r="E97" s="61">
        <f t="shared" si="4"/>
        <v>34186.460000000006</v>
      </c>
      <c r="F97" s="61">
        <f t="shared" si="4"/>
        <v>3088.0326400000004</v>
      </c>
      <c r="G97" s="61">
        <f t="shared" si="5"/>
        <v>405.04464000000007</v>
      </c>
      <c r="H97" s="61">
        <f t="shared" si="5"/>
        <v>1048.9617600000001</v>
      </c>
      <c r="I97" s="61">
        <f t="shared" si="5"/>
        <v>931.25648000000012</v>
      </c>
      <c r="J97" s="61">
        <f t="shared" si="6"/>
        <v>342.73008000000004</v>
      </c>
      <c r="L97" s="91"/>
    </row>
    <row r="98" spans="1:12" x14ac:dyDescent="0.2">
      <c r="A98" s="121">
        <f t="shared" si="0"/>
        <v>2.258</v>
      </c>
      <c r="B98" s="5">
        <f t="shared" si="1"/>
        <v>395.36</v>
      </c>
      <c r="C98" s="5">
        <f t="shared" si="2"/>
        <v>265.44000000000005</v>
      </c>
      <c r="D98" s="5">
        <f t="shared" si="3"/>
        <v>489.44000000000005</v>
      </c>
      <c r="E98" s="61">
        <f t="shared" si="4"/>
        <v>32608.410240000001</v>
      </c>
      <c r="F98" s="61">
        <f t="shared" si="4"/>
        <v>7108.9065600000004</v>
      </c>
      <c r="G98" s="61">
        <f t="shared" si="5"/>
        <v>892.72288000000003</v>
      </c>
      <c r="H98" s="61">
        <f t="shared" si="5"/>
        <v>599.36352000000011</v>
      </c>
      <c r="I98" s="61">
        <f t="shared" si="5"/>
        <v>1105.15552</v>
      </c>
      <c r="J98" s="61">
        <f t="shared" si="6"/>
        <v>427.39424000000008</v>
      </c>
      <c r="L98" s="91"/>
    </row>
    <row r="99" spans="1:12" x14ac:dyDescent="0.2">
      <c r="A99" s="121">
        <f t="shared" si="0"/>
        <v>3.7309999999999999</v>
      </c>
      <c r="B99" s="5">
        <f t="shared" si="1"/>
        <v>297.92</v>
      </c>
      <c r="C99" s="5">
        <f t="shared" si="2"/>
        <v>238.56000000000003</v>
      </c>
      <c r="D99" s="5">
        <f t="shared" si="3"/>
        <v>312.48</v>
      </c>
      <c r="E99" s="61">
        <f t="shared" si="4"/>
        <v>30688.519680000001</v>
      </c>
      <c r="F99" s="61">
        <f t="shared" si="4"/>
        <v>6761.16896</v>
      </c>
      <c r="G99" s="61">
        <f t="shared" si="5"/>
        <v>1111.53952</v>
      </c>
      <c r="H99" s="61">
        <f t="shared" si="5"/>
        <v>890.06736000000012</v>
      </c>
      <c r="I99" s="61">
        <f t="shared" si="5"/>
        <v>1165.8628800000001</v>
      </c>
      <c r="J99" s="61">
        <f t="shared" si="6"/>
        <v>551.59104000000002</v>
      </c>
      <c r="L99" s="91"/>
    </row>
    <row r="100" spans="1:12" x14ac:dyDescent="0.2">
      <c r="A100" s="121">
        <f t="shared" si="0"/>
        <v>12.052000000000001</v>
      </c>
      <c r="B100" s="5">
        <f t="shared" si="1"/>
        <v>156.80000000000001</v>
      </c>
      <c r="C100" s="5">
        <f t="shared" si="2"/>
        <v>199.36</v>
      </c>
      <c r="D100" s="5">
        <f t="shared" si="3"/>
        <v>260.96000000000004</v>
      </c>
      <c r="E100" s="61">
        <f t="shared" si="4"/>
        <v>89695.804800000013</v>
      </c>
      <c r="F100" s="61">
        <f t="shared" si="4"/>
        <v>11959.440640000003</v>
      </c>
      <c r="G100" s="61">
        <f t="shared" si="5"/>
        <v>1889.7536000000005</v>
      </c>
      <c r="H100" s="61">
        <f t="shared" si="5"/>
        <v>2402.6867200000006</v>
      </c>
      <c r="I100" s="61">
        <f t="shared" si="5"/>
        <v>3145.0899200000008</v>
      </c>
      <c r="J100" s="61">
        <f t="shared" si="6"/>
        <v>1282.3328000000001</v>
      </c>
      <c r="L100" s="91"/>
    </row>
    <row r="101" spans="1:12" x14ac:dyDescent="0.2">
      <c r="A101" s="121">
        <f t="shared" si="0"/>
        <v>0.28699999999999998</v>
      </c>
      <c r="B101" s="5">
        <f t="shared" si="1"/>
        <v>284.48</v>
      </c>
      <c r="C101" s="5">
        <f t="shared" si="2"/>
        <v>467.04</v>
      </c>
      <c r="D101" s="5">
        <f t="shared" si="3"/>
        <v>713.44</v>
      </c>
      <c r="E101" s="61">
        <f t="shared" si="4"/>
        <v>2778.8488000000002</v>
      </c>
      <c r="F101" s="61">
        <f t="shared" si="4"/>
        <v>725.81151999999997</v>
      </c>
      <c r="G101" s="61">
        <f t="shared" si="5"/>
        <v>81.645759999999996</v>
      </c>
      <c r="H101" s="61">
        <f t="shared" si="5"/>
        <v>134.04048</v>
      </c>
      <c r="I101" s="61">
        <f t="shared" si="5"/>
        <v>204.75728000000001</v>
      </c>
      <c r="J101" s="61">
        <f t="shared" si="6"/>
        <v>50.144640000000003</v>
      </c>
      <c r="L101" s="91"/>
    </row>
    <row r="102" spans="1:12" x14ac:dyDescent="0.2">
      <c r="A102" s="121">
        <f t="shared" si="0"/>
        <v>2.5420000000000003</v>
      </c>
      <c r="B102" s="5">
        <f t="shared" si="1"/>
        <v>406.56</v>
      </c>
      <c r="C102" s="5">
        <f t="shared" si="2"/>
        <v>446.88000000000005</v>
      </c>
      <c r="D102" s="5">
        <f t="shared" si="3"/>
        <v>719.04</v>
      </c>
      <c r="E102" s="61">
        <f t="shared" si="4"/>
        <v>29817.049920000005</v>
      </c>
      <c r="F102" s="61">
        <f t="shared" si="4"/>
        <v>4304.7244800000008</v>
      </c>
      <c r="G102" s="61">
        <f t="shared" si="5"/>
        <v>1033.4755200000002</v>
      </c>
      <c r="H102" s="61">
        <f t="shared" si="5"/>
        <v>1135.9689600000002</v>
      </c>
      <c r="I102" s="61">
        <f t="shared" si="5"/>
        <v>1827.7996800000001</v>
      </c>
      <c r="J102" s="61">
        <f t="shared" si="6"/>
        <v>304.63328000000007</v>
      </c>
      <c r="L102" s="91"/>
    </row>
    <row r="103" spans="1:12" x14ac:dyDescent="0.2">
      <c r="A103" s="121">
        <f t="shared" si="0"/>
        <v>1.278</v>
      </c>
      <c r="B103" s="5">
        <f t="shared" si="1"/>
        <v>506.24</v>
      </c>
      <c r="C103" s="5">
        <f t="shared" si="2"/>
        <v>950.88000000000011</v>
      </c>
      <c r="D103" s="5">
        <f t="shared" si="3"/>
        <v>893.7600000000001</v>
      </c>
      <c r="E103" s="61">
        <f t="shared" si="4"/>
        <v>19877.296320000005</v>
      </c>
      <c r="F103" s="61">
        <f t="shared" si="4"/>
        <v>5217.3072000000011</v>
      </c>
      <c r="G103" s="61">
        <f t="shared" si="5"/>
        <v>646.97472000000005</v>
      </c>
      <c r="H103" s="61">
        <f t="shared" si="5"/>
        <v>1215.2246400000001</v>
      </c>
      <c r="I103" s="61">
        <f t="shared" si="5"/>
        <v>1142.2252800000001</v>
      </c>
      <c r="J103" s="61">
        <f t="shared" si="6"/>
        <v>249.05664000000004</v>
      </c>
      <c r="L103" s="91"/>
    </row>
    <row r="104" spans="1:12" x14ac:dyDescent="0.2">
      <c r="A104" s="121">
        <f t="shared" si="0"/>
        <v>2.5359999999999996</v>
      </c>
      <c r="B104" s="5">
        <f t="shared" si="1"/>
        <v>94.080000000000013</v>
      </c>
      <c r="C104" s="5">
        <f t="shared" si="2"/>
        <v>652.96</v>
      </c>
      <c r="D104" s="5">
        <f t="shared" si="3"/>
        <v>890.40000000000009</v>
      </c>
      <c r="E104" s="61">
        <f t="shared" si="4"/>
        <v>33629.388800000001</v>
      </c>
      <c r="F104" s="61">
        <f t="shared" si="4"/>
        <v>6972.9856</v>
      </c>
      <c r="G104" s="61">
        <f t="shared" si="5"/>
        <v>238.58687999999998</v>
      </c>
      <c r="H104" s="61">
        <f t="shared" si="5"/>
        <v>1655.9065599999999</v>
      </c>
      <c r="I104" s="61">
        <f t="shared" si="5"/>
        <v>2258.0544</v>
      </c>
      <c r="J104" s="61">
        <f t="shared" si="6"/>
        <v>204.50304</v>
      </c>
      <c r="L104" s="91"/>
    </row>
    <row r="105" spans="1:12" x14ac:dyDescent="0.2">
      <c r="A105" s="121">
        <f t="shared" si="0"/>
        <v>8.8140000000000001</v>
      </c>
      <c r="B105" s="5">
        <f t="shared" si="1"/>
        <v>192.64000000000001</v>
      </c>
      <c r="C105" s="5">
        <f t="shared" si="2"/>
        <v>243.04000000000002</v>
      </c>
      <c r="D105" s="5">
        <f t="shared" si="3"/>
        <v>98.560000000000016</v>
      </c>
      <c r="E105" s="61">
        <f t="shared" si="4"/>
        <v>67008.963839999997</v>
      </c>
      <c r="F105" s="61">
        <f t="shared" si="4"/>
        <v>12487.675200000001</v>
      </c>
      <c r="G105" s="61">
        <f t="shared" si="5"/>
        <v>1697.9289600000002</v>
      </c>
      <c r="H105" s="61">
        <f t="shared" si="5"/>
        <v>2142.1545600000004</v>
      </c>
      <c r="I105" s="61">
        <f t="shared" si="5"/>
        <v>868.70784000000015</v>
      </c>
      <c r="J105" s="61">
        <f t="shared" si="6"/>
        <v>29.615040000000004</v>
      </c>
      <c r="L105" s="91"/>
    </row>
    <row r="106" spans="1:12" x14ac:dyDescent="0.2">
      <c r="A106" s="121">
        <f t="shared" si="0"/>
        <v>0</v>
      </c>
      <c r="B106" s="5">
        <f t="shared" si="1"/>
        <v>0</v>
      </c>
      <c r="C106" s="5">
        <f t="shared" si="2"/>
        <v>0</v>
      </c>
      <c r="D106" s="5">
        <f t="shared" si="3"/>
        <v>0</v>
      </c>
      <c r="E106" s="61">
        <f t="shared" si="4"/>
        <v>0</v>
      </c>
      <c r="F106" s="61">
        <f t="shared" si="4"/>
        <v>0</v>
      </c>
      <c r="G106" s="61">
        <f t="shared" si="5"/>
        <v>0</v>
      </c>
      <c r="H106" s="61">
        <f t="shared" si="5"/>
        <v>0</v>
      </c>
      <c r="I106" s="61">
        <f t="shared" si="5"/>
        <v>0</v>
      </c>
      <c r="J106" s="61">
        <f t="shared" si="6"/>
        <v>0</v>
      </c>
      <c r="L106" s="91"/>
    </row>
    <row r="107" spans="1:12" x14ac:dyDescent="0.2">
      <c r="A107" s="121">
        <f t="shared" si="0"/>
        <v>0</v>
      </c>
      <c r="B107" s="5">
        <f t="shared" si="1"/>
        <v>0</v>
      </c>
      <c r="C107" s="5">
        <f t="shared" si="2"/>
        <v>0</v>
      </c>
      <c r="D107" s="5">
        <f t="shared" si="3"/>
        <v>0</v>
      </c>
      <c r="E107" s="61">
        <f t="shared" si="4"/>
        <v>0</v>
      </c>
      <c r="F107" s="61">
        <f t="shared" si="4"/>
        <v>0</v>
      </c>
      <c r="G107" s="61">
        <f t="shared" si="5"/>
        <v>0</v>
      </c>
      <c r="H107" s="61">
        <f t="shared" si="5"/>
        <v>0</v>
      </c>
      <c r="I107" s="61">
        <f t="shared" si="5"/>
        <v>0</v>
      </c>
      <c r="J107" s="61">
        <f t="shared" si="6"/>
        <v>0</v>
      </c>
      <c r="L107" s="91"/>
    </row>
    <row r="108" spans="1:12" x14ac:dyDescent="0.2">
      <c r="A108" s="121">
        <f t="shared" si="0"/>
        <v>0</v>
      </c>
      <c r="B108" s="5">
        <f t="shared" si="1"/>
        <v>0</v>
      </c>
      <c r="C108" s="5">
        <f t="shared" si="2"/>
        <v>0</v>
      </c>
      <c r="D108" s="5">
        <f t="shared" si="3"/>
        <v>0</v>
      </c>
      <c r="E108" s="61">
        <f t="shared" si="4"/>
        <v>0</v>
      </c>
      <c r="F108" s="61">
        <f t="shared" si="4"/>
        <v>0</v>
      </c>
      <c r="G108" s="61">
        <f t="shared" si="5"/>
        <v>0</v>
      </c>
      <c r="H108" s="61">
        <f t="shared" si="5"/>
        <v>0</v>
      </c>
      <c r="I108" s="61">
        <f t="shared" si="5"/>
        <v>0</v>
      </c>
      <c r="J108" s="61">
        <f t="shared" si="6"/>
        <v>0</v>
      </c>
      <c r="L108" s="91"/>
    </row>
    <row r="109" spans="1:12" x14ac:dyDescent="0.2">
      <c r="A109" s="121">
        <f t="shared" si="0"/>
        <v>0</v>
      </c>
      <c r="B109" s="5">
        <f t="shared" si="1"/>
        <v>0</v>
      </c>
      <c r="C109" s="5">
        <f t="shared" si="2"/>
        <v>0</v>
      </c>
      <c r="D109" s="5">
        <f t="shared" si="3"/>
        <v>0</v>
      </c>
      <c r="E109" s="61">
        <f t="shared" si="4"/>
        <v>0</v>
      </c>
      <c r="F109" s="61">
        <f t="shared" si="4"/>
        <v>0</v>
      </c>
      <c r="G109" s="61">
        <f t="shared" si="5"/>
        <v>0</v>
      </c>
      <c r="H109" s="61">
        <f t="shared" si="5"/>
        <v>0</v>
      </c>
      <c r="I109" s="61">
        <f t="shared" si="5"/>
        <v>0</v>
      </c>
      <c r="J109" s="61">
        <f t="shared" si="6"/>
        <v>0</v>
      </c>
      <c r="L109" s="91"/>
    </row>
    <row r="110" spans="1:12" x14ac:dyDescent="0.2">
      <c r="A110" s="121">
        <f t="shared" si="0"/>
        <v>0</v>
      </c>
      <c r="B110" s="5">
        <f t="shared" si="1"/>
        <v>0</v>
      </c>
      <c r="C110" s="5">
        <f t="shared" si="2"/>
        <v>0</v>
      </c>
      <c r="D110" s="5">
        <f t="shared" si="3"/>
        <v>0</v>
      </c>
      <c r="E110" s="61">
        <f t="shared" si="4"/>
        <v>0</v>
      </c>
      <c r="F110" s="61">
        <f t="shared" si="4"/>
        <v>0</v>
      </c>
      <c r="G110" s="61">
        <f t="shared" si="5"/>
        <v>0</v>
      </c>
      <c r="H110" s="61">
        <f t="shared" si="5"/>
        <v>0</v>
      </c>
      <c r="I110" s="61">
        <f t="shared" si="5"/>
        <v>0</v>
      </c>
      <c r="J110" s="61">
        <f t="shared" si="6"/>
        <v>0</v>
      </c>
      <c r="L110" s="91"/>
    </row>
    <row r="111" spans="1:12" x14ac:dyDescent="0.2">
      <c r="A111" s="121">
        <f t="shared" si="0"/>
        <v>0</v>
      </c>
      <c r="B111" s="5">
        <f t="shared" si="1"/>
        <v>0</v>
      </c>
      <c r="C111" s="5">
        <f t="shared" si="2"/>
        <v>0</v>
      </c>
      <c r="D111" s="5">
        <f t="shared" si="3"/>
        <v>0</v>
      </c>
      <c r="E111" s="61">
        <f t="shared" si="4"/>
        <v>0</v>
      </c>
      <c r="F111" s="61">
        <f t="shared" si="4"/>
        <v>0</v>
      </c>
      <c r="G111" s="61">
        <f t="shared" si="5"/>
        <v>0</v>
      </c>
      <c r="H111" s="61">
        <f t="shared" si="5"/>
        <v>0</v>
      </c>
      <c r="I111" s="61">
        <f t="shared" si="5"/>
        <v>0</v>
      </c>
      <c r="J111" s="61">
        <f t="shared" si="6"/>
        <v>0</v>
      </c>
      <c r="L111" s="91"/>
    </row>
    <row r="112" spans="1:12" x14ac:dyDescent="0.2">
      <c r="A112" s="121">
        <f t="shared" si="0"/>
        <v>0</v>
      </c>
      <c r="B112" s="5">
        <f t="shared" si="1"/>
        <v>0</v>
      </c>
      <c r="C112" s="5">
        <f t="shared" si="2"/>
        <v>0</v>
      </c>
      <c r="D112" s="5">
        <f t="shared" si="3"/>
        <v>0</v>
      </c>
      <c r="E112" s="61">
        <f t="shared" si="4"/>
        <v>0</v>
      </c>
      <c r="F112" s="61">
        <f t="shared" si="4"/>
        <v>0</v>
      </c>
      <c r="G112" s="61">
        <f t="shared" si="5"/>
        <v>0</v>
      </c>
      <c r="H112" s="61">
        <f t="shared" si="5"/>
        <v>0</v>
      </c>
      <c r="I112" s="61">
        <f t="shared" si="5"/>
        <v>0</v>
      </c>
      <c r="J112" s="61">
        <f t="shared" si="6"/>
        <v>0</v>
      </c>
      <c r="L112" s="91"/>
    </row>
    <row r="113" spans="1:12" x14ac:dyDescent="0.2">
      <c r="A113" s="121">
        <f t="shared" si="0"/>
        <v>0</v>
      </c>
      <c r="B113" s="5">
        <f t="shared" si="1"/>
        <v>0</v>
      </c>
      <c r="C113" s="5">
        <f t="shared" si="2"/>
        <v>0</v>
      </c>
      <c r="D113" s="5">
        <f t="shared" si="3"/>
        <v>0</v>
      </c>
      <c r="E113" s="61">
        <f t="shared" si="4"/>
        <v>0</v>
      </c>
      <c r="F113" s="61">
        <f t="shared" si="4"/>
        <v>0</v>
      </c>
      <c r="G113" s="61">
        <f t="shared" si="5"/>
        <v>0</v>
      </c>
      <c r="H113" s="61">
        <f t="shared" si="5"/>
        <v>0</v>
      </c>
      <c r="I113" s="61">
        <f t="shared" si="5"/>
        <v>0</v>
      </c>
      <c r="J113" s="61">
        <f t="shared" si="6"/>
        <v>0</v>
      </c>
      <c r="L113" s="91"/>
    </row>
    <row r="114" spans="1:12" x14ac:dyDescent="0.2">
      <c r="A114" s="121">
        <f t="shared" si="0"/>
        <v>0</v>
      </c>
      <c r="B114" s="5">
        <f t="shared" si="1"/>
        <v>0</v>
      </c>
      <c r="C114" s="5">
        <f t="shared" si="2"/>
        <v>0</v>
      </c>
      <c r="D114" s="5">
        <f t="shared" si="3"/>
        <v>0</v>
      </c>
      <c r="E114" s="61">
        <f t="shared" si="4"/>
        <v>0</v>
      </c>
      <c r="F114" s="61">
        <f t="shared" si="4"/>
        <v>0</v>
      </c>
      <c r="G114" s="61">
        <f t="shared" si="5"/>
        <v>0</v>
      </c>
      <c r="H114" s="61">
        <f t="shared" si="5"/>
        <v>0</v>
      </c>
      <c r="I114" s="61">
        <f t="shared" si="5"/>
        <v>0</v>
      </c>
      <c r="J114" s="61">
        <f t="shared" si="6"/>
        <v>0</v>
      </c>
      <c r="L114" s="91"/>
    </row>
    <row r="115" spans="1:12" x14ac:dyDescent="0.2">
      <c r="A115" s="121">
        <f t="shared" si="0"/>
        <v>0</v>
      </c>
      <c r="B115" s="5">
        <f t="shared" si="1"/>
        <v>0</v>
      </c>
      <c r="C115" s="5">
        <f t="shared" si="2"/>
        <v>0</v>
      </c>
      <c r="D115" s="5">
        <f t="shared" si="3"/>
        <v>0</v>
      </c>
      <c r="E115" s="61">
        <f t="shared" si="4"/>
        <v>0</v>
      </c>
      <c r="F115" s="61">
        <f t="shared" si="4"/>
        <v>0</v>
      </c>
      <c r="G115" s="61">
        <f t="shared" si="5"/>
        <v>0</v>
      </c>
      <c r="H115" s="61">
        <f t="shared" si="5"/>
        <v>0</v>
      </c>
      <c r="I115" s="61">
        <f t="shared" si="5"/>
        <v>0</v>
      </c>
      <c r="J115" s="61">
        <f t="shared" si="6"/>
        <v>0</v>
      </c>
      <c r="L115" s="91"/>
    </row>
    <row r="116" spans="1:12" x14ac:dyDescent="0.2">
      <c r="A116" s="121">
        <f t="shared" si="0"/>
        <v>0</v>
      </c>
      <c r="B116" s="5">
        <f t="shared" si="1"/>
        <v>0</v>
      </c>
      <c r="C116" s="5">
        <f t="shared" si="2"/>
        <v>0</v>
      </c>
      <c r="D116" s="5">
        <f t="shared" si="3"/>
        <v>0</v>
      </c>
      <c r="E116" s="61">
        <f t="shared" si="4"/>
        <v>0</v>
      </c>
      <c r="F116" s="61">
        <f t="shared" si="4"/>
        <v>0</v>
      </c>
      <c r="G116" s="61">
        <f t="shared" si="5"/>
        <v>0</v>
      </c>
      <c r="H116" s="61">
        <f t="shared" si="5"/>
        <v>0</v>
      </c>
      <c r="I116" s="61">
        <f t="shared" si="5"/>
        <v>0</v>
      </c>
      <c r="J116" s="61">
        <f t="shared" si="6"/>
        <v>0</v>
      </c>
      <c r="L116" s="91"/>
    </row>
    <row r="117" spans="1:12" x14ac:dyDescent="0.2">
      <c r="A117" s="121">
        <f t="shared" si="0"/>
        <v>0</v>
      </c>
      <c r="B117" s="5">
        <f t="shared" si="1"/>
        <v>0</v>
      </c>
      <c r="C117" s="5">
        <f t="shared" si="2"/>
        <v>0</v>
      </c>
      <c r="D117" s="5">
        <f t="shared" si="3"/>
        <v>0</v>
      </c>
      <c r="E117" s="61">
        <f t="shared" si="4"/>
        <v>0</v>
      </c>
      <c r="F117" s="61">
        <f t="shared" si="4"/>
        <v>0</v>
      </c>
      <c r="G117" s="61">
        <f t="shared" si="5"/>
        <v>0</v>
      </c>
      <c r="H117" s="61">
        <f t="shared" si="5"/>
        <v>0</v>
      </c>
      <c r="I117" s="61">
        <f t="shared" si="5"/>
        <v>0</v>
      </c>
      <c r="J117" s="61">
        <f t="shared" si="6"/>
        <v>0</v>
      </c>
      <c r="L117" s="91"/>
    </row>
    <row r="118" spans="1:12" x14ac:dyDescent="0.2">
      <c r="A118" s="121">
        <f t="shared" si="0"/>
        <v>0</v>
      </c>
      <c r="B118" s="5">
        <f t="shared" si="1"/>
        <v>0</v>
      </c>
      <c r="C118" s="5">
        <f t="shared" si="2"/>
        <v>0</v>
      </c>
      <c r="D118" s="5">
        <f t="shared" si="3"/>
        <v>0</v>
      </c>
      <c r="E118" s="61">
        <f t="shared" si="4"/>
        <v>0</v>
      </c>
      <c r="F118" s="61">
        <f t="shared" si="4"/>
        <v>0</v>
      </c>
      <c r="G118" s="61">
        <f t="shared" si="5"/>
        <v>0</v>
      </c>
      <c r="H118" s="61">
        <f t="shared" si="5"/>
        <v>0</v>
      </c>
      <c r="I118" s="61">
        <f t="shared" si="5"/>
        <v>0</v>
      </c>
      <c r="J118" s="61">
        <f t="shared" si="6"/>
        <v>0</v>
      </c>
      <c r="L118" s="91"/>
    </row>
    <row r="119" spans="1:12" x14ac:dyDescent="0.2">
      <c r="A119" s="121">
        <f t="shared" si="0"/>
        <v>0</v>
      </c>
      <c r="B119" s="5">
        <f t="shared" si="1"/>
        <v>0</v>
      </c>
      <c r="C119" s="5">
        <f t="shared" si="2"/>
        <v>0</v>
      </c>
      <c r="D119" s="5">
        <f t="shared" si="3"/>
        <v>0</v>
      </c>
      <c r="E119" s="61">
        <f t="shared" si="4"/>
        <v>0</v>
      </c>
      <c r="F119" s="61">
        <f t="shared" si="4"/>
        <v>0</v>
      </c>
      <c r="G119" s="61">
        <f t="shared" si="5"/>
        <v>0</v>
      </c>
      <c r="H119" s="61">
        <f t="shared" si="5"/>
        <v>0</v>
      </c>
      <c r="I119" s="61">
        <f t="shared" si="5"/>
        <v>0</v>
      </c>
      <c r="J119" s="61">
        <f t="shared" si="6"/>
        <v>0</v>
      </c>
      <c r="L119" s="91"/>
    </row>
    <row r="120" spans="1:12" ht="13.5" thickBot="1" x14ac:dyDescent="0.25">
      <c r="A120" s="121">
        <f t="shared" si="0"/>
        <v>0</v>
      </c>
      <c r="B120" s="5">
        <f t="shared" si="1"/>
        <v>0</v>
      </c>
      <c r="C120" s="5">
        <f t="shared" si="2"/>
        <v>0</v>
      </c>
      <c r="D120" s="5">
        <f t="shared" si="3"/>
        <v>0</v>
      </c>
      <c r="E120" s="136">
        <f t="shared" si="4"/>
        <v>0</v>
      </c>
      <c r="F120" s="61">
        <f t="shared" si="4"/>
        <v>0</v>
      </c>
      <c r="G120" s="136">
        <f t="shared" si="5"/>
        <v>0</v>
      </c>
      <c r="H120" s="136">
        <f t="shared" si="5"/>
        <v>0</v>
      </c>
      <c r="I120" s="136">
        <f t="shared" si="5"/>
        <v>0</v>
      </c>
      <c r="J120" s="136">
        <f t="shared" si="6"/>
        <v>0</v>
      </c>
      <c r="L120" s="91"/>
    </row>
    <row r="121" spans="1:12" ht="13.5" thickBot="1" x14ac:dyDescent="0.25">
      <c r="E121" s="137">
        <f t="shared" ref="E121:J121" si="7">SUM(E91:E120)</f>
        <v>855513.83904000011</v>
      </c>
      <c r="F121" s="138">
        <f t="shared" si="7"/>
        <v>143542.84784000003</v>
      </c>
      <c r="G121" s="138">
        <f t="shared" si="7"/>
        <v>16143.729280000003</v>
      </c>
      <c r="H121" s="138">
        <f t="shared" si="7"/>
        <v>25425.776320000004</v>
      </c>
      <c r="I121" s="138">
        <f t="shared" si="7"/>
        <v>42720.99663999999</v>
      </c>
      <c r="J121" s="139">
        <f t="shared" si="7"/>
        <v>7986.8566399999991</v>
      </c>
      <c r="K121" t="s">
        <v>209</v>
      </c>
      <c r="L121" s="91"/>
    </row>
    <row r="122" spans="1:12" x14ac:dyDescent="0.2">
      <c r="C122" s="140"/>
      <c r="L122" s="91"/>
    </row>
    <row r="123" spans="1:12" x14ac:dyDescent="0.2">
      <c r="A123" s="89"/>
      <c r="B123" s="89"/>
      <c r="C123" s="89"/>
      <c r="D123" s="89"/>
      <c r="E123" s="89"/>
      <c r="F123" s="89"/>
      <c r="G123" s="89"/>
      <c r="L123" s="91"/>
    </row>
    <row r="124" spans="1:12" x14ac:dyDescent="0.2">
      <c r="B124" s="7"/>
      <c r="H124" s="91"/>
      <c r="K124" s="7"/>
      <c r="L124" s="91"/>
    </row>
    <row r="125" spans="1:12" x14ac:dyDescent="0.2">
      <c r="H125" s="91"/>
      <c r="L125" s="91"/>
    </row>
    <row r="126" spans="1:12" ht="25.5" x14ac:dyDescent="0.2">
      <c r="A126" s="109"/>
      <c r="B126" t="s">
        <v>210</v>
      </c>
      <c r="C126" s="6" t="s">
        <v>211</v>
      </c>
      <c r="E126" s="6" t="s">
        <v>212</v>
      </c>
      <c r="F126" s="4" t="s">
        <v>134</v>
      </c>
      <c r="H126" s="91"/>
      <c r="L126" s="91"/>
    </row>
    <row r="127" spans="1:12" x14ac:dyDescent="0.2">
      <c r="A127" s="7" t="s">
        <v>213</v>
      </c>
      <c r="B127" s="5">
        <f>+IF(B10=1,B11/60*43*1.05*2,B11/60*43*2)</f>
        <v>159041.23333333334</v>
      </c>
      <c r="H127" s="91"/>
      <c r="L127" s="91"/>
    </row>
    <row r="128" spans="1:12" ht="27" x14ac:dyDescent="0.3">
      <c r="A128" s="7" t="s">
        <v>214</v>
      </c>
      <c r="B128" s="124">
        <f>+B$12/(B$12+B$13)*B127*253.173214*1.5</f>
        <v>42037423.032619648</v>
      </c>
      <c r="C128" s="124">
        <f>+B128/100*'emissziós faktorok'!B$25</f>
        <v>3304141.4503639042</v>
      </c>
      <c r="F128" s="5">
        <f>+G152</f>
        <v>7533.5256482801879</v>
      </c>
      <c r="G128" s="4" t="s">
        <v>135</v>
      </c>
      <c r="H128" s="91"/>
      <c r="L128" s="91"/>
    </row>
    <row r="129" spans="1:12" ht="27" x14ac:dyDescent="0.3">
      <c r="A129" s="7" t="s">
        <v>215</v>
      </c>
      <c r="B129" s="124">
        <f>+B$13/(B$12+B$13)*B127*253.173214*1.5</f>
        <v>18360047.269666255</v>
      </c>
      <c r="C129" s="124">
        <f>+B129/100*'emissziós faktorok'!C$25</f>
        <v>1248483.2143373052</v>
      </c>
      <c r="F129" s="5">
        <f>+F152</f>
        <v>3471.3186974454552</v>
      </c>
      <c r="G129" s="4" t="s">
        <v>135</v>
      </c>
      <c r="H129" s="91"/>
      <c r="L129" s="91"/>
    </row>
    <row r="130" spans="1:12" x14ac:dyDescent="0.2">
      <c r="A130" s="7" t="s">
        <v>216</v>
      </c>
      <c r="B130" s="5">
        <f>+IF(B19=0,B20*0.65,B20*1.2)</f>
        <v>8383.1999999999989</v>
      </c>
      <c r="H130" s="91"/>
      <c r="L130" s="91"/>
    </row>
    <row r="131" spans="1:12" ht="27" x14ac:dyDescent="0.3">
      <c r="A131" s="7" t="s">
        <v>217</v>
      </c>
      <c r="B131" s="124">
        <f>+B$12/(B$12+B$13)*B130*253.173214*1.5</f>
        <v>2215828.6714769588</v>
      </c>
      <c r="C131" s="124">
        <f>+B131/100*'emissziós faktorok'!B$25</f>
        <v>174164.13357808895</v>
      </c>
      <c r="F131" s="124">
        <f>+G153</f>
        <v>397.09860701530312</v>
      </c>
      <c r="G131" s="4" t="s">
        <v>135</v>
      </c>
      <c r="H131" s="91"/>
      <c r="L131" s="91"/>
    </row>
    <row r="132" spans="1:12" ht="27" x14ac:dyDescent="0.3">
      <c r="A132" s="7" t="s">
        <v>218</v>
      </c>
      <c r="B132" s="124">
        <f>+B$13/(B$12+B$13)*B130*253.173214*1.5</f>
        <v>967773.85993024101</v>
      </c>
      <c r="C132" s="124">
        <f>+B132/100*'emissziós faktorok'!C$25</f>
        <v>65808.622475256387</v>
      </c>
      <c r="F132" s="124">
        <f>+F153</f>
        <v>182.97618985029294</v>
      </c>
      <c r="G132" s="4" t="s">
        <v>135</v>
      </c>
      <c r="H132" s="91"/>
      <c r="L132" s="91"/>
    </row>
    <row r="133" spans="1:12" x14ac:dyDescent="0.2">
      <c r="A133" s="7"/>
      <c r="B133" s="140"/>
      <c r="C133" s="140"/>
      <c r="F133" s="140"/>
      <c r="H133" s="91"/>
      <c r="L133" s="91"/>
    </row>
    <row r="134" spans="1:12" x14ac:dyDescent="0.2">
      <c r="A134" s="7" t="s">
        <v>219</v>
      </c>
      <c r="F134" s="140"/>
      <c r="H134" s="91"/>
      <c r="L134" s="91"/>
    </row>
    <row r="135" spans="1:12" ht="15.75" x14ac:dyDescent="0.3">
      <c r="A135" s="141" t="s">
        <v>220</v>
      </c>
      <c r="B135" s="124">
        <f>+B80/(B$80+B$81)*E121*365</f>
        <v>206316569.57103619</v>
      </c>
      <c r="C135" s="124">
        <f>+B135/100*'emissziós faktorok'!B$25</f>
        <v>16216482.368283445</v>
      </c>
      <c r="E135" s="124">
        <f>+C135+C141</f>
        <v>16303938.448491445</v>
      </c>
      <c r="F135" s="124">
        <f>+G154</f>
        <v>37173.389915302876</v>
      </c>
      <c r="G135" s="4" t="s">
        <v>135</v>
      </c>
      <c r="H135" s="91"/>
      <c r="L135" s="91"/>
    </row>
    <row r="136" spans="1:12" ht="15.75" x14ac:dyDescent="0.3">
      <c r="A136" s="141" t="s">
        <v>221</v>
      </c>
      <c r="B136" s="124">
        <f>+B81/(B$80+B$81)*E121*365</f>
        <v>105945981.67856389</v>
      </c>
      <c r="C136" s="124">
        <f>+B136/100*'emissziós faktorok'!C$25</f>
        <v>7204326.754142344</v>
      </c>
      <c r="E136" s="124">
        <f>+C136</f>
        <v>7204326.754142344</v>
      </c>
      <c r="F136" s="124">
        <f>+F155</f>
        <v>20031.117660989432</v>
      </c>
      <c r="G136" s="4" t="s">
        <v>135</v>
      </c>
      <c r="H136" s="91"/>
      <c r="L136" s="91"/>
    </row>
    <row r="137" spans="1:12" x14ac:dyDescent="0.2">
      <c r="A137" s="109" t="s">
        <v>222</v>
      </c>
      <c r="B137" s="124">
        <f>+F121*365</f>
        <v>52393139.461600013</v>
      </c>
      <c r="C137" s="124">
        <f>+B137/100*'emissziós faktorok'!C$26</f>
        <v>6271458.7935535219</v>
      </c>
      <c r="F137" s="140"/>
      <c r="H137" s="91"/>
      <c r="L137" s="91"/>
    </row>
    <row r="138" spans="1:12" ht="15.75" x14ac:dyDescent="0.3">
      <c r="A138" s="109" t="s">
        <v>223</v>
      </c>
      <c r="B138" s="124">
        <f>+G121*365</f>
        <v>5892461.1872000014</v>
      </c>
      <c r="C138" s="124">
        <f>+B138/100*'emissziós faktorok'!C$27</f>
        <v>1804271.6155206405</v>
      </c>
      <c r="E138" s="124">
        <f>+C138</f>
        <v>1804271.6155206405</v>
      </c>
      <c r="F138" s="124">
        <f>+F156</f>
        <v>5016.648780137124</v>
      </c>
      <c r="G138" s="4" t="s">
        <v>135</v>
      </c>
      <c r="H138" s="91"/>
      <c r="L138" s="91"/>
    </row>
    <row r="139" spans="1:12" ht="15.75" x14ac:dyDescent="0.3">
      <c r="A139" s="109" t="s">
        <v>224</v>
      </c>
      <c r="B139" s="124">
        <f>+H121*365</f>
        <v>9280408.3568000011</v>
      </c>
      <c r="C139" s="124">
        <f>+B139/100*'emissziós faktorok'!C$29</f>
        <v>2394345.3560544006</v>
      </c>
      <c r="E139" s="124">
        <f>+C137+C139+C140</f>
        <v>15199339.77074632</v>
      </c>
      <c r="F139" s="124">
        <f>+F157</f>
        <v>42260.682185482132</v>
      </c>
      <c r="G139" s="4" t="s">
        <v>135</v>
      </c>
      <c r="H139" s="91"/>
      <c r="L139" s="91"/>
    </row>
    <row r="140" spans="1:12" x14ac:dyDescent="0.2">
      <c r="A140" s="109" t="s">
        <v>225</v>
      </c>
      <c r="B140" s="124">
        <f>+I121*365</f>
        <v>15593163.773599997</v>
      </c>
      <c r="C140" s="124">
        <f>+B140/100*'emissziós faktorok'!C$31</f>
        <v>6533535.6211383985</v>
      </c>
      <c r="F140" s="140"/>
      <c r="H140" s="91"/>
      <c r="L140" s="91"/>
    </row>
    <row r="141" spans="1:12" x14ac:dyDescent="0.2">
      <c r="A141" s="109" t="s">
        <v>180</v>
      </c>
      <c r="B141" s="124">
        <f>+J121*365</f>
        <v>2915202.6735999999</v>
      </c>
      <c r="C141" s="124">
        <f>+B141/100*'emissziós faktorok'!B$34</f>
        <v>87456.080207999999</v>
      </c>
      <c r="F141" s="140"/>
      <c r="H141" s="91"/>
      <c r="L141" s="91"/>
    </row>
    <row r="142" spans="1:12" x14ac:dyDescent="0.2">
      <c r="A142" s="7"/>
      <c r="F142" s="140"/>
      <c r="H142" s="91"/>
      <c r="L142" s="91"/>
    </row>
    <row r="143" spans="1:12" ht="15.75" x14ac:dyDescent="0.3">
      <c r="A143" s="7" t="s">
        <v>226</v>
      </c>
      <c r="B143" s="5">
        <f>+B14</f>
        <v>2377278</v>
      </c>
      <c r="C143" s="124">
        <f>+B143/100*'emissziós faktorok'!C$27</f>
        <v>727922.52359999996</v>
      </c>
      <c r="F143" s="124">
        <f>+F158</f>
        <v>2023.9367557741759</v>
      </c>
      <c r="G143" s="4" t="s">
        <v>135</v>
      </c>
      <c r="H143" s="91"/>
      <c r="L143" s="91"/>
    </row>
    <row r="144" spans="1:12" x14ac:dyDescent="0.2">
      <c r="A144" s="7"/>
      <c r="B144" s="140"/>
      <c r="H144" s="91"/>
      <c r="L144" s="91"/>
    </row>
    <row r="145" spans="1:12" x14ac:dyDescent="0.2">
      <c r="A145" t="s">
        <v>227</v>
      </c>
      <c r="B145" s="5">
        <f>+(B77-B78)/B77</f>
        <v>0.90011750881316099</v>
      </c>
      <c r="H145" s="91"/>
      <c r="L145" s="91"/>
    </row>
    <row r="146" spans="1:12" x14ac:dyDescent="0.2">
      <c r="A146" s="7"/>
      <c r="B146" s="140"/>
      <c r="H146" s="91"/>
      <c r="L146" s="91"/>
    </row>
    <row r="147" spans="1:12" x14ac:dyDescent="0.2">
      <c r="A147" s="91"/>
      <c r="H147" s="142"/>
      <c r="K147" s="90"/>
      <c r="L147" s="91"/>
    </row>
    <row r="148" spans="1:12" x14ac:dyDescent="0.2">
      <c r="A148" s="143"/>
      <c r="B148" s="108"/>
      <c r="C148" s="144"/>
      <c r="D148" s="108"/>
      <c r="E148" s="108"/>
      <c r="F148" s="144"/>
      <c r="G148" s="108"/>
      <c r="H148" s="108"/>
      <c r="I148" s="108"/>
      <c r="J148" s="87"/>
    </row>
    <row r="149" spans="1:12" ht="15.75" x14ac:dyDescent="0.3">
      <c r="A149" s="179"/>
      <c r="B149" s="241" t="s">
        <v>228</v>
      </c>
      <c r="C149" s="241"/>
      <c r="D149" s="241" t="s">
        <v>229</v>
      </c>
      <c r="E149" s="241"/>
      <c r="F149" s="241" t="s">
        <v>230</v>
      </c>
      <c r="G149" s="241"/>
      <c r="H149" s="241" t="s">
        <v>231</v>
      </c>
      <c r="I149" s="241"/>
      <c r="J149" s="88"/>
    </row>
    <row r="150" spans="1:12" x14ac:dyDescent="0.2">
      <c r="A150" s="180"/>
      <c r="B150" s="209" t="s">
        <v>197</v>
      </c>
      <c r="C150" s="209" t="s">
        <v>196</v>
      </c>
      <c r="D150" s="209" t="s">
        <v>197</v>
      </c>
      <c r="E150" s="209" t="s">
        <v>196</v>
      </c>
      <c r="F150" s="209" t="s">
        <v>197</v>
      </c>
      <c r="G150" s="209" t="s">
        <v>196</v>
      </c>
      <c r="H150" s="209" t="s">
        <v>197</v>
      </c>
      <c r="I150" s="209" t="s">
        <v>196</v>
      </c>
      <c r="J150" s="88"/>
    </row>
    <row r="151" spans="1:12" ht="15.75" x14ac:dyDescent="0.3">
      <c r="A151" s="180"/>
      <c r="B151" s="209" t="s">
        <v>232</v>
      </c>
      <c r="C151" s="209" t="s">
        <v>232</v>
      </c>
      <c r="D151" s="209" t="s">
        <v>60</v>
      </c>
      <c r="E151" s="209" t="s">
        <v>60</v>
      </c>
      <c r="F151" s="209" t="s">
        <v>233</v>
      </c>
      <c r="G151" s="209" t="s">
        <v>233</v>
      </c>
      <c r="H151" s="209" t="s">
        <v>60</v>
      </c>
      <c r="I151" s="209" t="s">
        <v>60</v>
      </c>
      <c r="J151" s="88"/>
    </row>
    <row r="152" spans="1:12" x14ac:dyDescent="0.2">
      <c r="A152" s="180" t="s">
        <v>234</v>
      </c>
      <c r="B152" s="181">
        <f>+C129</f>
        <v>1248483.2143373052</v>
      </c>
      <c r="C152" s="181">
        <f>+C128</f>
        <v>3304141.4503639042</v>
      </c>
      <c r="D152" s="182">
        <f>B152*I$162*(1-B$85)</f>
        <v>13012.890603709158</v>
      </c>
      <c r="E152" s="182">
        <f>C152*I$164*(1-B$84)</f>
        <v>30196.912170435255</v>
      </c>
      <c r="F152" s="182">
        <f>D152*E$162</f>
        <v>3471.3186974454552</v>
      </c>
      <c r="G152" s="182">
        <f>E152*E$164</f>
        <v>7533.5256482801879</v>
      </c>
      <c r="H152" s="182">
        <f>B152*I$162*(B$85)</f>
        <v>670.48542542770645</v>
      </c>
      <c r="I152" s="182">
        <f>C152*I$164*(B$84)</f>
        <v>1555.8871675618586</v>
      </c>
      <c r="J152" s="88"/>
    </row>
    <row r="153" spans="1:12" x14ac:dyDescent="0.2">
      <c r="A153" s="180" t="s">
        <v>235</v>
      </c>
      <c r="B153" s="181">
        <f>+C132</f>
        <v>65808.622475256387</v>
      </c>
      <c r="C153" s="181">
        <f>+C131</f>
        <v>174164.13357808895</v>
      </c>
      <c r="D153" s="182">
        <f>B153*I$162*(1-B$85)</f>
        <v>685.92063971469838</v>
      </c>
      <c r="E153" s="182">
        <f>C153*I$164*(1-B$84)</f>
        <v>1591.7051748248482</v>
      </c>
      <c r="F153" s="182">
        <f>D153*E$162</f>
        <v>182.97618985029294</v>
      </c>
      <c r="G153" s="182">
        <f>E153*E$164</f>
        <v>397.09860701530312</v>
      </c>
      <c r="H153" s="182">
        <f>B153*I$162*(B$85)</f>
        <v>35.341862614111697</v>
      </c>
      <c r="I153" s="182">
        <f>C153*I$164*(B$84)</f>
        <v>82.012148860586294</v>
      </c>
      <c r="J153" s="88"/>
    </row>
    <row r="154" spans="1:12" x14ac:dyDescent="0.2">
      <c r="A154" s="180" t="s">
        <v>236</v>
      </c>
      <c r="B154" s="4"/>
      <c r="C154" s="181">
        <f>+E135</f>
        <v>16303938.448491445</v>
      </c>
      <c r="D154" s="182"/>
      <c r="E154" s="182">
        <f>C154*I$164*(1-B$84)</f>
        <v>149003.48691399262</v>
      </c>
      <c r="F154" s="182"/>
      <c r="G154" s="182">
        <f>E154*E$164</f>
        <v>37173.389915302876</v>
      </c>
      <c r="H154" s="182"/>
      <c r="I154" s="182">
        <f>C154*I$164*(B$84)</f>
        <v>7677.3615760101356</v>
      </c>
      <c r="J154" s="88"/>
    </row>
    <row r="155" spans="1:12" x14ac:dyDescent="0.2">
      <c r="A155" s="180" t="s">
        <v>237</v>
      </c>
      <c r="B155" s="181">
        <f>+E136</f>
        <v>7204326.754142344</v>
      </c>
      <c r="C155" s="181"/>
      <c r="D155" s="182">
        <f>B155*I$162*(1-B$85)</f>
        <v>75090.40958535549</v>
      </c>
      <c r="E155" s="181"/>
      <c r="F155" s="182">
        <f>D155*E$162</f>
        <v>20031.117660989432</v>
      </c>
      <c r="G155" s="181"/>
      <c r="H155" s="182">
        <f>B155*I$162*(B$85)</f>
        <v>3869.0116400446054</v>
      </c>
      <c r="I155" s="181"/>
      <c r="J155" s="88"/>
    </row>
    <row r="156" spans="1:12" x14ac:dyDescent="0.2">
      <c r="A156" s="180" t="s">
        <v>238</v>
      </c>
      <c r="B156" s="181">
        <f>+E138</f>
        <v>1804271.6155206405</v>
      </c>
      <c r="C156" s="181"/>
      <c r="D156" s="182">
        <f>B156*I$162*(1-B$85)</f>
        <v>18805.850877707016</v>
      </c>
      <c r="E156" s="181"/>
      <c r="F156" s="182">
        <f>D156*E$162</f>
        <v>5016.648780137124</v>
      </c>
      <c r="G156" s="181"/>
      <c r="H156" s="182">
        <f>B156*I$162*(B$85)</f>
        <v>968.9660283992049</v>
      </c>
      <c r="I156" s="181"/>
      <c r="J156" s="88"/>
    </row>
    <row r="157" spans="1:12" x14ac:dyDescent="0.2">
      <c r="A157" s="180" t="s">
        <v>239</v>
      </c>
      <c r="B157" s="181">
        <f>+E139</f>
        <v>15199339.77074632</v>
      </c>
      <c r="C157" s="181"/>
      <c r="D157" s="182">
        <f>B157*I$162*(1-B$85)</f>
        <v>158422.11045689808</v>
      </c>
      <c r="E157" s="181"/>
      <c r="F157" s="182">
        <f>D157*E$162</f>
        <v>42260.682185482132</v>
      </c>
      <c r="G157" s="181"/>
      <c r="H157" s="182">
        <f>B157*I$162*(B$85)</f>
        <v>8162.653430481605</v>
      </c>
      <c r="I157" s="181"/>
      <c r="J157" s="88"/>
    </row>
    <row r="158" spans="1:12" x14ac:dyDescent="0.2">
      <c r="A158" s="180" t="s">
        <v>240</v>
      </c>
      <c r="B158" s="181">
        <f>+C143</f>
        <v>727922.52359999996</v>
      </c>
      <c r="C158" s="182"/>
      <c r="D158" s="182">
        <f>B158*I$162*(1-B$85)</f>
        <v>7587.1073465818563</v>
      </c>
      <c r="E158" s="182"/>
      <c r="F158" s="182">
        <f>D158*E$162</f>
        <v>2023.9367557741759</v>
      </c>
      <c r="G158" s="182"/>
      <c r="H158" s="182">
        <f>B158*I$162*(B$85)</f>
        <v>390.92351207414401</v>
      </c>
      <c r="I158" s="182"/>
      <c r="J158" s="88"/>
    </row>
    <row r="159" spans="1:12" ht="15" x14ac:dyDescent="0.25">
      <c r="B159" s="146"/>
      <c r="C159" s="147"/>
      <c r="D159" s="147"/>
      <c r="E159" s="147"/>
      <c r="F159" s="147"/>
      <c r="G159" s="147"/>
      <c r="H159" s="147"/>
      <c r="I159" s="147"/>
      <c r="J159" s="88"/>
    </row>
    <row r="160" spans="1:12" ht="15" x14ac:dyDescent="0.25">
      <c r="A160" s="145"/>
      <c r="B160" s="147"/>
      <c r="C160" s="147"/>
      <c r="D160" s="147"/>
      <c r="E160" s="147"/>
      <c r="F160" s="147"/>
      <c r="G160" s="147"/>
      <c r="H160" s="147"/>
      <c r="I160" s="147"/>
      <c r="J160" s="88"/>
    </row>
    <row r="161" spans="1:13" x14ac:dyDescent="0.2">
      <c r="A161" s="188" t="s">
        <v>241</v>
      </c>
      <c r="B161" s="178"/>
      <c r="C161" s="189">
        <f>SUM(D152:D160)</f>
        <v>273604.28950996633</v>
      </c>
      <c r="D161" s="178" t="s">
        <v>60</v>
      </c>
      <c r="E161" s="4" t="s">
        <v>242</v>
      </c>
      <c r="F161" s="4"/>
      <c r="G161" s="4" t="s">
        <v>243</v>
      </c>
      <c r="H161" s="4"/>
      <c r="I161" s="4" t="s">
        <v>243</v>
      </c>
      <c r="J161" s="110"/>
    </row>
    <row r="162" spans="1:13" ht="15.75" x14ac:dyDescent="0.3">
      <c r="A162" s="188" t="s">
        <v>244</v>
      </c>
      <c r="B162" s="178"/>
      <c r="C162" s="189">
        <f>SUM(F152:F160)</f>
        <v>72986.680269678618</v>
      </c>
      <c r="D162" s="178" t="s">
        <v>135</v>
      </c>
      <c r="E162" s="183">
        <f>+'emissziós faktorok'!B12</f>
        <v>0.26676</v>
      </c>
      <c r="F162" s="184" t="s">
        <v>245</v>
      </c>
      <c r="G162" s="185">
        <f>'emissziós faktorok'!F12</f>
        <v>10.96</v>
      </c>
      <c r="H162" s="178" t="s">
        <v>246</v>
      </c>
      <c r="I162" s="186">
        <f>'emissziós faktorok'!H12</f>
        <v>1.0960000000000001E-2</v>
      </c>
      <c r="J162" s="187" t="s">
        <v>247</v>
      </c>
    </row>
    <row r="163" spans="1:13" x14ac:dyDescent="0.2">
      <c r="A163" s="188" t="s">
        <v>248</v>
      </c>
      <c r="B163" s="178"/>
      <c r="C163" s="189">
        <f>SUM(E152:E160)</f>
        <v>180792.10425925272</v>
      </c>
      <c r="D163" s="178" t="s">
        <v>60</v>
      </c>
      <c r="E163" s="4"/>
      <c r="F163" s="184"/>
      <c r="G163" s="178"/>
      <c r="H163" s="178"/>
      <c r="I163" s="178"/>
      <c r="J163" s="110"/>
    </row>
    <row r="164" spans="1:13" ht="15.75" x14ac:dyDescent="0.3">
      <c r="A164" s="188" t="s">
        <v>244</v>
      </c>
      <c r="B164" s="178"/>
      <c r="C164" s="189">
        <f>SUM(G152:G160)</f>
        <v>45104.01417059837</v>
      </c>
      <c r="D164" s="178" t="s">
        <v>135</v>
      </c>
      <c r="E164" s="183">
        <f>+'emissziós faktorok'!B13</f>
        <v>0.24948000000000001</v>
      </c>
      <c r="F164" s="184" t="s">
        <v>245</v>
      </c>
      <c r="G164" s="185">
        <f>'emissziós faktorok'!F13</f>
        <v>9.61</v>
      </c>
      <c r="H164" s="178" t="s">
        <v>246</v>
      </c>
      <c r="I164" s="186">
        <f>'emissziós faktorok'!H13</f>
        <v>9.6099999999999988E-3</v>
      </c>
      <c r="J164" s="187" t="s">
        <v>247</v>
      </c>
    </row>
    <row r="165" spans="1:13" ht="15" x14ac:dyDescent="0.25">
      <c r="A165" s="148"/>
      <c r="B165" s="149"/>
      <c r="C165" s="149"/>
      <c r="D165" s="149"/>
      <c r="E165" s="149"/>
      <c r="F165" s="149"/>
      <c r="G165" s="149"/>
      <c r="H165" s="149"/>
      <c r="I165" s="149"/>
      <c r="J165" s="150"/>
    </row>
    <row r="166" spans="1:13" ht="15" x14ac:dyDescent="0.25">
      <c r="K166" s="119"/>
    </row>
    <row r="169" spans="1:13" x14ac:dyDescent="0.2">
      <c r="M169" s="120"/>
    </row>
  </sheetData>
  <sheetProtection password="FA7E" sheet="1" formatColumns="0" formatRows="0"/>
  <protectedRanges>
    <protectedRange sqref="A31:N60 B19:B20 B10:B14 B62:AF62 B77 B80:B81 B84:B85 AF47:AG47 AH64:AP65 B65:AE65 B64:AF64 M78:M121 AG65" name="Tartomány1"/>
    <protectedRange sqref="B78" name="Tartomány1_1"/>
  </protectedRanges>
  <mergeCells count="8">
    <mergeCell ref="F149:G149"/>
    <mergeCell ref="H149:I149"/>
    <mergeCell ref="A22:A23"/>
    <mergeCell ref="A4:A6"/>
    <mergeCell ref="A16:A17"/>
    <mergeCell ref="B149:C149"/>
    <mergeCell ref="D149:E149"/>
    <mergeCell ref="A26:C26"/>
  </mergeCells>
  <phoneticPr fontId="51" type="noConversion"/>
  <pageMargins left="0.23622047244094491" right="0.23622047244094491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>
    <tabColor theme="4"/>
  </sheetPr>
  <dimension ref="A1:O53"/>
  <sheetViews>
    <sheetView topLeftCell="A26" workbookViewId="0">
      <selection activeCell="A35" sqref="A35:N51"/>
    </sheetView>
  </sheetViews>
  <sheetFormatPr defaultRowHeight="12.75" x14ac:dyDescent="0.2"/>
  <cols>
    <col min="1" max="1" width="31.85546875" customWidth="1"/>
    <col min="2" max="2" width="14.42578125" customWidth="1"/>
    <col min="3" max="3" width="9.5703125" customWidth="1"/>
    <col min="4" max="4" width="10.140625" customWidth="1"/>
    <col min="5" max="5" width="19.85546875" customWidth="1"/>
    <col min="6" max="6" width="13.28515625" customWidth="1"/>
    <col min="7" max="7" width="8" customWidth="1"/>
    <col min="8" max="8" width="15.140625" customWidth="1"/>
    <col min="9" max="9" width="14.7109375" customWidth="1"/>
    <col min="11" max="11" width="6.5703125" customWidth="1"/>
    <col min="12" max="12" width="12.42578125" customWidth="1"/>
    <col min="13" max="13" width="15" customWidth="1"/>
  </cols>
  <sheetData>
    <row r="1" spans="1:15" s="10" customFormat="1" ht="28.5" customHeight="1" thickBot="1" x14ac:dyDescent="0.25">
      <c r="A1" s="52" t="s">
        <v>249</v>
      </c>
      <c r="D1" s="53"/>
      <c r="E1" s="53"/>
      <c r="F1" s="54"/>
      <c r="H1" s="240" t="s">
        <v>123</v>
      </c>
      <c r="I1" s="57"/>
      <c r="J1" s="57"/>
      <c r="L1" s="230" t="s">
        <v>250</v>
      </c>
      <c r="M1" s="52" t="s">
        <v>18</v>
      </c>
    </row>
    <row r="2" spans="1:15" s="167" customFormat="1" ht="12.75" customHeight="1" thickBot="1" x14ac:dyDescent="0.3">
      <c r="D2" s="169" t="s">
        <v>124</v>
      </c>
      <c r="E2" s="56">
        <f>E5+E17</f>
        <v>320.02304758558023</v>
      </c>
      <c r="F2" s="169" t="s">
        <v>125</v>
      </c>
      <c r="H2" s="245"/>
      <c r="I2" s="58">
        <f>I17+I36</f>
        <v>942.3460526780201</v>
      </c>
      <c r="J2" s="170" t="s">
        <v>125</v>
      </c>
      <c r="L2" s="246"/>
      <c r="M2" s="55">
        <f>M5+M17+M36</f>
        <v>1262.3691002636003</v>
      </c>
      <c r="N2" s="168" t="s">
        <v>251</v>
      </c>
    </row>
    <row r="4" spans="1:15" s="10" customFormat="1" ht="28.5" customHeight="1" thickBot="1" x14ac:dyDescent="0.25">
      <c r="A4" s="52" t="s">
        <v>252</v>
      </c>
      <c r="D4" s="53"/>
      <c r="E4" s="53"/>
      <c r="F4" s="54"/>
      <c r="M4" s="52" t="s">
        <v>28</v>
      </c>
      <c r="O4" s="52"/>
    </row>
    <row r="5" spans="1:15" s="10" customFormat="1" ht="15" thickBot="1" x14ac:dyDescent="0.3">
      <c r="D5" s="54" t="s">
        <v>124</v>
      </c>
      <c r="E5" s="56">
        <f>E10+E14</f>
        <v>233.92519262718363</v>
      </c>
      <c r="F5" s="169" t="s">
        <v>125</v>
      </c>
      <c r="M5" s="55">
        <f>E5</f>
        <v>233.92519262718363</v>
      </c>
      <c r="N5" s="168" t="s">
        <v>251</v>
      </c>
    </row>
    <row r="6" spans="1:15" x14ac:dyDescent="0.2">
      <c r="A6" s="215" t="s">
        <v>253</v>
      </c>
      <c r="D6" s="21"/>
      <c r="F6" s="21"/>
      <c r="L6" s="50"/>
      <c r="M6" s="21"/>
    </row>
    <row r="7" spans="1:15" x14ac:dyDescent="0.2">
      <c r="A7" s="96" t="s">
        <v>254</v>
      </c>
      <c r="D7" s="21"/>
      <c r="E7" s="96"/>
      <c r="F7" s="21"/>
      <c r="L7" s="50"/>
      <c r="M7" s="21"/>
    </row>
    <row r="9" spans="1:15" ht="13.5" thickBot="1" x14ac:dyDescent="0.25">
      <c r="A9" s="4" t="s">
        <v>3</v>
      </c>
      <c r="B9" s="23">
        <v>2020</v>
      </c>
    </row>
    <row r="10" spans="1:15" ht="16.5" thickBot="1" x14ac:dyDescent="0.35">
      <c r="A10" s="4" t="s">
        <v>255</v>
      </c>
      <c r="B10" s="23">
        <v>89</v>
      </c>
      <c r="C10" s="4" t="s">
        <v>153</v>
      </c>
      <c r="E10" s="47">
        <f>E11+E12</f>
        <v>182.34919262718364</v>
      </c>
      <c r="F10" s="4" t="s">
        <v>256</v>
      </c>
    </row>
    <row r="11" spans="1:15" ht="16.5" thickBot="1" x14ac:dyDescent="0.35">
      <c r="A11" s="4" t="s">
        <v>257</v>
      </c>
      <c r="B11" s="23">
        <v>50</v>
      </c>
      <c r="C11" s="4" t="s">
        <v>153</v>
      </c>
      <c r="E11" s="47">
        <f>B11*'emissziós faktorok'!D40</f>
        <v>137.0437193908293</v>
      </c>
      <c r="F11" s="4" t="s">
        <v>256</v>
      </c>
    </row>
    <row r="12" spans="1:15" ht="16.5" thickBot="1" x14ac:dyDescent="0.35">
      <c r="A12" s="4" t="s">
        <v>258</v>
      </c>
      <c r="B12" s="5">
        <f>B10-B11</f>
        <v>39</v>
      </c>
      <c r="C12" s="4" t="s">
        <v>153</v>
      </c>
      <c r="E12" s="47">
        <f>B12*'emissziós faktorok'!D41</f>
        <v>45.305473236354352</v>
      </c>
      <c r="F12" s="4" t="s">
        <v>256</v>
      </c>
    </row>
    <row r="13" spans="1:15" ht="13.5" thickBot="1" x14ac:dyDescent="0.25"/>
    <row r="14" spans="1:15" ht="16.5" thickBot="1" x14ac:dyDescent="0.35">
      <c r="A14" s="4" t="s">
        <v>259</v>
      </c>
      <c r="B14" s="206">
        <v>307</v>
      </c>
      <c r="C14" s="4" t="s">
        <v>153</v>
      </c>
      <c r="E14" s="47">
        <f>B14*'emissziós faktorok'!D42</f>
        <v>51.576000000000001</v>
      </c>
      <c r="F14" s="4" t="s">
        <v>256</v>
      </c>
    </row>
    <row r="15" spans="1:15" ht="9.75" customHeight="1" x14ac:dyDescent="0.2"/>
    <row r="16" spans="1:15" s="10" customFormat="1" ht="29.25" customHeight="1" thickBot="1" x14ac:dyDescent="0.25">
      <c r="A16" s="52" t="s">
        <v>260</v>
      </c>
      <c r="D16" s="53"/>
      <c r="E16" s="53"/>
      <c r="F16" s="54"/>
      <c r="H16" s="240" t="s">
        <v>123</v>
      </c>
      <c r="I16" s="57"/>
      <c r="J16" s="57"/>
      <c r="M16" s="52" t="s">
        <v>28</v>
      </c>
    </row>
    <row r="17" spans="1:14" s="10" customFormat="1" ht="12.75" customHeight="1" thickBot="1" x14ac:dyDescent="0.3">
      <c r="A17" s="52"/>
      <c r="D17" s="54" t="s">
        <v>124</v>
      </c>
      <c r="E17" s="56">
        <f>E22+E26+E32</f>
        <v>86.097854958396596</v>
      </c>
      <c r="F17" s="169" t="s">
        <v>125</v>
      </c>
      <c r="H17" s="240"/>
      <c r="I17" s="58">
        <f>I22+I26+I32</f>
        <v>47.112827009866038</v>
      </c>
      <c r="J17" s="170" t="s">
        <v>125</v>
      </c>
      <c r="M17" s="55">
        <f>E17+I17</f>
        <v>133.21068196826263</v>
      </c>
      <c r="N17" s="168" t="s">
        <v>251</v>
      </c>
    </row>
    <row r="18" spans="1:14" x14ac:dyDescent="0.2">
      <c r="A18" s="215" t="s">
        <v>253</v>
      </c>
      <c r="D18" s="21"/>
      <c r="F18" s="21"/>
      <c r="L18" s="50"/>
      <c r="M18" s="21"/>
    </row>
    <row r="19" spans="1:14" x14ac:dyDescent="0.2">
      <c r="A19" s="96" t="s">
        <v>254</v>
      </c>
      <c r="D19" s="21"/>
      <c r="E19" s="96"/>
      <c r="F19" s="21"/>
      <c r="L19" s="50"/>
      <c r="M19" s="21"/>
    </row>
    <row r="21" spans="1:14" ht="13.5" thickBot="1" x14ac:dyDescent="0.25">
      <c r="A21" s="4" t="s">
        <v>3</v>
      </c>
      <c r="B21" s="5">
        <f>B9</f>
        <v>2020</v>
      </c>
    </row>
    <row r="22" spans="1:14" ht="16.5" thickBot="1" x14ac:dyDescent="0.35">
      <c r="A22" s="4" t="s">
        <v>255</v>
      </c>
      <c r="B22" s="5">
        <f>B10</f>
        <v>89</v>
      </c>
      <c r="C22" s="4" t="s">
        <v>153</v>
      </c>
      <c r="E22" s="47">
        <f>E23+E24</f>
        <v>39.709257374840099</v>
      </c>
      <c r="F22" s="4" t="s">
        <v>256</v>
      </c>
      <c r="I22" s="49">
        <f>I23+I24</f>
        <v>17.785522244304982</v>
      </c>
      <c r="J22" s="4" t="s">
        <v>256</v>
      </c>
    </row>
    <row r="23" spans="1:14" ht="16.5" thickBot="1" x14ac:dyDescent="0.35">
      <c r="A23" s="4" t="s">
        <v>257</v>
      </c>
      <c r="B23" s="5">
        <f>B11</f>
        <v>50</v>
      </c>
      <c r="C23" s="4" t="s">
        <v>153</v>
      </c>
      <c r="E23" s="47">
        <f>B23*'emissziós faktorok'!D43</f>
        <v>32.480634898393504</v>
      </c>
      <c r="F23" s="4" t="s">
        <v>256</v>
      </c>
      <c r="I23" s="47">
        <f>B23*'emissziós faktorok'!H43</f>
        <v>17.024026216045414</v>
      </c>
      <c r="J23" s="4" t="s">
        <v>256</v>
      </c>
    </row>
    <row r="24" spans="1:14" ht="16.5" thickBot="1" x14ac:dyDescent="0.35">
      <c r="A24" s="4" t="s">
        <v>258</v>
      </c>
      <c r="B24" s="5">
        <f>B12</f>
        <v>39</v>
      </c>
      <c r="C24" s="4" t="s">
        <v>153</v>
      </c>
      <c r="E24" s="47">
        <f>B24*'emissziós faktorok'!D44</f>
        <v>7.2286224764465938</v>
      </c>
      <c r="F24" s="4" t="s">
        <v>256</v>
      </c>
      <c r="I24" s="47">
        <f>B24*'emissziós faktorok'!H45</f>
        <v>0.76149602825956919</v>
      </c>
      <c r="J24" s="4" t="s">
        <v>256</v>
      </c>
    </row>
    <row r="25" spans="1:14" ht="13.5" thickBot="1" x14ac:dyDescent="0.25"/>
    <row r="26" spans="1:14" ht="16.5" thickBot="1" x14ac:dyDescent="0.35">
      <c r="A26" s="4" t="s">
        <v>261</v>
      </c>
      <c r="B26" s="23">
        <v>111</v>
      </c>
      <c r="C26" s="4" t="s">
        <v>153</v>
      </c>
      <c r="E26" s="47">
        <f>B26*'emissziós faktorok'!D45</f>
        <v>8.8071323697347381</v>
      </c>
      <c r="F26" s="4" t="s">
        <v>256</v>
      </c>
      <c r="I26" s="47">
        <f>B26*'emissziós faktorok'!H45</f>
        <v>2.167334849661851</v>
      </c>
      <c r="J26" s="4" t="s">
        <v>256</v>
      </c>
    </row>
    <row r="28" spans="1:14" x14ac:dyDescent="0.2">
      <c r="A28" s="4" t="s">
        <v>262</v>
      </c>
      <c r="B28" s="24">
        <v>60800</v>
      </c>
      <c r="C28" s="4" t="s">
        <v>153</v>
      </c>
    </row>
    <row r="29" spans="1:14" x14ac:dyDescent="0.2">
      <c r="A29" s="4" t="s">
        <v>263</v>
      </c>
      <c r="B29" s="24">
        <v>0</v>
      </c>
      <c r="C29" s="4" t="s">
        <v>153</v>
      </c>
      <c r="E29" s="120"/>
      <c r="F29" s="4"/>
      <c r="I29" s="120"/>
      <c r="J29" s="4"/>
    </row>
    <row r="30" spans="1:14" x14ac:dyDescent="0.2">
      <c r="A30" s="4" t="s">
        <v>264</v>
      </c>
      <c r="B30" s="24">
        <v>0</v>
      </c>
      <c r="C30" s="4" t="s">
        <v>153</v>
      </c>
      <c r="E30" s="120"/>
      <c r="F30" s="4"/>
      <c r="I30" s="120"/>
      <c r="J30" s="4"/>
    </row>
    <row r="31" spans="1:14" ht="13.5" thickBot="1" x14ac:dyDescent="0.25">
      <c r="A31" s="4" t="s">
        <v>265</v>
      </c>
      <c r="B31" s="24">
        <v>0</v>
      </c>
      <c r="C31" s="4" t="s">
        <v>153</v>
      </c>
      <c r="E31" s="120"/>
      <c r="F31" s="4"/>
      <c r="I31" s="120"/>
      <c r="J31" s="4"/>
    </row>
    <row r="32" spans="1:14" ht="16.5" thickBot="1" x14ac:dyDescent="0.35">
      <c r="A32" s="4" t="s">
        <v>266</v>
      </c>
      <c r="B32" s="102">
        <f>B28+B29+B30+B31</f>
        <v>60800</v>
      </c>
      <c r="E32" s="133">
        <f>B32*'emissziós faktorok'!D46</f>
        <v>37.581465213821765</v>
      </c>
      <c r="F32" s="4" t="s">
        <v>256</v>
      </c>
      <c r="I32" s="133">
        <f>B32*'emissziós faktorok'!H46</f>
        <v>27.1599699158992</v>
      </c>
      <c r="J32" s="4" t="s">
        <v>256</v>
      </c>
    </row>
    <row r="35" spans="1:14" s="10" customFormat="1" ht="29.25" customHeight="1" thickBot="1" x14ac:dyDescent="0.25">
      <c r="A35" s="52" t="s">
        <v>267</v>
      </c>
      <c r="H35" s="240" t="s">
        <v>123</v>
      </c>
      <c r="I35" s="57"/>
      <c r="J35" s="57"/>
      <c r="M35" s="52" t="s">
        <v>28</v>
      </c>
    </row>
    <row r="36" spans="1:14" s="10" customFormat="1" ht="12.75" customHeight="1" thickBot="1" x14ac:dyDescent="0.3">
      <c r="A36" s="52"/>
      <c r="H36" s="240"/>
      <c r="I36" s="58">
        <f>F50*'emissziós faktorok'!H47</f>
        <v>895.23322566815409</v>
      </c>
      <c r="J36" s="170" t="s">
        <v>125</v>
      </c>
      <c r="M36" s="55">
        <f>I36</f>
        <v>895.23322566815409</v>
      </c>
      <c r="N36" s="168" t="s">
        <v>251</v>
      </c>
    </row>
    <row r="37" spans="1:14" ht="12.75" customHeight="1" x14ac:dyDescent="0.2">
      <c r="A37" s="197" t="s">
        <v>268</v>
      </c>
      <c r="H37" s="205"/>
      <c r="I37" s="50"/>
      <c r="J37" s="21"/>
      <c r="M37" s="50"/>
      <c r="N37" s="21"/>
    </row>
    <row r="38" spans="1:14" s="194" customFormat="1" ht="12.75" customHeight="1" x14ac:dyDescent="0.2">
      <c r="A38" s="203" t="s">
        <v>269</v>
      </c>
      <c r="H38" s="195"/>
      <c r="I38" s="196"/>
      <c r="J38" s="197"/>
      <c r="L38" s="196"/>
      <c r="M38" s="197"/>
    </row>
    <row r="39" spans="1:14" s="194" customFormat="1" ht="12.75" customHeight="1" x14ac:dyDescent="0.2">
      <c r="A39" s="194" t="s">
        <v>270</v>
      </c>
      <c r="H39" s="195"/>
      <c r="I39" s="196"/>
      <c r="J39" s="197"/>
      <c r="L39" s="196"/>
      <c r="M39" s="197"/>
    </row>
    <row r="40" spans="1:14" s="194" customFormat="1" ht="12.75" customHeight="1" x14ac:dyDescent="0.2">
      <c r="A40" s="204" t="s">
        <v>271</v>
      </c>
      <c r="H40" s="195"/>
      <c r="I40" s="196"/>
      <c r="J40" s="197"/>
      <c r="L40" s="196"/>
      <c r="M40" s="197"/>
    </row>
    <row r="41" spans="1:14" x14ac:dyDescent="0.2">
      <c r="A41" s="194" t="s">
        <v>272</v>
      </c>
    </row>
    <row r="42" spans="1:14" s="194" customFormat="1" ht="12.75" customHeight="1" x14ac:dyDescent="0.2">
      <c r="A42" s="197" t="s">
        <v>273</v>
      </c>
      <c r="H42" s="195"/>
      <c r="I42" s="196"/>
      <c r="J42" s="197"/>
      <c r="L42" s="196"/>
      <c r="M42" s="197"/>
    </row>
    <row r="43" spans="1:14" s="194" customFormat="1" ht="12.75" customHeight="1" x14ac:dyDescent="0.2">
      <c r="A43" s="198" t="s">
        <v>274</v>
      </c>
      <c r="H43" s="195"/>
      <c r="I43" s="196"/>
      <c r="J43" s="197"/>
      <c r="L43" s="196"/>
      <c r="M43" s="197"/>
    </row>
    <row r="44" spans="1:14" s="194" customFormat="1" ht="12.75" customHeight="1" x14ac:dyDescent="0.2">
      <c r="A44" s="197" t="s">
        <v>275</v>
      </c>
      <c r="H44" s="195"/>
      <c r="I44" s="196"/>
      <c r="J44" s="197"/>
      <c r="L44" s="196"/>
      <c r="M44" s="197"/>
    </row>
    <row r="45" spans="1:14" s="194" customFormat="1" ht="12.75" customHeight="1" x14ac:dyDescent="0.2">
      <c r="A45" s="198" t="s">
        <v>276</v>
      </c>
      <c r="H45" s="195"/>
      <c r="I45" s="196"/>
      <c r="J45" s="197"/>
      <c r="L45" s="196"/>
      <c r="M45" s="197"/>
    </row>
    <row r="46" spans="1:14" x14ac:dyDescent="0.2">
      <c r="A46" s="4"/>
      <c r="D46" s="101"/>
    </row>
    <row r="47" spans="1:14" ht="48.75" customHeight="1" x14ac:dyDescent="0.2">
      <c r="A47" s="4" t="s">
        <v>3</v>
      </c>
      <c r="B47" s="23">
        <v>2020</v>
      </c>
      <c r="E47" s="6" t="s">
        <v>277</v>
      </c>
      <c r="F47" s="24">
        <v>14059266</v>
      </c>
      <c r="G47" s="4" t="s">
        <v>278</v>
      </c>
    </row>
    <row r="48" spans="1:14" ht="53.25" customHeight="1" x14ac:dyDescent="0.2">
      <c r="A48" s="6" t="s">
        <v>279</v>
      </c>
      <c r="B48" s="100">
        <v>7933</v>
      </c>
      <c r="C48" s="4" t="s">
        <v>280</v>
      </c>
      <c r="D48" s="104"/>
      <c r="E48" s="6" t="s">
        <v>281</v>
      </c>
      <c r="F48" s="24">
        <v>30018724</v>
      </c>
      <c r="G48" s="4" t="s">
        <v>278</v>
      </c>
    </row>
    <row r="49" spans="1:7" ht="28.5" customHeight="1" x14ac:dyDescent="0.2">
      <c r="A49" s="6" t="s">
        <v>282</v>
      </c>
      <c r="B49" s="23">
        <v>85207</v>
      </c>
      <c r="C49" s="4" t="s">
        <v>280</v>
      </c>
      <c r="D49" s="104"/>
      <c r="E49" s="6" t="s">
        <v>283</v>
      </c>
      <c r="F49" s="59">
        <f>(F47+F48)/10000000</f>
        <v>4.4077989999999998</v>
      </c>
      <c r="G49" s="60" t="s">
        <v>284</v>
      </c>
    </row>
    <row r="50" spans="1:7" ht="25.5" x14ac:dyDescent="0.2">
      <c r="A50" s="6" t="s">
        <v>285</v>
      </c>
      <c r="B50" s="102">
        <f>B48+B49</f>
        <v>93140</v>
      </c>
      <c r="C50" s="4" t="s">
        <v>280</v>
      </c>
      <c r="D50" s="104"/>
      <c r="E50" s="6" t="s">
        <v>286</v>
      </c>
      <c r="F50" s="61">
        <f>F49/B51*B50</f>
        <v>2726.0451451527224</v>
      </c>
      <c r="G50" s="4" t="s">
        <v>280</v>
      </c>
    </row>
    <row r="51" spans="1:7" x14ac:dyDescent="0.2">
      <c r="A51" s="4" t="s">
        <v>287</v>
      </c>
      <c r="B51" s="23">
        <v>150.6</v>
      </c>
      <c r="C51" s="4" t="s">
        <v>284</v>
      </c>
      <c r="D51" s="104"/>
    </row>
    <row r="52" spans="1:7" x14ac:dyDescent="0.2">
      <c r="C52" s="4"/>
    </row>
    <row r="53" spans="1:7" x14ac:dyDescent="0.2">
      <c r="C53" s="4"/>
      <c r="D53" s="103"/>
    </row>
  </sheetData>
  <sheetProtection password="FA7E" sheet="1" formatColumns="0" formatRows="0"/>
  <protectedRanges>
    <protectedRange sqref="B9:B11 A7 A19 B26 B28:B31 B51 F47:F48 B47:B49" name="Tartomány1"/>
    <protectedRange sqref="A43 A45 A38 A40:A41" name="Tartomány1_2"/>
  </protectedRanges>
  <mergeCells count="4">
    <mergeCell ref="H16:H17"/>
    <mergeCell ref="H35:H36"/>
    <mergeCell ref="H1:H2"/>
    <mergeCell ref="L1:L2"/>
  </mergeCells>
  <phoneticPr fontId="51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>
    <tabColor theme="4"/>
  </sheetPr>
  <dimension ref="A1:P21"/>
  <sheetViews>
    <sheetView workbookViewId="0">
      <selection sqref="A1:P21"/>
    </sheetView>
  </sheetViews>
  <sheetFormatPr defaultRowHeight="12.75" x14ac:dyDescent="0.2"/>
  <cols>
    <col min="1" max="1" width="21" customWidth="1"/>
    <col min="2" max="2" width="17.5703125" customWidth="1"/>
    <col min="5" max="5" width="9.5703125" bestFit="1" customWidth="1"/>
    <col min="8" max="8" width="12.5703125" customWidth="1"/>
    <col min="9" max="9" width="9.5703125" bestFit="1" customWidth="1"/>
  </cols>
  <sheetData>
    <row r="1" spans="1:16" s="10" customFormat="1" ht="28.5" customHeight="1" thickBot="1" x14ac:dyDescent="0.25">
      <c r="A1" s="52" t="s">
        <v>288</v>
      </c>
      <c r="D1" s="53"/>
      <c r="E1" s="54"/>
      <c r="F1" s="53"/>
      <c r="H1" s="240" t="s">
        <v>123</v>
      </c>
      <c r="I1" s="57"/>
      <c r="J1" s="57"/>
      <c r="L1" s="52" t="s">
        <v>28</v>
      </c>
    </row>
    <row r="2" spans="1:16" s="167" customFormat="1" ht="15" thickBot="1" x14ac:dyDescent="0.3">
      <c r="D2" s="169" t="s">
        <v>124</v>
      </c>
      <c r="E2" s="56">
        <f>E5+E14</f>
        <v>2476.6366787478519</v>
      </c>
      <c r="F2" s="169" t="s">
        <v>125</v>
      </c>
      <c r="H2" s="245"/>
      <c r="I2" s="58">
        <f>I14</f>
        <v>1317.6838813839295</v>
      </c>
      <c r="J2" s="170" t="s">
        <v>125</v>
      </c>
      <c r="L2" s="55">
        <f>E2+I2</f>
        <v>3794.3205601317813</v>
      </c>
      <c r="M2" s="168" t="s">
        <v>125</v>
      </c>
    </row>
    <row r="3" spans="1:16" x14ac:dyDescent="0.2">
      <c r="A3" s="215"/>
    </row>
    <row r="4" spans="1:16" s="10" customFormat="1" ht="29.25" customHeight="1" thickBot="1" x14ac:dyDescent="0.25">
      <c r="A4" s="239" t="s">
        <v>289</v>
      </c>
      <c r="B4" s="208"/>
      <c r="C4" s="52"/>
      <c r="D4" s="53"/>
      <c r="E4" s="54"/>
      <c r="F4" s="53"/>
    </row>
    <row r="5" spans="1:16" s="10" customFormat="1" ht="12.75" customHeight="1" thickBot="1" x14ac:dyDescent="0.3">
      <c r="A5" s="239"/>
      <c r="B5" s="208"/>
      <c r="C5" s="52"/>
      <c r="D5" s="54" t="s">
        <v>124</v>
      </c>
      <c r="E5" s="64">
        <f>B10*'emissziós faktorok'!H52</f>
        <v>266.07</v>
      </c>
      <c r="F5" s="169" t="s">
        <v>125</v>
      </c>
    </row>
    <row r="6" spans="1:16" x14ac:dyDescent="0.2">
      <c r="A6" s="215" t="s">
        <v>290</v>
      </c>
    </row>
    <row r="7" spans="1:16" x14ac:dyDescent="0.2">
      <c r="A7" s="130" t="s">
        <v>291</v>
      </c>
    </row>
    <row r="9" spans="1:16" x14ac:dyDescent="0.2">
      <c r="A9" s="4" t="s">
        <v>3</v>
      </c>
      <c r="B9" s="23">
        <v>2022</v>
      </c>
    </row>
    <row r="10" spans="1:16" ht="51" x14ac:dyDescent="0.2">
      <c r="A10" s="6" t="s">
        <v>292</v>
      </c>
      <c r="B10" s="23">
        <v>253.4</v>
      </c>
      <c r="C10" t="s">
        <v>280</v>
      </c>
    </row>
    <row r="13" spans="1:16" s="10" customFormat="1" ht="29.25" customHeight="1" thickBot="1" x14ac:dyDescent="0.25">
      <c r="A13" s="239" t="s">
        <v>293</v>
      </c>
      <c r="B13" s="208"/>
      <c r="C13" s="52"/>
      <c r="D13" s="53"/>
      <c r="E13" s="53"/>
      <c r="F13" s="54"/>
      <c r="H13" s="240" t="s">
        <v>123</v>
      </c>
      <c r="I13" s="57"/>
      <c r="J13" s="57"/>
    </row>
    <row r="14" spans="1:16" s="10" customFormat="1" ht="12.75" customHeight="1" thickBot="1" x14ac:dyDescent="0.3">
      <c r="A14" s="239"/>
      <c r="B14" s="208"/>
      <c r="C14" s="52"/>
      <c r="D14" s="54" t="s">
        <v>124</v>
      </c>
      <c r="E14" s="56">
        <f>E21</f>
        <v>2210.5666787478517</v>
      </c>
      <c r="F14" s="169" t="s">
        <v>125</v>
      </c>
      <c r="H14" s="240"/>
      <c r="I14" s="58">
        <f>I21</f>
        <v>1317.6838813839295</v>
      </c>
      <c r="J14" s="170" t="s">
        <v>125</v>
      </c>
      <c r="P14" s="52"/>
    </row>
    <row r="16" spans="1:16" x14ac:dyDescent="0.2">
      <c r="A16" s="21" t="s">
        <v>294</v>
      </c>
      <c r="D16" s="86"/>
    </row>
    <row r="17" spans="1:12" x14ac:dyDescent="0.2">
      <c r="A17" s="4" t="s">
        <v>3</v>
      </c>
      <c r="B17" s="23">
        <v>2022</v>
      </c>
      <c r="D17" s="86"/>
    </row>
    <row r="18" spans="1:12" ht="15.75" x14ac:dyDescent="0.3">
      <c r="A18" s="4" t="s">
        <v>295</v>
      </c>
      <c r="E18" s="106">
        <v>376437.78319398098</v>
      </c>
      <c r="F18" s="4" t="s">
        <v>296</v>
      </c>
      <c r="I18" s="106">
        <v>224388.61674128499</v>
      </c>
      <c r="J18" s="4" t="s">
        <v>296</v>
      </c>
      <c r="L18" s="4" t="s">
        <v>297</v>
      </c>
    </row>
    <row r="19" spans="1:12" x14ac:dyDescent="0.2">
      <c r="A19" s="4" t="s">
        <v>298</v>
      </c>
      <c r="B19" s="105">
        <v>9689000</v>
      </c>
      <c r="C19" s="4" t="s">
        <v>160</v>
      </c>
      <c r="L19" s="4" t="s">
        <v>297</v>
      </c>
    </row>
    <row r="20" spans="1:12" ht="13.5" thickBot="1" x14ac:dyDescent="0.25">
      <c r="A20" s="4" t="s">
        <v>299</v>
      </c>
      <c r="B20" s="23">
        <v>56897</v>
      </c>
      <c r="C20" s="4" t="s">
        <v>160</v>
      </c>
    </row>
    <row r="21" spans="1:12" ht="16.5" thickBot="1" x14ac:dyDescent="0.35">
      <c r="A21" s="4" t="s">
        <v>300</v>
      </c>
      <c r="E21" s="47">
        <f>B20/B19*E18</f>
        <v>2210.5666787478517</v>
      </c>
      <c r="F21" s="4" t="s">
        <v>296</v>
      </c>
      <c r="I21" s="47">
        <f>B20/B19*I18</f>
        <v>1317.6838813839295</v>
      </c>
      <c r="J21" s="4" t="s">
        <v>296</v>
      </c>
    </row>
  </sheetData>
  <sheetProtection password="FA7E" sheet="1" formatColumns="0" formatRows="0"/>
  <protectedRanges>
    <protectedRange sqref="A7 B9:B10 B17 B19:B20 E18 L18:L1918 I18" name="Tartomány1"/>
  </protectedRanges>
  <mergeCells count="4">
    <mergeCell ref="H1:H2"/>
    <mergeCell ref="A4:A5"/>
    <mergeCell ref="A13:A14"/>
    <mergeCell ref="H13:H14"/>
  </mergeCells>
  <phoneticPr fontId="51" type="noConversion"/>
  <hyperlinks>
    <hyperlink ref="A7" r:id="rId1" xr:uid="{00000000-0004-0000-0500-000000000000}"/>
  </hyperlinks>
  <pageMargins left="0.70866141732283472" right="0.70866141732283472" top="0.74803149606299213" bottom="0.74803149606299213" header="0.31496062992125984" footer="0.31496062992125984"/>
  <pageSetup paperSize="9" scale="75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tabColor theme="7"/>
  </sheetPr>
  <dimension ref="A1:P21"/>
  <sheetViews>
    <sheetView workbookViewId="0">
      <selection sqref="A1:H21"/>
    </sheetView>
  </sheetViews>
  <sheetFormatPr defaultRowHeight="12.75" x14ac:dyDescent="0.2"/>
  <cols>
    <col min="1" max="1" width="24.7109375" customWidth="1"/>
    <col min="3" max="3" width="13.42578125" customWidth="1"/>
  </cols>
  <sheetData>
    <row r="1" spans="1:16" s="10" customFormat="1" ht="28.5" customHeight="1" thickBot="1" x14ac:dyDescent="0.25">
      <c r="A1" s="52" t="s">
        <v>301</v>
      </c>
      <c r="G1" s="52"/>
    </row>
    <row r="2" spans="1:16" s="167" customFormat="1" ht="15" thickBot="1" x14ac:dyDescent="0.3">
      <c r="C2" s="168" t="s">
        <v>19</v>
      </c>
      <c r="D2" s="125">
        <f>D5+D16</f>
        <v>-242.53000000000003</v>
      </c>
      <c r="E2" s="168" t="s">
        <v>20</v>
      </c>
    </row>
    <row r="4" spans="1:16" s="10" customFormat="1" ht="23.25" customHeight="1" thickBot="1" x14ac:dyDescent="0.25">
      <c r="A4" s="239" t="s">
        <v>302</v>
      </c>
      <c r="B4" s="208"/>
      <c r="C4" s="52"/>
      <c r="O4" s="52"/>
    </row>
    <row r="5" spans="1:16" s="10" customFormat="1" ht="12.75" customHeight="1" thickBot="1" x14ac:dyDescent="0.3">
      <c r="A5" s="239"/>
      <c r="B5" s="208"/>
      <c r="C5" s="52" t="s">
        <v>19</v>
      </c>
      <c r="D5" s="55">
        <f>B10</f>
        <v>-71.89</v>
      </c>
      <c r="E5" s="168" t="s">
        <v>20</v>
      </c>
      <c r="P5" s="52"/>
    </row>
    <row r="6" spans="1:16" x14ac:dyDescent="0.2">
      <c r="A6" s="215" t="s">
        <v>303</v>
      </c>
    </row>
    <row r="7" spans="1:16" x14ac:dyDescent="0.2">
      <c r="A7" s="215"/>
    </row>
    <row r="8" spans="1:16" x14ac:dyDescent="0.2">
      <c r="A8" s="4" t="s">
        <v>3</v>
      </c>
      <c r="B8" s="23">
        <v>2022</v>
      </c>
    </row>
    <row r="9" spans="1:16" x14ac:dyDescent="0.2">
      <c r="A9" s="4" t="s">
        <v>304</v>
      </c>
      <c r="B9" s="23">
        <v>45.5</v>
      </c>
      <c r="C9" s="4" t="s">
        <v>305</v>
      </c>
      <c r="D9" s="4"/>
    </row>
    <row r="10" spans="1:16" ht="15.75" x14ac:dyDescent="0.3">
      <c r="A10" s="128" t="s">
        <v>306</v>
      </c>
      <c r="B10" s="126">
        <f>B9*'emissziós faktorok'!B57</f>
        <v>-71.89</v>
      </c>
      <c r="C10" s="4" t="s">
        <v>135</v>
      </c>
      <c r="D10" s="4"/>
    </row>
    <row r="11" spans="1:16" x14ac:dyDescent="0.2">
      <c r="A11" s="4"/>
    </row>
    <row r="12" spans="1:16" x14ac:dyDescent="0.2">
      <c r="A12" s="4"/>
    </row>
    <row r="13" spans="1:16" x14ac:dyDescent="0.2">
      <c r="A13" s="4"/>
    </row>
    <row r="14" spans="1:16" x14ac:dyDescent="0.2">
      <c r="A14" s="4"/>
    </row>
    <row r="15" spans="1:16" s="10" customFormat="1" ht="24" customHeight="1" thickBot="1" x14ac:dyDescent="0.25">
      <c r="A15" s="239" t="s">
        <v>307</v>
      </c>
      <c r="B15" s="208"/>
      <c r="C15" s="52"/>
      <c r="O15" s="52"/>
    </row>
    <row r="16" spans="1:16" s="10" customFormat="1" ht="12.75" customHeight="1" thickBot="1" x14ac:dyDescent="0.3">
      <c r="A16" s="239"/>
      <c r="B16" s="208"/>
      <c r="C16" s="52" t="s">
        <v>19</v>
      </c>
      <c r="D16" s="55">
        <f>B21</f>
        <v>-170.64000000000001</v>
      </c>
      <c r="E16" s="168" t="s">
        <v>20</v>
      </c>
      <c r="P16" s="52"/>
    </row>
    <row r="17" spans="1:5" x14ac:dyDescent="0.2">
      <c r="A17" s="215" t="s">
        <v>303</v>
      </c>
    </row>
    <row r="18" spans="1:5" x14ac:dyDescent="0.2">
      <c r="A18" s="215"/>
    </row>
    <row r="19" spans="1:5" x14ac:dyDescent="0.2">
      <c r="A19" s="4" t="s">
        <v>3</v>
      </c>
      <c r="B19" s="23">
        <v>2022</v>
      </c>
    </row>
    <row r="20" spans="1:5" x14ac:dyDescent="0.2">
      <c r="A20" s="4" t="s">
        <v>308</v>
      </c>
      <c r="B20" s="23">
        <v>213.3</v>
      </c>
      <c r="C20" s="4" t="s">
        <v>305</v>
      </c>
      <c r="D20" s="4"/>
    </row>
    <row r="21" spans="1:5" ht="15.75" x14ac:dyDescent="0.3">
      <c r="A21" s="128" t="s">
        <v>309</v>
      </c>
      <c r="B21" s="126">
        <f>B20*'emissziós faktorok'!B58</f>
        <v>-170.64000000000001</v>
      </c>
      <c r="C21" s="4" t="s">
        <v>310</v>
      </c>
      <c r="E21" s="4"/>
    </row>
  </sheetData>
  <sheetProtection password="FA7E" sheet="1" formatColumns="0" formatRows="0"/>
  <protectedRanges>
    <protectedRange sqref="A6 B8:B9 A17 B19:B20" name="Tartomány1"/>
  </protectedRanges>
  <mergeCells count="2">
    <mergeCell ref="A4:A5"/>
    <mergeCell ref="A15:A16"/>
  </mergeCells>
  <phoneticPr fontId="51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8">
    <tabColor theme="5"/>
  </sheetPr>
  <dimension ref="A1:BV154"/>
  <sheetViews>
    <sheetView topLeftCell="A34" workbookViewId="0">
      <selection sqref="A1:G34"/>
    </sheetView>
  </sheetViews>
  <sheetFormatPr defaultColWidth="9.140625" defaultRowHeight="14.25" x14ac:dyDescent="0.2"/>
  <cols>
    <col min="1" max="1" width="9.140625" style="27"/>
    <col min="2" max="2" width="2.42578125" style="27" customWidth="1"/>
    <col min="3" max="3" width="32.140625" style="27" customWidth="1"/>
    <col min="4" max="6" width="21.7109375" style="27" customWidth="1"/>
    <col min="7" max="7" width="17.7109375" style="27" customWidth="1"/>
    <col min="8" max="16384" width="9.140625" style="27"/>
  </cols>
  <sheetData>
    <row r="1" spans="1:74" ht="15" x14ac:dyDescent="0.25">
      <c r="A1" s="251" t="str">
        <f>NYITÓLAP!B9</f>
        <v>Veszprém</v>
      </c>
      <c r="B1" s="252"/>
      <c r="C1" s="253"/>
      <c r="D1" s="79" t="s">
        <v>19</v>
      </c>
      <c r="E1" s="80" t="s">
        <v>124</v>
      </c>
      <c r="F1" s="81" t="s">
        <v>123</v>
      </c>
      <c r="G1" s="249" t="s">
        <v>28</v>
      </c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</row>
    <row r="2" spans="1:74" ht="17.25" thickBot="1" x14ac:dyDescent="0.35">
      <c r="A2" s="254"/>
      <c r="B2" s="255"/>
      <c r="C2" s="256"/>
      <c r="D2" s="82" t="s">
        <v>311</v>
      </c>
      <c r="E2" s="83" t="s">
        <v>312</v>
      </c>
      <c r="F2" s="84" t="s">
        <v>313</v>
      </c>
      <c r="G2" s="25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</row>
    <row r="3" spans="1:74" ht="19.5" thickBot="1" x14ac:dyDescent="0.4">
      <c r="A3" s="257" t="s">
        <v>314</v>
      </c>
      <c r="B3" s="258"/>
      <c r="C3" s="259"/>
      <c r="D3" s="248" t="s">
        <v>315</v>
      </c>
      <c r="E3" s="248"/>
      <c r="F3" s="248"/>
      <c r="G3" s="248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</row>
    <row r="4" spans="1:74" ht="15.75" thickBot="1" x14ac:dyDescent="0.3">
      <c r="A4" s="247" t="s">
        <v>316</v>
      </c>
      <c r="B4" s="30" t="s">
        <v>317</v>
      </c>
      <c r="C4" s="31"/>
      <c r="D4" s="67">
        <f>SUM(D5:D8)</f>
        <v>214329.90177699324</v>
      </c>
      <c r="E4" s="67"/>
      <c r="F4" s="67"/>
      <c r="G4" s="68">
        <f>D4</f>
        <v>214329.90177699324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</row>
    <row r="5" spans="1:74" ht="15" x14ac:dyDescent="0.25">
      <c r="A5" s="247"/>
      <c r="B5" s="33"/>
      <c r="C5" s="34" t="s">
        <v>318</v>
      </c>
      <c r="D5" s="69">
        <f>'1. ENERGIAFOGYASZTÁS'!L5</f>
        <v>98979.12</v>
      </c>
      <c r="E5" s="69"/>
      <c r="F5" s="69"/>
      <c r="G5" s="72">
        <f>D5</f>
        <v>98979.12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</row>
    <row r="6" spans="1:74" ht="15" x14ac:dyDescent="0.25">
      <c r="A6" s="247"/>
      <c r="B6" s="33"/>
      <c r="C6" s="29" t="s">
        <v>319</v>
      </c>
      <c r="D6" s="69">
        <f>'1. ENERGIAFOGYASZTÁS'!L15</f>
        <v>112768.74444444444</v>
      </c>
      <c r="E6" s="69"/>
      <c r="F6" s="69"/>
      <c r="G6" s="72">
        <f>D6</f>
        <v>112768.74444444444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</row>
    <row r="7" spans="1:74" ht="15" x14ac:dyDescent="0.25">
      <c r="A7" s="247"/>
      <c r="B7" s="33"/>
      <c r="C7" s="29" t="s">
        <v>320</v>
      </c>
      <c r="D7" s="69">
        <f>'1. ENERGIAFOGYASZTÁS'!L26</f>
        <v>0</v>
      </c>
      <c r="E7" s="69"/>
      <c r="F7" s="69"/>
      <c r="G7" s="72">
        <f>D7</f>
        <v>0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</row>
    <row r="8" spans="1:74" ht="15.75" thickBot="1" x14ac:dyDescent="0.3">
      <c r="A8" s="247"/>
      <c r="B8" s="35"/>
      <c r="C8" s="32" t="s">
        <v>321</v>
      </c>
      <c r="D8" s="70">
        <f>'1. ENERGIAFOGYASZTÁS'!L50</f>
        <v>2582.0373325488099</v>
      </c>
      <c r="E8" s="70"/>
      <c r="F8" s="70"/>
      <c r="G8" s="73">
        <f>D8</f>
        <v>2582.0373325488099</v>
      </c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</row>
    <row r="9" spans="1:74" ht="15" customHeight="1" thickBot="1" x14ac:dyDescent="0.3">
      <c r="A9" s="247"/>
      <c r="B9" s="39"/>
      <c r="C9" s="40"/>
      <c r="D9" s="71"/>
      <c r="E9" s="71"/>
      <c r="F9" s="71"/>
      <c r="G9" s="71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</row>
    <row r="10" spans="1:74" ht="15.75" thickBot="1" x14ac:dyDescent="0.3">
      <c r="A10" s="247"/>
      <c r="B10" s="30" t="s">
        <v>122</v>
      </c>
      <c r="C10" s="31"/>
      <c r="D10" s="67">
        <f>SUM(D11:D12)</f>
        <v>0</v>
      </c>
      <c r="E10" s="67">
        <f>SUM(E11:E12)</f>
        <v>0</v>
      </c>
      <c r="F10" s="67">
        <f>SUM(F11:F12)</f>
        <v>0</v>
      </c>
      <c r="G10" s="68">
        <f>D10+E10+F10</f>
        <v>0</v>
      </c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</row>
    <row r="11" spans="1:74" ht="15" x14ac:dyDescent="0.25">
      <c r="A11" s="247"/>
      <c r="B11" s="33"/>
      <c r="C11" s="34" t="s">
        <v>322</v>
      </c>
      <c r="D11" s="69">
        <f>'2. NAGYIPARI KIBOCSÁTÁS'!D11</f>
        <v>0</v>
      </c>
      <c r="E11" s="69">
        <f>'2. NAGYIPARI KIBOCSÁTÁS'!H11</f>
        <v>0</v>
      </c>
      <c r="F11" s="69">
        <f>'2. NAGYIPARI KIBOCSÁTÁS'!L11</f>
        <v>0</v>
      </c>
      <c r="G11" s="72">
        <f>SUM(D11:F11)</f>
        <v>0</v>
      </c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</row>
    <row r="12" spans="1:74" ht="15.75" thickBot="1" x14ac:dyDescent="0.3">
      <c r="A12" s="247"/>
      <c r="B12" s="35"/>
      <c r="C12" s="32" t="s">
        <v>323</v>
      </c>
      <c r="D12" s="70">
        <f>'2. NAGYIPARI KIBOCSÁTÁS'!D35</f>
        <v>0</v>
      </c>
      <c r="E12" s="70">
        <f>'2. NAGYIPARI KIBOCSÁTÁS'!H35</f>
        <v>0</v>
      </c>
      <c r="F12" s="70">
        <f>'2. NAGYIPARI KIBOCSÁTÁS'!L35</f>
        <v>0</v>
      </c>
      <c r="G12" s="73">
        <f>SUM(D12:F12)</f>
        <v>0</v>
      </c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</row>
    <row r="13" spans="1:74" ht="15" customHeight="1" thickBot="1" x14ac:dyDescent="0.3">
      <c r="A13" s="247"/>
      <c r="B13" s="39"/>
      <c r="C13" s="40"/>
      <c r="D13" s="71"/>
      <c r="E13" s="71"/>
      <c r="F13" s="71"/>
      <c r="G13" s="71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74" ht="15.75" thickBot="1" x14ac:dyDescent="0.3">
      <c r="A14" s="247"/>
      <c r="B14" s="30" t="s">
        <v>141</v>
      </c>
      <c r="C14" s="31"/>
      <c r="D14" s="67">
        <f>SUM(D15:D17)</f>
        <v>116991.5031719025</v>
      </c>
      <c r="E14" s="67">
        <f>SUM(E15:E17)</f>
        <v>0</v>
      </c>
      <c r="F14" s="67">
        <f>SUM(F15:F17)</f>
        <v>0</v>
      </c>
      <c r="G14" s="68">
        <f>D14+E14+F14</f>
        <v>116991.5031719025</v>
      </c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</row>
    <row r="15" spans="1:74" ht="15" x14ac:dyDescent="0.25">
      <c r="A15" s="247"/>
      <c r="B15" s="33"/>
      <c r="C15" s="34" t="s">
        <v>324</v>
      </c>
      <c r="D15" s="69">
        <f>'3. KÖZLEKEDÉS'!G6</f>
        <v>11929.589833125343</v>
      </c>
      <c r="E15" s="69"/>
      <c r="F15" s="69"/>
      <c r="G15" s="72">
        <f>D15+E15+F15</f>
        <v>11929.589833125343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</row>
    <row r="16" spans="1:74" ht="15" x14ac:dyDescent="0.25">
      <c r="A16" s="247"/>
      <c r="B16" s="33"/>
      <c r="C16" s="34" t="s">
        <v>325</v>
      </c>
      <c r="D16" s="69">
        <f>'3. KÖZLEKEDÉS'!G17</f>
        <v>580.074796865596</v>
      </c>
      <c r="E16" s="69"/>
      <c r="F16" s="69"/>
      <c r="G16" s="72">
        <f>SUM(D16:F16)</f>
        <v>580.074796865596</v>
      </c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</row>
    <row r="17" spans="1:74" ht="15.75" thickBot="1" x14ac:dyDescent="0.3">
      <c r="A17" s="247"/>
      <c r="B17" s="35"/>
      <c r="C17" s="32" t="s">
        <v>326</v>
      </c>
      <c r="D17" s="70">
        <f>'3. KÖZLEKEDÉS'!G23</f>
        <v>104481.83854191157</v>
      </c>
      <c r="E17" s="70"/>
      <c r="F17" s="70"/>
      <c r="G17" s="73">
        <f>SUM(D17:F17)</f>
        <v>104481.83854191157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</row>
    <row r="18" spans="1:74" ht="15" customHeight="1" thickBot="1" x14ac:dyDescent="0.3">
      <c r="A18" s="247"/>
      <c r="B18" s="39"/>
      <c r="C18" s="40"/>
      <c r="D18" s="71"/>
      <c r="E18" s="71"/>
      <c r="F18" s="71"/>
      <c r="G18" s="71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</row>
    <row r="19" spans="1:74" ht="15.75" thickBot="1" x14ac:dyDescent="0.3">
      <c r="A19" s="247"/>
      <c r="B19" s="30" t="s">
        <v>249</v>
      </c>
      <c r="C19" s="31"/>
      <c r="D19" s="67"/>
      <c r="E19" s="67">
        <f>E20+E21</f>
        <v>320.02304758558023</v>
      </c>
      <c r="F19" s="67">
        <f>F21+F22</f>
        <v>942.3460526780201</v>
      </c>
      <c r="G19" s="68">
        <f>G20+G21+G22</f>
        <v>1262.3691002636003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</row>
    <row r="20" spans="1:74" ht="15" x14ac:dyDescent="0.25">
      <c r="A20" s="247"/>
      <c r="B20" s="33"/>
      <c r="C20" s="34" t="s">
        <v>327</v>
      </c>
      <c r="D20" s="69"/>
      <c r="E20" s="69">
        <f>'4. MEZŐGAZDASÁG'!E5</f>
        <v>233.92519262718363</v>
      </c>
      <c r="F20" s="69"/>
      <c r="G20" s="72">
        <f>E20</f>
        <v>233.92519262718363</v>
      </c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</row>
    <row r="21" spans="1:74" ht="15" x14ac:dyDescent="0.25">
      <c r="A21" s="247"/>
      <c r="B21" s="33"/>
      <c r="C21" s="29" t="s">
        <v>328</v>
      </c>
      <c r="D21" s="69"/>
      <c r="E21" s="69">
        <f>'4. MEZŐGAZDASÁG'!E17</f>
        <v>86.097854958396596</v>
      </c>
      <c r="F21" s="69">
        <f>'4. MEZŐGAZDASÁG'!I17</f>
        <v>47.112827009866038</v>
      </c>
      <c r="G21" s="72">
        <f>E21+F21</f>
        <v>133.21068196826263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</row>
    <row r="22" spans="1:74" ht="15.75" thickBot="1" x14ac:dyDescent="0.3">
      <c r="A22" s="247"/>
      <c r="B22" s="35"/>
      <c r="C22" s="32" t="s">
        <v>329</v>
      </c>
      <c r="D22" s="70"/>
      <c r="E22" s="70"/>
      <c r="F22" s="70">
        <f>'4. MEZŐGAZDASÁG'!I36</f>
        <v>895.23322566815409</v>
      </c>
      <c r="G22" s="73">
        <f>F22</f>
        <v>895.23322566815409</v>
      </c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</row>
    <row r="23" spans="1:74" ht="15" customHeight="1" thickBot="1" x14ac:dyDescent="0.3">
      <c r="A23" s="247"/>
      <c r="B23" s="39"/>
      <c r="C23" s="40"/>
      <c r="D23" s="71"/>
      <c r="E23" s="71"/>
      <c r="F23" s="71"/>
      <c r="G23" s="71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</row>
    <row r="24" spans="1:74" ht="15.75" thickBot="1" x14ac:dyDescent="0.3">
      <c r="A24" s="247"/>
      <c r="B24" s="30" t="s">
        <v>330</v>
      </c>
      <c r="C24" s="31"/>
      <c r="D24" s="67"/>
      <c r="E24" s="67">
        <f>E25+E26</f>
        <v>2476.6366787478519</v>
      </c>
      <c r="F24" s="67">
        <f>+F26</f>
        <v>1317.6838813839295</v>
      </c>
      <c r="G24" s="68">
        <f>E24+F24</f>
        <v>3794.3205601317813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</row>
    <row r="25" spans="1:74" ht="15" x14ac:dyDescent="0.25">
      <c r="A25" s="211"/>
      <c r="B25" s="33"/>
      <c r="C25" s="29" t="s">
        <v>331</v>
      </c>
      <c r="D25" s="69"/>
      <c r="E25" s="69">
        <f>'5. HULLADÉK'!E5</f>
        <v>266.07</v>
      </c>
      <c r="F25" s="69"/>
      <c r="G25" s="72">
        <f>E25+F25</f>
        <v>266.07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</row>
    <row r="26" spans="1:74" ht="15.75" thickBot="1" x14ac:dyDescent="0.3">
      <c r="A26" s="211"/>
      <c r="B26" s="35"/>
      <c r="C26" s="32" t="s">
        <v>332</v>
      </c>
      <c r="D26" s="70"/>
      <c r="E26" s="70">
        <f>'5. HULLADÉK'!E14</f>
        <v>2210.5666787478517</v>
      </c>
      <c r="F26" s="70">
        <f>'5. HULLADÉK'!I14</f>
        <v>1317.6838813839295</v>
      </c>
      <c r="G26" s="73">
        <f>E26+F26</f>
        <v>3528.2505601317812</v>
      </c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</row>
    <row r="27" spans="1:74" ht="15" customHeight="1" thickBot="1" x14ac:dyDescent="0.3">
      <c r="A27" s="211"/>
      <c r="B27" s="39"/>
      <c r="C27" s="40"/>
      <c r="D27" s="71"/>
      <c r="E27" s="71"/>
      <c r="F27" s="71"/>
      <c r="G27" s="71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</row>
    <row r="28" spans="1:74" s="43" customFormat="1" ht="27" customHeight="1" thickBot="1" x14ac:dyDescent="0.25">
      <c r="A28" s="211"/>
      <c r="B28" s="41" t="s">
        <v>333</v>
      </c>
      <c r="C28" s="42"/>
      <c r="D28" s="75">
        <f>SUM(D4,D10,D14,D19,D24)</f>
        <v>331321.40494889574</v>
      </c>
      <c r="E28" s="76">
        <f>SUM(E4,E10,E14,E19,E24)</f>
        <v>2796.659726333432</v>
      </c>
      <c r="F28" s="77">
        <f>SUM(F4,F10,F14,F19,F24)</f>
        <v>2260.0299340619495</v>
      </c>
      <c r="G28" s="74">
        <f>SUM(G4,G10,G14,G19,G24)</f>
        <v>336378.09460929112</v>
      </c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</row>
    <row r="29" spans="1:74" s="43" customFormat="1" ht="27" customHeight="1" thickBot="1" x14ac:dyDescent="0.25">
      <c r="A29" s="211"/>
      <c r="B29" s="41" t="s">
        <v>334</v>
      </c>
      <c r="C29" s="42"/>
      <c r="D29" s="75">
        <f>D28-D10</f>
        <v>331321.40494889574</v>
      </c>
      <c r="E29" s="76">
        <f>E28-E10</f>
        <v>2796.659726333432</v>
      </c>
      <c r="F29" s="77">
        <f>F28-F10</f>
        <v>2260.0299340619495</v>
      </c>
      <c r="G29" s="74">
        <f>G28-G10</f>
        <v>336378.09460929112</v>
      </c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</row>
    <row r="30" spans="1:74" ht="15" customHeight="1" thickBot="1" x14ac:dyDescent="0.3">
      <c r="A30" s="38"/>
      <c r="B30" s="39"/>
      <c r="C30" s="40"/>
      <c r="D30" s="71"/>
      <c r="E30" s="71"/>
      <c r="F30" s="71"/>
      <c r="G30" s="71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</row>
    <row r="31" spans="1:74" ht="15.75" thickBot="1" x14ac:dyDescent="0.3">
      <c r="A31" s="28" t="s">
        <v>335</v>
      </c>
      <c r="B31" s="36" t="s">
        <v>336</v>
      </c>
      <c r="C31" s="37"/>
      <c r="D31" s="171">
        <f>'6. NYELŐK'!D2</f>
        <v>-242.53000000000003</v>
      </c>
      <c r="E31" s="171"/>
      <c r="F31" s="171"/>
      <c r="G31" s="172">
        <f>D31</f>
        <v>-242.53000000000003</v>
      </c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</row>
    <row r="32" spans="1:74" ht="15" customHeight="1" thickBot="1" x14ac:dyDescent="0.3">
      <c r="A32" s="40"/>
      <c r="B32" s="39"/>
      <c r="C32" s="40"/>
      <c r="D32" s="71"/>
      <c r="E32" s="71"/>
      <c r="F32" s="71"/>
      <c r="G32" s="71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</row>
    <row r="33" spans="1:44" s="43" customFormat="1" ht="27" customHeight="1" thickBot="1" x14ac:dyDescent="0.25">
      <c r="A33" s="44"/>
      <c r="B33" s="45" t="s">
        <v>337</v>
      </c>
      <c r="C33" s="45"/>
      <c r="D33" s="75">
        <f>D28+D31</f>
        <v>331078.87494889571</v>
      </c>
      <c r="E33" s="76">
        <f>E28+E31</f>
        <v>2796.659726333432</v>
      </c>
      <c r="F33" s="77">
        <f>F28+F31</f>
        <v>2260.0299340619495</v>
      </c>
      <c r="G33" s="78">
        <f>G28+G31</f>
        <v>336135.56460929109</v>
      </c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</row>
    <row r="34" spans="1:44" s="43" customFormat="1" ht="27" customHeight="1" thickBot="1" x14ac:dyDescent="0.25">
      <c r="A34" s="44"/>
      <c r="B34" s="45" t="s">
        <v>334</v>
      </c>
      <c r="C34" s="45"/>
      <c r="D34" s="75">
        <f>D33+D10</f>
        <v>331078.87494889571</v>
      </c>
      <c r="E34" s="76">
        <f>E33+E10</f>
        <v>2796.659726333432</v>
      </c>
      <c r="F34" s="77">
        <f>F33+F10</f>
        <v>2260.0299340619495</v>
      </c>
      <c r="G34" s="78">
        <f>G33+G10</f>
        <v>336135.56460929109</v>
      </c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</row>
    <row r="35" spans="1:44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</row>
    <row r="36" spans="1:44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</row>
    <row r="37" spans="1:44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</row>
    <row r="38" spans="1:44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</row>
    <row r="39" spans="1:44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</row>
    <row r="40" spans="1:44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</row>
    <row r="41" spans="1:44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</row>
    <row r="42" spans="1:44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</row>
    <row r="43" spans="1:44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</row>
    <row r="44" spans="1:44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</row>
    <row r="45" spans="1:44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</row>
    <row r="46" spans="1:44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</row>
    <row r="47" spans="1:44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</row>
    <row r="48" spans="1:44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</row>
    <row r="49" spans="1:37" x14ac:dyDescent="0.2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x14ac:dyDescent="0.2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</row>
    <row r="51" spans="1:37" x14ac:dyDescent="0.2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</row>
    <row r="52" spans="1:37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</row>
    <row r="53" spans="1:37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</row>
    <row r="54" spans="1:37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</row>
    <row r="55" spans="1:37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</row>
    <row r="56" spans="1:37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</row>
    <row r="57" spans="1:37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</row>
    <row r="58" spans="1:37" x14ac:dyDescent="0.2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</row>
    <row r="59" spans="1:37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</row>
    <row r="60" spans="1:37" x14ac:dyDescent="0.2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</row>
    <row r="61" spans="1:37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</row>
    <row r="62" spans="1:37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</row>
    <row r="63" spans="1:37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</row>
    <row r="64" spans="1:37" x14ac:dyDescent="0.2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</row>
    <row r="65" spans="1:37" x14ac:dyDescent="0.2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</row>
    <row r="66" spans="1:37" x14ac:dyDescent="0.2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</row>
    <row r="67" spans="1:37" x14ac:dyDescent="0.2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</row>
    <row r="68" spans="1:37" x14ac:dyDescent="0.2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</row>
    <row r="69" spans="1:37" x14ac:dyDescent="0.2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</row>
    <row r="70" spans="1:37" x14ac:dyDescent="0.2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</row>
    <row r="71" spans="1:37" x14ac:dyDescent="0.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</row>
    <row r="72" spans="1:37" x14ac:dyDescent="0.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</row>
    <row r="73" spans="1:37" x14ac:dyDescent="0.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</row>
    <row r="74" spans="1:37" x14ac:dyDescent="0.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</row>
    <row r="75" spans="1:37" x14ac:dyDescent="0.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</row>
    <row r="76" spans="1:37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</row>
    <row r="77" spans="1:37" x14ac:dyDescent="0.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</row>
    <row r="78" spans="1:37" x14ac:dyDescent="0.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</row>
    <row r="79" spans="1:37" x14ac:dyDescent="0.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</row>
    <row r="80" spans="1:37" x14ac:dyDescent="0.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</row>
    <row r="81" spans="1:37" x14ac:dyDescent="0.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</row>
    <row r="82" spans="1:37" x14ac:dyDescent="0.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</row>
    <row r="83" spans="1:37" x14ac:dyDescent="0.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</row>
    <row r="84" spans="1:37" x14ac:dyDescent="0.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</row>
    <row r="85" spans="1:37" x14ac:dyDescent="0.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</row>
    <row r="86" spans="1:37" x14ac:dyDescent="0.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</row>
    <row r="87" spans="1:37" x14ac:dyDescent="0.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</row>
    <row r="88" spans="1:37" x14ac:dyDescent="0.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</row>
    <row r="89" spans="1:37" x14ac:dyDescent="0.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</row>
    <row r="90" spans="1:37" x14ac:dyDescent="0.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</row>
    <row r="91" spans="1:37" x14ac:dyDescent="0.2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</row>
    <row r="92" spans="1:37" x14ac:dyDescent="0.2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</row>
    <row r="93" spans="1:37" x14ac:dyDescent="0.2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</row>
    <row r="94" spans="1:37" x14ac:dyDescent="0.2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</row>
    <row r="95" spans="1:37" x14ac:dyDescent="0.2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</row>
    <row r="96" spans="1:37" x14ac:dyDescent="0.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</row>
    <row r="97" spans="1:37" x14ac:dyDescent="0.2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</row>
    <row r="98" spans="1:37" x14ac:dyDescent="0.2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</row>
    <row r="99" spans="1:37" x14ac:dyDescent="0.2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</row>
    <row r="100" spans="1:37" x14ac:dyDescent="0.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</row>
    <row r="101" spans="1:37" x14ac:dyDescent="0.2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</row>
    <row r="102" spans="1:37" x14ac:dyDescent="0.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</row>
    <row r="103" spans="1:37" x14ac:dyDescent="0.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</row>
    <row r="104" spans="1:37" x14ac:dyDescent="0.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</row>
    <row r="105" spans="1:37" x14ac:dyDescent="0.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</row>
    <row r="106" spans="1:37" x14ac:dyDescent="0.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</row>
    <row r="107" spans="1:37" x14ac:dyDescent="0.2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</row>
    <row r="108" spans="1:37" x14ac:dyDescent="0.2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</row>
    <row r="109" spans="1:37" x14ac:dyDescent="0.2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</row>
    <row r="110" spans="1:37" x14ac:dyDescent="0.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</row>
    <row r="111" spans="1:37" x14ac:dyDescent="0.2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</row>
    <row r="112" spans="1:37" x14ac:dyDescent="0.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</row>
    <row r="113" spans="1:37" x14ac:dyDescent="0.2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</row>
    <row r="114" spans="1:37" x14ac:dyDescent="0.2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</row>
    <row r="115" spans="1:37" x14ac:dyDescent="0.2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</row>
    <row r="116" spans="1:37" x14ac:dyDescent="0.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</row>
    <row r="117" spans="1:37" x14ac:dyDescent="0.2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</row>
    <row r="118" spans="1:37" x14ac:dyDescent="0.2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</row>
    <row r="119" spans="1:37" x14ac:dyDescent="0.2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</row>
    <row r="120" spans="1:37" x14ac:dyDescent="0.2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</row>
    <row r="121" spans="1:37" x14ac:dyDescent="0.2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</row>
    <row r="122" spans="1:37" x14ac:dyDescent="0.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</row>
    <row r="123" spans="1:37" x14ac:dyDescent="0.2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</row>
    <row r="124" spans="1:37" x14ac:dyDescent="0.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</row>
    <row r="125" spans="1:37" x14ac:dyDescent="0.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</row>
    <row r="126" spans="1:37" x14ac:dyDescent="0.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</row>
    <row r="127" spans="1:37" x14ac:dyDescent="0.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</row>
    <row r="128" spans="1:37" x14ac:dyDescent="0.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</row>
    <row r="129" spans="1:37" x14ac:dyDescent="0.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</row>
    <row r="130" spans="1:37" x14ac:dyDescent="0.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</row>
    <row r="131" spans="1:37" x14ac:dyDescent="0.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</row>
    <row r="132" spans="1:37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</row>
    <row r="133" spans="1:37" x14ac:dyDescent="0.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</row>
    <row r="134" spans="1:37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</row>
    <row r="135" spans="1:37" x14ac:dyDescent="0.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</row>
    <row r="136" spans="1:37" x14ac:dyDescent="0.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</row>
    <row r="137" spans="1:37" x14ac:dyDescent="0.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</row>
    <row r="138" spans="1:37" x14ac:dyDescent="0.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</row>
    <row r="139" spans="1:37" x14ac:dyDescent="0.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</row>
    <row r="140" spans="1:37" x14ac:dyDescent="0.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</row>
    <row r="141" spans="1:37" x14ac:dyDescent="0.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</row>
    <row r="142" spans="1:37" x14ac:dyDescent="0.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</row>
    <row r="143" spans="1:37" x14ac:dyDescent="0.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</row>
    <row r="144" spans="1:37" x14ac:dyDescent="0.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</row>
    <row r="145" spans="1:37" x14ac:dyDescent="0.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</row>
    <row r="146" spans="1:37" x14ac:dyDescent="0.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</row>
    <row r="147" spans="1:37" x14ac:dyDescent="0.2"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</row>
    <row r="148" spans="1:37" x14ac:dyDescent="0.2"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</row>
    <row r="149" spans="1:37" x14ac:dyDescent="0.2"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</row>
    <row r="150" spans="1:37" x14ac:dyDescent="0.2"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</row>
    <row r="151" spans="1:37" x14ac:dyDescent="0.2"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</row>
    <row r="152" spans="1:37" x14ac:dyDescent="0.2"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</row>
    <row r="153" spans="1:37" x14ac:dyDescent="0.2"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</row>
    <row r="154" spans="1:37" x14ac:dyDescent="0.2"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</row>
  </sheetData>
  <sheetProtection password="FA7E" sheet="1" formatColumns="0" formatRows="0"/>
  <mergeCells count="5">
    <mergeCell ref="A4:A24"/>
    <mergeCell ref="D3:G3"/>
    <mergeCell ref="G1:G2"/>
    <mergeCell ref="A1:C2"/>
    <mergeCell ref="A3:C3"/>
  </mergeCells>
  <phoneticPr fontId="51" type="noConversion"/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9">
    <tabColor theme="0"/>
  </sheetPr>
  <dimension ref="A1:A17"/>
  <sheetViews>
    <sheetView workbookViewId="0">
      <selection sqref="A1:A15"/>
    </sheetView>
  </sheetViews>
  <sheetFormatPr defaultRowHeight="12.75" x14ac:dyDescent="0.2"/>
  <cols>
    <col min="1" max="1" width="124.85546875" style="7" customWidth="1"/>
  </cols>
  <sheetData>
    <row r="1" spans="1:1" s="10" customFormat="1" x14ac:dyDescent="0.2">
      <c r="A1" s="11" t="s">
        <v>338</v>
      </c>
    </row>
    <row r="2" spans="1:1" x14ac:dyDescent="0.2">
      <c r="A2" s="6"/>
    </row>
    <row r="3" spans="1:1" x14ac:dyDescent="0.2">
      <c r="A3" s="6"/>
    </row>
    <row r="8" spans="1:1" s="10" customFormat="1" x14ac:dyDescent="0.2">
      <c r="A8" s="11" t="s">
        <v>339</v>
      </c>
    </row>
    <row r="10" spans="1:1" x14ac:dyDescent="0.2">
      <c r="A10" s="6"/>
    </row>
    <row r="15" spans="1:1" s="10" customFormat="1" x14ac:dyDescent="0.2">
      <c r="A15" s="11" t="s">
        <v>340</v>
      </c>
    </row>
    <row r="16" spans="1:1" x14ac:dyDescent="0.2">
      <c r="A16" s="6"/>
    </row>
    <row r="17" spans="1:1" x14ac:dyDescent="0.2">
      <c r="A17" s="6"/>
    </row>
  </sheetData>
  <phoneticPr fontId="5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365F03E28992B4EA9F98512D6FF910A" ma:contentTypeVersion="8" ma:contentTypeDescription="Új dokumentum létrehozása." ma:contentTypeScope="" ma:versionID="b4784105f97fe08119f261d58fddc54b">
  <xsd:schema xmlns:xsd="http://www.w3.org/2001/XMLSchema" xmlns:xs="http://www.w3.org/2001/XMLSchema" xmlns:p="http://schemas.microsoft.com/office/2006/metadata/properties" xmlns:ns2="5d89e9e5-f6a2-4c18-8590-9efc6d972b57" targetNamespace="http://schemas.microsoft.com/office/2006/metadata/properties" ma:root="true" ma:fieldsID="b52a082374cef567c8d2a82260da2183" ns2:_="">
    <xsd:import namespace="5d89e9e5-f6a2-4c18-8590-9efc6d972b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e9e5-f6a2-4c18-8590-9efc6d972b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D4B901-F501-4FF6-AE92-8D5930C11A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430B95-8B13-4651-BEE9-1AA82483A6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89e9e5-f6a2-4c18-8590-9efc6d972b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NYITÓLAP</vt:lpstr>
      <vt:lpstr>1. ENERGIAFOGYASZTÁS</vt:lpstr>
      <vt:lpstr>2. NAGYIPARI KIBOCSÁTÁS</vt:lpstr>
      <vt:lpstr>3. KÖZLEKEDÉS</vt:lpstr>
      <vt:lpstr>4. MEZŐGAZDASÁG</vt:lpstr>
      <vt:lpstr>5. HULLADÉK</vt:lpstr>
      <vt:lpstr>6. NYELŐK</vt:lpstr>
      <vt:lpstr>ÁTTEKINTŐ</vt:lpstr>
      <vt:lpstr>jegyzetek</vt:lpstr>
      <vt:lpstr>emissziós faktorok</vt:lpstr>
    </vt:vector>
  </TitlesOfParts>
  <Manager/>
  <Company>Klima-Buendnis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Ulrike Janssen</dc:creator>
  <cp:keywords/>
  <dc:description/>
  <cp:lastModifiedBy>Bérci Klára</cp:lastModifiedBy>
  <cp:revision/>
  <cp:lastPrinted>2024-09-13T09:05:39Z</cp:lastPrinted>
  <dcterms:created xsi:type="dcterms:W3CDTF">2009-05-27T12:57:32Z</dcterms:created>
  <dcterms:modified xsi:type="dcterms:W3CDTF">2024-09-13T09:06:07Z</dcterms:modified>
  <cp:category/>
  <cp:contentStatus/>
</cp:coreProperties>
</file>