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JEGYZOKV\RENDELET\2024\"/>
    </mc:Choice>
  </mc:AlternateContent>
  <bookViews>
    <workbookView xWindow="0" yWindow="0" windowWidth="28800" windowHeight="11925" tabRatio="500" firstSheet="4" activeTab="12"/>
  </bookViews>
  <sheets>
    <sheet name="1.Onbe" sheetId="2" r:id="rId1"/>
    <sheet name="2.Onki" sheetId="3" r:id="rId2"/>
    <sheet name="3.Inbe " sheetId="4" r:id="rId3"/>
    <sheet name="4.Inki" sheetId="5" r:id="rId4"/>
    <sheet name="5.Infelhki" sheetId="6" r:id="rId5"/>
    <sheet name="6.Önk.műk." sheetId="7" r:id="rId6"/>
    <sheet name="7.Beruh." sheetId="8" r:id="rId7"/>
    <sheet name="8.Felúj." sheetId="9" r:id="rId8"/>
    <sheet name="9.Projekt" sheetId="10" r:id="rId9"/>
    <sheet name="10.MVP és hazai" sheetId="11" r:id="rId10"/>
    <sheet name="11.EKF" sheetId="12" r:id="rId11"/>
    <sheet name="12.Mérleg" sheetId="13" r:id="rId12"/>
    <sheet name="13.Létszám" sheetId="14" r:id="rId13"/>
  </sheets>
  <definedNames>
    <definedName name="_4._sz._sor_részletezése" localSheetId="0">#REF!</definedName>
    <definedName name="_4._sz._sor_részletezése" localSheetId="9">#REF!</definedName>
    <definedName name="_4._sz._sor_részletezése" localSheetId="10">#REF!</definedName>
    <definedName name="_4._sz._sor_részletezése" localSheetId="4">#REF!</definedName>
    <definedName name="_4._sz._sor_részletezése" localSheetId="6">#REF!</definedName>
    <definedName name="_4._sz._sor_részletezése" localSheetId="7">#REF!</definedName>
    <definedName name="_4._sz._sor_részletezése" localSheetId="8">#REF!</definedName>
    <definedName name="_4._sz._sor_részletezése">#REF!</definedName>
    <definedName name="_xlnm.Print_Titles" localSheetId="0">'1.Onbe'!$5:$7</definedName>
    <definedName name="_xlnm.Print_Titles" localSheetId="9">'10.MVP és hazai'!$5:$9</definedName>
    <definedName name="_xlnm.Print_Titles" localSheetId="10">'11.EKF'!$5:$9</definedName>
    <definedName name="_xlnm.Print_Titles" localSheetId="12">'13.Létszám'!$6:$6</definedName>
    <definedName name="_xlnm.Print_Titles" localSheetId="1">'2.Onki'!$5:$7</definedName>
    <definedName name="_xlnm.Print_Titles" localSheetId="2">'3.Inbe '!$5:$8</definedName>
    <definedName name="_xlnm.Print_Titles" localSheetId="3">'4.Inki'!$5:$8</definedName>
    <definedName name="_xlnm.Print_Titles" localSheetId="4">'5.Infelhki'!$5:$8</definedName>
    <definedName name="_xlnm.Print_Titles" localSheetId="5">'6.Önk.műk.'!$5:$8</definedName>
    <definedName name="_xlnm.Print_Titles" localSheetId="6">'7.Beruh.'!$5:$9</definedName>
    <definedName name="_xlnm.Print_Titles" localSheetId="7">'8.Felúj.'!$5:$9</definedName>
    <definedName name="_xlnm.Print_Titles" localSheetId="8">'9.Projekt'!$5:$9</definedName>
    <definedName name="_xlnm.Print_Area" localSheetId="0">'1.Onbe'!$A$1:$M$74</definedName>
    <definedName name="_xlnm.Print_Area" localSheetId="9">'10.MVP és hazai'!$A$1:$P$51</definedName>
    <definedName name="_xlnm.Print_Area" localSheetId="10">'11.EKF'!$A$1:$Q$212</definedName>
    <definedName name="_xlnm.Print_Area" localSheetId="11">'12.Mérleg'!$A$1:$O$39</definedName>
    <definedName name="_xlnm.Print_Area" localSheetId="12">'13.Létszám'!$A$1:$G$30</definedName>
    <definedName name="_xlnm.Print_Area" localSheetId="1">'2.Onki'!$A$1:$M$47</definedName>
    <definedName name="_xlnm.Print_Area" localSheetId="2">'3.Inbe '!$A$1:$R$147</definedName>
    <definedName name="_xlnm.Print_Area" localSheetId="3">'4.Inki'!$A$1:$R$306</definedName>
    <definedName name="_xlnm.Print_Area" localSheetId="4">'5.Infelhki'!$A$1:$L$228</definedName>
    <definedName name="_xlnm.Print_Area" localSheetId="5">'6.Önk.műk.'!$A$1:$N$1081</definedName>
    <definedName name="_xlnm.Print_Area" localSheetId="6">'7.Beruh.'!$A$1:$M$704</definedName>
    <definedName name="_xlnm.Print_Area" localSheetId="7">'8.Felúj.'!$A$1:$L$285</definedName>
    <definedName name="_xlnm.Print_Area" localSheetId="8">'9.Projekt'!$A$1:$P$106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608" i="7" l="1"/>
  <c r="L608" i="7" l="1"/>
  <c r="L38" i="2"/>
  <c r="E30" i="14"/>
  <c r="D30" i="14"/>
  <c r="E28" i="14"/>
  <c r="F27" i="14"/>
  <c r="F30" i="14" s="1"/>
  <c r="F26" i="14"/>
  <c r="F24" i="14"/>
  <c r="E23" i="14"/>
  <c r="D23" i="14"/>
  <c r="D28" i="14" s="1"/>
  <c r="F22" i="14"/>
  <c r="F21" i="14"/>
  <c r="F20" i="14"/>
  <c r="F19" i="14"/>
  <c r="F18" i="14"/>
  <c r="F17" i="14"/>
  <c r="F16" i="14"/>
  <c r="F15" i="14"/>
  <c r="F14" i="14"/>
  <c r="F13" i="14"/>
  <c r="F12" i="14"/>
  <c r="F11" i="14"/>
  <c r="F10" i="14"/>
  <c r="F9" i="14"/>
  <c r="F8" i="14"/>
  <c r="F7" i="14"/>
  <c r="F23" i="14" s="1"/>
  <c r="F28" i="14" s="1"/>
  <c r="F37" i="13"/>
  <c r="E37" i="13"/>
  <c r="F36" i="13"/>
  <c r="E36" i="13"/>
  <c r="M30" i="13"/>
  <c r="L30" i="13"/>
  <c r="F30" i="13"/>
  <c r="E30" i="13"/>
  <c r="N28" i="13"/>
  <c r="H28" i="13"/>
  <c r="H37" i="13" s="1"/>
  <c r="G28" i="13"/>
  <c r="G37" i="13" s="1"/>
  <c r="G25" i="13"/>
  <c r="N24" i="13"/>
  <c r="N30" i="13" s="1"/>
  <c r="M21" i="13"/>
  <c r="L21" i="13"/>
  <c r="F21" i="13"/>
  <c r="E21" i="13"/>
  <c r="G19" i="13"/>
  <c r="M15" i="13"/>
  <c r="L15" i="13"/>
  <c r="L22" i="13" s="1"/>
  <c r="L31" i="13" s="1"/>
  <c r="F15" i="13"/>
  <c r="E15" i="13"/>
  <c r="E22" i="13" s="1"/>
  <c r="M203" i="12"/>
  <c r="K203" i="12"/>
  <c r="J203" i="12"/>
  <c r="I203" i="12"/>
  <c r="P203" i="12" s="1"/>
  <c r="E200" i="12" s="1"/>
  <c r="P202" i="12"/>
  <c r="P201" i="12"/>
  <c r="O198" i="12"/>
  <c r="M198" i="12"/>
  <c r="L198" i="12"/>
  <c r="K198" i="12"/>
  <c r="P198" i="12" s="1"/>
  <c r="E194" i="12" s="1"/>
  <c r="P197" i="12"/>
  <c r="P196" i="12"/>
  <c r="P195" i="12"/>
  <c r="M192" i="12"/>
  <c r="K192" i="12"/>
  <c r="P192" i="12" s="1"/>
  <c r="E188" i="12" s="1"/>
  <c r="P191" i="12"/>
  <c r="P190" i="12"/>
  <c r="P189" i="12"/>
  <c r="K186" i="12"/>
  <c r="P186" i="12" s="1"/>
  <c r="E182" i="12" s="1"/>
  <c r="P185" i="12"/>
  <c r="P184" i="12"/>
  <c r="P183" i="12"/>
  <c r="P180" i="12"/>
  <c r="E176" i="12" s="1"/>
  <c r="M180" i="12"/>
  <c r="K180" i="12"/>
  <c r="P179" i="12"/>
  <c r="P178" i="12"/>
  <c r="P177" i="12"/>
  <c r="O174" i="12"/>
  <c r="M174" i="12"/>
  <c r="P174" i="12" s="1"/>
  <c r="E170" i="12" s="1"/>
  <c r="K174" i="12"/>
  <c r="P173" i="12"/>
  <c r="P172" i="12"/>
  <c r="P171" i="12"/>
  <c r="L168" i="12"/>
  <c r="K168" i="12"/>
  <c r="P168" i="12" s="1"/>
  <c r="E164" i="12" s="1"/>
  <c r="P167" i="12"/>
  <c r="P166" i="12"/>
  <c r="P165" i="12"/>
  <c r="O162" i="12"/>
  <c r="N162" i="12"/>
  <c r="M162" i="12"/>
  <c r="L162" i="12"/>
  <c r="K162" i="12"/>
  <c r="P162" i="12" s="1"/>
  <c r="E158" i="12" s="1"/>
  <c r="P161" i="12"/>
  <c r="P160" i="12"/>
  <c r="P159" i="12"/>
  <c r="O156" i="12"/>
  <c r="M156" i="12"/>
  <c r="L156" i="12"/>
  <c r="K156" i="12"/>
  <c r="P156" i="12" s="1"/>
  <c r="E152" i="12" s="1"/>
  <c r="P155" i="12"/>
  <c r="P154" i="12"/>
  <c r="P153" i="12"/>
  <c r="O150" i="12"/>
  <c r="M150" i="12"/>
  <c r="K150" i="12"/>
  <c r="P150" i="12" s="1"/>
  <c r="E146" i="12" s="1"/>
  <c r="P149" i="12"/>
  <c r="P148" i="12"/>
  <c r="P147" i="12"/>
  <c r="P144" i="12"/>
  <c r="K144" i="12"/>
  <c r="P143" i="12"/>
  <c r="P142" i="12"/>
  <c r="P141" i="12"/>
  <c r="E140" i="12"/>
  <c r="L138" i="12"/>
  <c r="P138" i="12" s="1"/>
  <c r="E134" i="12" s="1"/>
  <c r="K138" i="12"/>
  <c r="P137" i="12"/>
  <c r="P136" i="12"/>
  <c r="P135" i="12"/>
  <c r="M132" i="12"/>
  <c r="K132" i="12"/>
  <c r="P132" i="12" s="1"/>
  <c r="E128" i="12" s="1"/>
  <c r="P131" i="12"/>
  <c r="P130" i="12"/>
  <c r="P129" i="12"/>
  <c r="L126" i="12"/>
  <c r="K126" i="12"/>
  <c r="P126" i="12" s="1"/>
  <c r="E122" i="12" s="1"/>
  <c r="P125" i="12"/>
  <c r="P124" i="12"/>
  <c r="P123" i="12"/>
  <c r="L120" i="12"/>
  <c r="K120" i="12"/>
  <c r="P120" i="12" s="1"/>
  <c r="E116" i="12" s="1"/>
  <c r="P119" i="12"/>
  <c r="P118" i="12"/>
  <c r="P117" i="12"/>
  <c r="M114" i="12"/>
  <c r="L114" i="12"/>
  <c r="K114" i="12"/>
  <c r="P114" i="12" s="1"/>
  <c r="E110" i="12" s="1"/>
  <c r="P113" i="12"/>
  <c r="P112" i="12"/>
  <c r="P111" i="12"/>
  <c r="M108" i="12"/>
  <c r="K108" i="12"/>
  <c r="P108" i="12" s="1"/>
  <c r="E104" i="12" s="1"/>
  <c r="P107" i="12"/>
  <c r="P106" i="12"/>
  <c r="P105" i="12"/>
  <c r="M102" i="12"/>
  <c r="L102" i="12"/>
  <c r="K102" i="12"/>
  <c r="P102" i="12" s="1"/>
  <c r="E98" i="12" s="1"/>
  <c r="P101" i="12"/>
  <c r="P100" i="12"/>
  <c r="P99" i="12"/>
  <c r="L96" i="12"/>
  <c r="K96" i="12"/>
  <c r="J96" i="12"/>
  <c r="I96" i="12"/>
  <c r="P96" i="12" s="1"/>
  <c r="E92" i="12" s="1"/>
  <c r="P95" i="12"/>
  <c r="P94" i="12"/>
  <c r="P93" i="12"/>
  <c r="M90" i="12"/>
  <c r="K90" i="12"/>
  <c r="P90" i="12" s="1"/>
  <c r="E86" i="12" s="1"/>
  <c r="P89" i="12"/>
  <c r="P88" i="12"/>
  <c r="P87" i="12"/>
  <c r="L84" i="12"/>
  <c r="K84" i="12"/>
  <c r="J84" i="12"/>
  <c r="I84" i="12"/>
  <c r="P84" i="12" s="1"/>
  <c r="E80" i="12" s="1"/>
  <c r="P83" i="12"/>
  <c r="P82" i="12"/>
  <c r="P81" i="12"/>
  <c r="K78" i="12"/>
  <c r="P78" i="12" s="1"/>
  <c r="E74" i="12" s="1"/>
  <c r="P77" i="12"/>
  <c r="P76" i="12"/>
  <c r="P75" i="12"/>
  <c r="M72" i="12"/>
  <c r="K72" i="12"/>
  <c r="P72" i="12" s="1"/>
  <c r="E68" i="12" s="1"/>
  <c r="P71" i="12"/>
  <c r="P70" i="12"/>
  <c r="P69" i="12"/>
  <c r="O65" i="12"/>
  <c r="O207" i="12" s="1"/>
  <c r="N65" i="12"/>
  <c r="N207" i="12" s="1"/>
  <c r="L35" i="3" s="1"/>
  <c r="M35" i="3" s="1"/>
  <c r="O19" i="13" s="1"/>
  <c r="M65" i="12"/>
  <c r="M207" i="12" s="1"/>
  <c r="L65" i="12"/>
  <c r="L207" i="12" s="1"/>
  <c r="K65" i="12"/>
  <c r="K207" i="12" s="1"/>
  <c r="J65" i="12"/>
  <c r="J207" i="12" s="1"/>
  <c r="I65" i="12"/>
  <c r="I207" i="12" s="1"/>
  <c r="P207" i="12" s="1"/>
  <c r="O64" i="12"/>
  <c r="O206" i="12" s="1"/>
  <c r="O208" i="12" s="1"/>
  <c r="N64" i="12"/>
  <c r="N206" i="12" s="1"/>
  <c r="M64" i="12"/>
  <c r="M66" i="12" s="1"/>
  <c r="L64" i="12"/>
  <c r="L66" i="12" s="1"/>
  <c r="K64" i="12"/>
  <c r="K206" i="12" s="1"/>
  <c r="K208" i="12" s="1"/>
  <c r="J64" i="12"/>
  <c r="J206" i="12" s="1"/>
  <c r="I64" i="12"/>
  <c r="I66" i="12" s="1"/>
  <c r="O63" i="12"/>
  <c r="O205" i="12" s="1"/>
  <c r="N63" i="12"/>
  <c r="N205" i="12" s="1"/>
  <c r="M63" i="12"/>
  <c r="M205" i="12" s="1"/>
  <c r="L63" i="12"/>
  <c r="L205" i="12" s="1"/>
  <c r="K63" i="12"/>
  <c r="K205" i="12" s="1"/>
  <c r="J63" i="12"/>
  <c r="J205" i="12" s="1"/>
  <c r="I63" i="12"/>
  <c r="P63" i="12" s="1"/>
  <c r="G62" i="12"/>
  <c r="F62" i="12"/>
  <c r="M61" i="12"/>
  <c r="P61" i="12" s="1"/>
  <c r="E57" i="12" s="1"/>
  <c r="P60" i="12"/>
  <c r="P59" i="12"/>
  <c r="P58" i="12"/>
  <c r="E56" i="12"/>
  <c r="E55" i="12"/>
  <c r="E54" i="12"/>
  <c r="M53" i="12"/>
  <c r="L53" i="12"/>
  <c r="K53" i="12"/>
  <c r="P53" i="12" s="1"/>
  <c r="E49" i="12" s="1"/>
  <c r="P52" i="12"/>
  <c r="P51" i="12"/>
  <c r="P50" i="12"/>
  <c r="E48" i="12"/>
  <c r="O47" i="12"/>
  <c r="M47" i="12"/>
  <c r="K47" i="12"/>
  <c r="P47" i="12" s="1"/>
  <c r="E43" i="12" s="1"/>
  <c r="E62" i="12" s="1"/>
  <c r="P46" i="12"/>
  <c r="P45" i="12"/>
  <c r="P44" i="12"/>
  <c r="M40" i="12"/>
  <c r="K40" i="12"/>
  <c r="P40" i="12" s="1"/>
  <c r="E36" i="12" s="1"/>
  <c r="P39" i="12"/>
  <c r="P38" i="12"/>
  <c r="P37" i="12"/>
  <c r="M34" i="12"/>
  <c r="L34" i="12"/>
  <c r="K34" i="12"/>
  <c r="P34" i="12" s="1"/>
  <c r="E30" i="12" s="1"/>
  <c r="P33" i="12"/>
  <c r="P32" i="12"/>
  <c r="P31" i="12"/>
  <c r="O28" i="12"/>
  <c r="N28" i="12"/>
  <c r="M28" i="12"/>
  <c r="L28" i="12"/>
  <c r="K28" i="12"/>
  <c r="J28" i="12"/>
  <c r="P28" i="12" s="1"/>
  <c r="I28" i="12"/>
  <c r="O27" i="12"/>
  <c r="O29" i="12" s="1"/>
  <c r="N27" i="12"/>
  <c r="N29" i="12" s="1"/>
  <c r="M27" i="12"/>
  <c r="M29" i="12" s="1"/>
  <c r="L27" i="12"/>
  <c r="L29" i="12" s="1"/>
  <c r="K27" i="12"/>
  <c r="K29" i="12" s="1"/>
  <c r="J27" i="12"/>
  <c r="J29" i="12" s="1"/>
  <c r="P29" i="12" s="1"/>
  <c r="I27" i="12"/>
  <c r="I29" i="12" s="1"/>
  <c r="O26" i="12"/>
  <c r="N26" i="12"/>
  <c r="M26" i="12"/>
  <c r="L26" i="12"/>
  <c r="K26" i="12"/>
  <c r="J26" i="12"/>
  <c r="I26" i="12"/>
  <c r="P26" i="12" s="1"/>
  <c r="G25" i="12"/>
  <c r="M24" i="12"/>
  <c r="P24" i="12" s="1"/>
  <c r="E20" i="12" s="1"/>
  <c r="P23" i="12"/>
  <c r="P22" i="12"/>
  <c r="P21" i="12"/>
  <c r="E19" i="12"/>
  <c r="F18" i="12"/>
  <c r="F25" i="12" s="1"/>
  <c r="E18" i="12"/>
  <c r="E17" i="12"/>
  <c r="P16" i="12"/>
  <c r="E12" i="12" s="1"/>
  <c r="E25" i="12" s="1"/>
  <c r="K16" i="12"/>
  <c r="P15" i="12"/>
  <c r="P14" i="12"/>
  <c r="P13" i="12"/>
  <c r="N46" i="11"/>
  <c r="M46" i="11"/>
  <c r="L46" i="11"/>
  <c r="K46" i="11"/>
  <c r="J46" i="11"/>
  <c r="I46" i="11"/>
  <c r="O46" i="11" s="1"/>
  <c r="N45" i="11"/>
  <c r="N47" i="11" s="1"/>
  <c r="M45" i="11"/>
  <c r="M47" i="11" s="1"/>
  <c r="L45" i="11"/>
  <c r="L47" i="11" s="1"/>
  <c r="K45" i="11"/>
  <c r="K47" i="11" s="1"/>
  <c r="J45" i="11"/>
  <c r="J47" i="11" s="1"/>
  <c r="I45" i="11"/>
  <c r="I47" i="11" s="1"/>
  <c r="P44" i="11"/>
  <c r="N44" i="11"/>
  <c r="M44" i="11"/>
  <c r="L44" i="11"/>
  <c r="K44" i="11"/>
  <c r="J44" i="11"/>
  <c r="I44" i="11"/>
  <c r="O44" i="11" s="1"/>
  <c r="O42" i="11"/>
  <c r="K42" i="11"/>
  <c r="O41" i="11"/>
  <c r="E40" i="11"/>
  <c r="O39" i="11"/>
  <c r="M39" i="11"/>
  <c r="O38" i="11"/>
  <c r="O37" i="11"/>
  <c r="E36" i="11"/>
  <c r="K35" i="11"/>
  <c r="O35" i="11" s="1"/>
  <c r="O34" i="11"/>
  <c r="O33" i="11"/>
  <c r="O32" i="11"/>
  <c r="E31" i="11"/>
  <c r="O30" i="11"/>
  <c r="M30" i="11"/>
  <c r="O29" i="11"/>
  <c r="O28" i="11"/>
  <c r="O27" i="11"/>
  <c r="E26" i="11" s="1"/>
  <c r="M25" i="11"/>
  <c r="K25" i="11"/>
  <c r="O25" i="11" s="1"/>
  <c r="O24" i="11"/>
  <c r="O23" i="11"/>
  <c r="O22" i="11"/>
  <c r="F21" i="11"/>
  <c r="E21" i="11" s="1"/>
  <c r="K20" i="11"/>
  <c r="O20" i="11" s="1"/>
  <c r="O19" i="11"/>
  <c r="O18" i="11"/>
  <c r="O17" i="11"/>
  <c r="E16" i="11"/>
  <c r="O15" i="11"/>
  <c r="M15" i="11"/>
  <c r="K15" i="11"/>
  <c r="O14" i="11"/>
  <c r="O13" i="11"/>
  <c r="O12" i="11"/>
  <c r="F11" i="11"/>
  <c r="E11" i="11"/>
  <c r="N101" i="10"/>
  <c r="M101" i="10"/>
  <c r="L101" i="10"/>
  <c r="K101" i="10"/>
  <c r="J101" i="10"/>
  <c r="I101" i="10"/>
  <c r="O101" i="10" s="1"/>
  <c r="N100" i="10"/>
  <c r="N102" i="10" s="1"/>
  <c r="M100" i="10"/>
  <c r="M102" i="10" s="1"/>
  <c r="L100" i="10"/>
  <c r="L102" i="10" s="1"/>
  <c r="K100" i="10"/>
  <c r="K102" i="10" s="1"/>
  <c r="J100" i="10"/>
  <c r="J102" i="10" s="1"/>
  <c r="I100" i="10"/>
  <c r="I102" i="10" s="1"/>
  <c r="N99" i="10"/>
  <c r="M99" i="10"/>
  <c r="L99" i="10"/>
  <c r="K99" i="10"/>
  <c r="J99" i="10"/>
  <c r="I99" i="10"/>
  <c r="O99" i="10" s="1"/>
  <c r="M97" i="10"/>
  <c r="K97" i="10"/>
  <c r="O97" i="10" s="1"/>
  <c r="E95" i="10" s="1"/>
  <c r="O96" i="10"/>
  <c r="K94" i="10"/>
  <c r="O94" i="10" s="1"/>
  <c r="E91" i="10" s="1"/>
  <c r="O93" i="10"/>
  <c r="O92" i="10"/>
  <c r="K90" i="10"/>
  <c r="O90" i="10" s="1"/>
  <c r="E86" i="10" s="1"/>
  <c r="O89" i="10"/>
  <c r="O88" i="10"/>
  <c r="O87" i="10"/>
  <c r="O85" i="10"/>
  <c r="E81" i="10" s="1"/>
  <c r="K85" i="10"/>
  <c r="O84" i="10"/>
  <c r="O83" i="10"/>
  <c r="O82" i="10"/>
  <c r="K80" i="10"/>
  <c r="J80" i="10"/>
  <c r="O80" i="10" s="1"/>
  <c r="E76" i="10" s="1"/>
  <c r="I80" i="10"/>
  <c r="O79" i="10"/>
  <c r="O78" i="10"/>
  <c r="P77" i="10"/>
  <c r="O77" i="10"/>
  <c r="M75" i="10"/>
  <c r="K75" i="10"/>
  <c r="J75" i="10"/>
  <c r="I75" i="10"/>
  <c r="O75" i="10" s="1"/>
  <c r="E71" i="10" s="1"/>
  <c r="O74" i="10"/>
  <c r="O73" i="10"/>
  <c r="P72" i="10"/>
  <c r="P99" i="10" s="1"/>
  <c r="O72" i="10"/>
  <c r="M70" i="10"/>
  <c r="K70" i="10"/>
  <c r="J70" i="10"/>
  <c r="I70" i="10"/>
  <c r="O70" i="10" s="1"/>
  <c r="E66" i="10" s="1"/>
  <c r="O69" i="10"/>
  <c r="O68" i="10"/>
  <c r="O67" i="10"/>
  <c r="K65" i="10"/>
  <c r="O65" i="10" s="1"/>
  <c r="E61" i="10" s="1"/>
  <c r="J65" i="10"/>
  <c r="I65" i="10"/>
  <c r="O64" i="10"/>
  <c r="O63" i="10"/>
  <c r="O62" i="10"/>
  <c r="O60" i="10"/>
  <c r="E56" i="10" s="1"/>
  <c r="K60" i="10"/>
  <c r="J60" i="10"/>
  <c r="I60" i="10"/>
  <c r="O59" i="10"/>
  <c r="O58" i="10"/>
  <c r="O57" i="10"/>
  <c r="O55" i="10"/>
  <c r="N55" i="10"/>
  <c r="O54" i="10"/>
  <c r="O53" i="10"/>
  <c r="O52" i="10"/>
  <c r="F51" i="10"/>
  <c r="E51" i="10" s="1"/>
  <c r="K50" i="10"/>
  <c r="O50" i="10" s="1"/>
  <c r="O49" i="10"/>
  <c r="O48" i="10"/>
  <c r="O47" i="10"/>
  <c r="F46" i="10"/>
  <c r="E46" i="10" s="1"/>
  <c r="O45" i="10"/>
  <c r="K45" i="10"/>
  <c r="O44" i="10"/>
  <c r="O43" i="10"/>
  <c r="O42" i="10"/>
  <c r="F41" i="10"/>
  <c r="E41" i="10"/>
  <c r="O40" i="10"/>
  <c r="L40" i="10"/>
  <c r="O39" i="10"/>
  <c r="O38" i="10"/>
  <c r="O37" i="10"/>
  <c r="F36" i="10"/>
  <c r="E36" i="10" s="1"/>
  <c r="O35" i="10"/>
  <c r="E31" i="10" s="1"/>
  <c r="N35" i="10"/>
  <c r="O34" i="10"/>
  <c r="O33" i="10"/>
  <c r="O32" i="10"/>
  <c r="F31" i="10"/>
  <c r="M30" i="10"/>
  <c r="O30" i="10" s="1"/>
  <c r="O29" i="10"/>
  <c r="O28" i="10"/>
  <c r="O27" i="10"/>
  <c r="F26" i="10"/>
  <c r="E26" i="10" s="1"/>
  <c r="M25" i="10"/>
  <c r="L25" i="10"/>
  <c r="O25" i="10" s="1"/>
  <c r="O24" i="10"/>
  <c r="O23" i="10"/>
  <c r="O22" i="10"/>
  <c r="F21" i="10"/>
  <c r="E21" i="10" s="1"/>
  <c r="O20" i="10"/>
  <c r="K20" i="10"/>
  <c r="O19" i="10"/>
  <c r="O18" i="10"/>
  <c r="O17" i="10"/>
  <c r="F16" i="10"/>
  <c r="E16" i="10"/>
  <c r="K15" i="10"/>
  <c r="O15" i="10" s="1"/>
  <c r="E11" i="10" s="1"/>
  <c r="O14" i="10"/>
  <c r="O13" i="10"/>
  <c r="O12" i="10"/>
  <c r="J281" i="9"/>
  <c r="I281" i="9"/>
  <c r="K281" i="9" s="1"/>
  <c r="J280" i="9"/>
  <c r="J282" i="9" s="1"/>
  <c r="I280" i="9"/>
  <c r="I282" i="9" s="1"/>
  <c r="K282" i="9" s="1"/>
  <c r="J279" i="9"/>
  <c r="I279" i="9"/>
  <c r="K279" i="9" s="1"/>
  <c r="J276" i="9"/>
  <c r="I276" i="9"/>
  <c r="K276" i="9" s="1"/>
  <c r="J275" i="9"/>
  <c r="J277" i="9" s="1"/>
  <c r="I275" i="9"/>
  <c r="I277" i="9" s="1"/>
  <c r="I274" i="9"/>
  <c r="J271" i="9"/>
  <c r="I271" i="9"/>
  <c r="K271" i="9" s="1"/>
  <c r="J270" i="9"/>
  <c r="J272" i="9" s="1"/>
  <c r="I270" i="9"/>
  <c r="I269" i="9"/>
  <c r="K267" i="9"/>
  <c r="J267" i="9"/>
  <c r="K266" i="9"/>
  <c r="K265" i="9"/>
  <c r="E264" i="9"/>
  <c r="K263" i="9"/>
  <c r="J263" i="9"/>
  <c r="K262" i="9"/>
  <c r="K261" i="9"/>
  <c r="E260" i="9"/>
  <c r="J259" i="9"/>
  <c r="K259" i="9" s="1"/>
  <c r="E256" i="9" s="1"/>
  <c r="K258" i="9"/>
  <c r="K257" i="9"/>
  <c r="J255" i="9"/>
  <c r="K255" i="9" s="1"/>
  <c r="E252" i="9" s="1"/>
  <c r="K254" i="9"/>
  <c r="K253" i="9"/>
  <c r="J251" i="9"/>
  <c r="K251" i="9" s="1"/>
  <c r="E248" i="9" s="1"/>
  <c r="K250" i="9"/>
  <c r="K249" i="9"/>
  <c r="K247" i="9"/>
  <c r="J247" i="9"/>
  <c r="K246" i="9"/>
  <c r="K245" i="9"/>
  <c r="E244" i="9"/>
  <c r="J243" i="9"/>
  <c r="K243" i="9" s="1"/>
  <c r="K242" i="9"/>
  <c r="K241" i="9"/>
  <c r="K240" i="9"/>
  <c r="E239" i="9"/>
  <c r="J238" i="9"/>
  <c r="K238" i="9" s="1"/>
  <c r="E234" i="9" s="1"/>
  <c r="K237" i="9"/>
  <c r="K236" i="9"/>
  <c r="K235" i="9"/>
  <c r="J233" i="9"/>
  <c r="K233" i="9" s="1"/>
  <c r="K232" i="9"/>
  <c r="K231" i="9"/>
  <c r="K230" i="9"/>
  <c r="E229" i="9"/>
  <c r="K226" i="9"/>
  <c r="J226" i="9"/>
  <c r="K225" i="9"/>
  <c r="K224" i="9"/>
  <c r="E223" i="9"/>
  <c r="K222" i="9"/>
  <c r="E218" i="9" s="1"/>
  <c r="J222" i="9"/>
  <c r="K221" i="9"/>
  <c r="K220" i="9"/>
  <c r="K219" i="9"/>
  <c r="J216" i="9"/>
  <c r="K216" i="9" s="1"/>
  <c r="K215" i="9"/>
  <c r="K214" i="9"/>
  <c r="K213" i="9"/>
  <c r="E212" i="9"/>
  <c r="K211" i="9"/>
  <c r="E207" i="9" s="1"/>
  <c r="J211" i="9"/>
  <c r="K210" i="9"/>
  <c r="K209" i="9"/>
  <c r="K208" i="9"/>
  <c r="J204" i="9"/>
  <c r="K204" i="9" s="1"/>
  <c r="E200" i="9" s="1"/>
  <c r="K203" i="9"/>
  <c r="K202" i="9"/>
  <c r="K201" i="9"/>
  <c r="K199" i="9"/>
  <c r="E195" i="9" s="1"/>
  <c r="J199" i="9"/>
  <c r="K198" i="9"/>
  <c r="K197" i="9"/>
  <c r="K196" i="9"/>
  <c r="K193" i="9"/>
  <c r="E189" i="9" s="1"/>
  <c r="J193" i="9"/>
  <c r="K192" i="9"/>
  <c r="K191" i="9"/>
  <c r="K190" i="9"/>
  <c r="K188" i="9"/>
  <c r="E184" i="9" s="1"/>
  <c r="J188" i="9"/>
  <c r="K187" i="9"/>
  <c r="K186" i="9"/>
  <c r="K185" i="9"/>
  <c r="K182" i="9"/>
  <c r="E178" i="9" s="1"/>
  <c r="J182" i="9"/>
  <c r="K181" i="9"/>
  <c r="K180" i="9"/>
  <c r="K179" i="9"/>
  <c r="K176" i="9"/>
  <c r="E172" i="9" s="1"/>
  <c r="J176" i="9"/>
  <c r="K175" i="9"/>
  <c r="K174" i="9"/>
  <c r="K173" i="9"/>
  <c r="J170" i="9"/>
  <c r="K170" i="9" s="1"/>
  <c r="K169" i="9"/>
  <c r="K168" i="9"/>
  <c r="K167" i="9"/>
  <c r="E166" i="9"/>
  <c r="K165" i="9"/>
  <c r="E161" i="9" s="1"/>
  <c r="J165" i="9"/>
  <c r="K164" i="9"/>
  <c r="K163" i="9"/>
  <c r="K162" i="9"/>
  <c r="J162" i="9"/>
  <c r="J160" i="9"/>
  <c r="K160" i="9" s="1"/>
  <c r="K159" i="9"/>
  <c r="K158" i="9"/>
  <c r="K157" i="9"/>
  <c r="E156" i="9"/>
  <c r="J155" i="9"/>
  <c r="K155" i="9" s="1"/>
  <c r="K154" i="9"/>
  <c r="K153" i="9"/>
  <c r="J152" i="9"/>
  <c r="K152" i="9" s="1"/>
  <c r="E151" i="9"/>
  <c r="K149" i="9"/>
  <c r="E145" i="9" s="1"/>
  <c r="J149" i="9"/>
  <c r="K148" i="9"/>
  <c r="K147" i="9"/>
  <c r="K146" i="9"/>
  <c r="J143" i="9"/>
  <c r="K143" i="9" s="1"/>
  <c r="K142" i="9"/>
  <c r="K141" i="9"/>
  <c r="K140" i="9"/>
  <c r="E139" i="9"/>
  <c r="K138" i="9"/>
  <c r="E134" i="9" s="1"/>
  <c r="J138" i="9"/>
  <c r="K137" i="9"/>
  <c r="K136" i="9"/>
  <c r="K135" i="9"/>
  <c r="J133" i="9"/>
  <c r="K133" i="9" s="1"/>
  <c r="K132" i="9"/>
  <c r="K131" i="9"/>
  <c r="K130" i="9"/>
  <c r="E129" i="9"/>
  <c r="K127" i="9"/>
  <c r="E123" i="9" s="1"/>
  <c r="J127" i="9"/>
  <c r="K126" i="9"/>
  <c r="K125" i="9"/>
  <c r="K124" i="9"/>
  <c r="J122" i="9"/>
  <c r="K122" i="9" s="1"/>
  <c r="K121" i="9"/>
  <c r="K120" i="9"/>
  <c r="K119" i="9"/>
  <c r="E118" i="9"/>
  <c r="K117" i="9"/>
  <c r="E113" i="9" s="1"/>
  <c r="J117" i="9"/>
  <c r="K116" i="9"/>
  <c r="K115" i="9"/>
  <c r="K114" i="9"/>
  <c r="J109" i="9"/>
  <c r="K109" i="9" s="1"/>
  <c r="K108" i="9"/>
  <c r="K107" i="9"/>
  <c r="J106" i="9"/>
  <c r="K106" i="9" s="1"/>
  <c r="E105" i="9"/>
  <c r="J103" i="9"/>
  <c r="K103" i="9" s="1"/>
  <c r="E99" i="9" s="1"/>
  <c r="K102" i="9"/>
  <c r="K101" i="9"/>
  <c r="K100" i="9"/>
  <c r="J97" i="9"/>
  <c r="K97" i="9" s="1"/>
  <c r="K96" i="9"/>
  <c r="K95" i="9"/>
  <c r="K94" i="9"/>
  <c r="E93" i="9"/>
  <c r="J90" i="9"/>
  <c r="K90" i="9" s="1"/>
  <c r="E86" i="9" s="1"/>
  <c r="K89" i="9"/>
  <c r="K88" i="9"/>
  <c r="K87" i="9"/>
  <c r="K85" i="9"/>
  <c r="E81" i="9" s="1"/>
  <c r="J85" i="9"/>
  <c r="K84" i="9"/>
  <c r="K83" i="9"/>
  <c r="K82" i="9"/>
  <c r="J80" i="9"/>
  <c r="K80" i="9" s="1"/>
  <c r="E76" i="9" s="1"/>
  <c r="K79" i="9"/>
  <c r="K78" i="9"/>
  <c r="K77" i="9"/>
  <c r="J75" i="9"/>
  <c r="K75" i="9" s="1"/>
  <c r="K74" i="9"/>
  <c r="K73" i="9"/>
  <c r="K72" i="9"/>
  <c r="E71" i="9"/>
  <c r="J70" i="9"/>
  <c r="K70" i="9" s="1"/>
  <c r="E66" i="9" s="1"/>
  <c r="K69" i="9"/>
  <c r="K68" i="9"/>
  <c r="K67" i="9"/>
  <c r="K65" i="9"/>
  <c r="E61" i="9" s="1"/>
  <c r="J65" i="9"/>
  <c r="K64" i="9"/>
  <c r="K63" i="9"/>
  <c r="K62" i="9"/>
  <c r="J60" i="9"/>
  <c r="K60" i="9" s="1"/>
  <c r="E56" i="9" s="1"/>
  <c r="K59" i="9"/>
  <c r="K58" i="9"/>
  <c r="K57" i="9"/>
  <c r="J55" i="9"/>
  <c r="K55" i="9" s="1"/>
  <c r="K54" i="9"/>
  <c r="K53" i="9"/>
  <c r="K52" i="9"/>
  <c r="E51" i="9"/>
  <c r="J50" i="9"/>
  <c r="K50" i="9" s="1"/>
  <c r="E46" i="9" s="1"/>
  <c r="K49" i="9"/>
  <c r="K48" i="9"/>
  <c r="K47" i="9"/>
  <c r="K45" i="9"/>
  <c r="E41" i="9" s="1"/>
  <c r="J45" i="9"/>
  <c r="K44" i="9"/>
  <c r="K43" i="9"/>
  <c r="K42" i="9"/>
  <c r="J40" i="9"/>
  <c r="K40" i="9" s="1"/>
  <c r="E36" i="9" s="1"/>
  <c r="K39" i="9"/>
  <c r="K38" i="9"/>
  <c r="K37" i="9"/>
  <c r="J35" i="9"/>
  <c r="K35" i="9" s="1"/>
  <c r="E31" i="9" s="1"/>
  <c r="K34" i="9"/>
  <c r="K33" i="9"/>
  <c r="J32" i="9"/>
  <c r="K32" i="9" s="1"/>
  <c r="J30" i="9"/>
  <c r="K30" i="9" s="1"/>
  <c r="K29" i="9"/>
  <c r="K28" i="9"/>
  <c r="K27" i="9"/>
  <c r="E26" i="9"/>
  <c r="K25" i="9"/>
  <c r="E21" i="9" s="1"/>
  <c r="J25" i="9"/>
  <c r="K24" i="9"/>
  <c r="K23" i="9"/>
  <c r="K22" i="9"/>
  <c r="J20" i="9"/>
  <c r="K20" i="9" s="1"/>
  <c r="K19" i="9"/>
  <c r="K18" i="9"/>
  <c r="K17" i="9"/>
  <c r="E16" i="9"/>
  <c r="K15" i="9"/>
  <c r="E11" i="9" s="1"/>
  <c r="J15" i="9"/>
  <c r="K14" i="9"/>
  <c r="K13" i="9"/>
  <c r="K12" i="9"/>
  <c r="K701" i="8"/>
  <c r="K700" i="8"/>
  <c r="I700" i="8"/>
  <c r="J699" i="8"/>
  <c r="I699" i="8"/>
  <c r="I701" i="8" s="1"/>
  <c r="K698" i="8"/>
  <c r="I698" i="8"/>
  <c r="J696" i="8"/>
  <c r="K695" i="8"/>
  <c r="J695" i="8"/>
  <c r="I695" i="8"/>
  <c r="L695" i="8" s="1"/>
  <c r="K694" i="8"/>
  <c r="K696" i="8" s="1"/>
  <c r="J694" i="8"/>
  <c r="I694" i="8"/>
  <c r="I696" i="8" s="1"/>
  <c r="K693" i="8"/>
  <c r="I693" i="8"/>
  <c r="K690" i="8"/>
  <c r="I690" i="8"/>
  <c r="K689" i="8"/>
  <c r="J689" i="8"/>
  <c r="I689" i="8"/>
  <c r="I691" i="8" s="1"/>
  <c r="K688" i="8"/>
  <c r="I688" i="8"/>
  <c r="L686" i="8"/>
  <c r="E684" i="8" s="1"/>
  <c r="J686" i="8"/>
  <c r="L685" i="8"/>
  <c r="L683" i="8"/>
  <c r="E681" i="8" s="1"/>
  <c r="J683" i="8"/>
  <c r="L682" i="8"/>
  <c r="L680" i="8"/>
  <c r="E678" i="8" s="1"/>
  <c r="J680" i="8"/>
  <c r="L679" i="8"/>
  <c r="K677" i="8"/>
  <c r="L677" i="8" s="1"/>
  <c r="E675" i="8" s="1"/>
  <c r="L676" i="8"/>
  <c r="L674" i="8"/>
  <c r="E672" i="8" s="1"/>
  <c r="J674" i="8"/>
  <c r="L673" i="8"/>
  <c r="L671" i="8"/>
  <c r="E669" i="8" s="1"/>
  <c r="J671" i="8"/>
  <c r="L670" i="8"/>
  <c r="L668" i="8"/>
  <c r="E666" i="8" s="1"/>
  <c r="J668" i="8"/>
  <c r="L667" i="8"/>
  <c r="J665" i="8"/>
  <c r="L665" i="8" s="1"/>
  <c r="E663" i="8" s="1"/>
  <c r="L664" i="8"/>
  <c r="L662" i="8"/>
  <c r="E660" i="8" s="1"/>
  <c r="J662" i="8"/>
  <c r="L661" i="8"/>
  <c r="L659" i="8"/>
  <c r="E657" i="8" s="1"/>
  <c r="I659" i="8"/>
  <c r="L658" i="8"/>
  <c r="J656" i="8"/>
  <c r="L656" i="8" s="1"/>
  <c r="E654" i="8" s="1"/>
  <c r="L655" i="8"/>
  <c r="J653" i="8"/>
  <c r="L653" i="8" s="1"/>
  <c r="E651" i="8" s="1"/>
  <c r="L652" i="8"/>
  <c r="L650" i="8"/>
  <c r="J650" i="8"/>
  <c r="L649" i="8"/>
  <c r="L648" i="8"/>
  <c r="E647" i="8"/>
  <c r="L646" i="8"/>
  <c r="J646" i="8"/>
  <c r="L645" i="8"/>
  <c r="L644" i="8"/>
  <c r="E643" i="8"/>
  <c r="L642" i="8"/>
  <c r="J642" i="8"/>
  <c r="L641" i="8"/>
  <c r="L640" i="8"/>
  <c r="E639" i="8"/>
  <c r="J638" i="8"/>
  <c r="L638" i="8" s="1"/>
  <c r="E635" i="8" s="1"/>
  <c r="L637" i="8"/>
  <c r="L636" i="8"/>
  <c r="L634" i="8"/>
  <c r="J634" i="8"/>
  <c r="L633" i="8"/>
  <c r="L632" i="8"/>
  <c r="E631" i="8"/>
  <c r="L630" i="8"/>
  <c r="J630" i="8"/>
  <c r="L629" i="8"/>
  <c r="L628" i="8"/>
  <c r="E627" i="8"/>
  <c r="L626" i="8"/>
  <c r="J626" i="8"/>
  <c r="L625" i="8"/>
  <c r="L624" i="8"/>
  <c r="E623" i="8"/>
  <c r="J622" i="8"/>
  <c r="L622" i="8" s="1"/>
  <c r="E619" i="8" s="1"/>
  <c r="L621" i="8"/>
  <c r="L620" i="8"/>
  <c r="L618" i="8"/>
  <c r="J618" i="8"/>
  <c r="L617" i="8"/>
  <c r="L616" i="8"/>
  <c r="E615" i="8"/>
  <c r="L614" i="8"/>
  <c r="K614" i="8"/>
  <c r="L613" i="8"/>
  <c r="L612" i="8"/>
  <c r="E611" i="8"/>
  <c r="J610" i="8"/>
  <c r="L610" i="8" s="1"/>
  <c r="E607" i="8" s="1"/>
  <c r="L609" i="8"/>
  <c r="L608" i="8"/>
  <c r="K606" i="8"/>
  <c r="L606" i="8" s="1"/>
  <c r="E603" i="8" s="1"/>
  <c r="L605" i="8"/>
  <c r="L604" i="8"/>
  <c r="L602" i="8"/>
  <c r="J602" i="8"/>
  <c r="L601" i="8"/>
  <c r="L600" i="8"/>
  <c r="E599" i="8"/>
  <c r="L598" i="8"/>
  <c r="J598" i="8"/>
  <c r="L597" i="8"/>
  <c r="L596" i="8"/>
  <c r="E595" i="8"/>
  <c r="J594" i="8"/>
  <c r="L594" i="8" s="1"/>
  <c r="E591" i="8" s="1"/>
  <c r="L593" i="8"/>
  <c r="L592" i="8"/>
  <c r="J590" i="8"/>
  <c r="L590" i="8" s="1"/>
  <c r="E587" i="8" s="1"/>
  <c r="L589" i="8"/>
  <c r="L588" i="8"/>
  <c r="L586" i="8"/>
  <c r="E583" i="8" s="1"/>
  <c r="L584" i="8"/>
  <c r="J582" i="8"/>
  <c r="L582" i="8" s="1"/>
  <c r="E579" i="8" s="1"/>
  <c r="L581" i="8"/>
  <c r="L580" i="8"/>
  <c r="J578" i="8"/>
  <c r="L578" i="8" s="1"/>
  <c r="E575" i="8" s="1"/>
  <c r="L577" i="8"/>
  <c r="L576" i="8"/>
  <c r="L574" i="8"/>
  <c r="J574" i="8"/>
  <c r="L573" i="8"/>
  <c r="L572" i="8"/>
  <c r="E571" i="8"/>
  <c r="J570" i="8"/>
  <c r="L570" i="8" s="1"/>
  <c r="E567" i="8" s="1"/>
  <c r="L569" i="8"/>
  <c r="L568" i="8"/>
  <c r="J566" i="8"/>
  <c r="L566" i="8" s="1"/>
  <c r="E563" i="8" s="1"/>
  <c r="L565" i="8"/>
  <c r="L564" i="8"/>
  <c r="J562" i="8"/>
  <c r="L562" i="8" s="1"/>
  <c r="E559" i="8" s="1"/>
  <c r="L561" i="8"/>
  <c r="L560" i="8"/>
  <c r="L558" i="8"/>
  <c r="J558" i="8"/>
  <c r="L557" i="8"/>
  <c r="L556" i="8"/>
  <c r="E555" i="8"/>
  <c r="J554" i="8"/>
  <c r="L554" i="8" s="1"/>
  <c r="E551" i="8" s="1"/>
  <c r="L553" i="8"/>
  <c r="L552" i="8"/>
  <c r="J550" i="8"/>
  <c r="L550" i="8" s="1"/>
  <c r="E547" i="8" s="1"/>
  <c r="L549" i="8"/>
  <c r="L548" i="8"/>
  <c r="J546" i="8"/>
  <c r="L546" i="8" s="1"/>
  <c r="E543" i="8" s="1"/>
  <c r="L545" i="8"/>
  <c r="L544" i="8"/>
  <c r="L542" i="8"/>
  <c r="E539" i="8" s="1"/>
  <c r="J542" i="8"/>
  <c r="I542" i="8"/>
  <c r="L541" i="8"/>
  <c r="L540" i="8"/>
  <c r="J538" i="8"/>
  <c r="L538" i="8" s="1"/>
  <c r="E535" i="8" s="1"/>
  <c r="L537" i="8"/>
  <c r="L536" i="8"/>
  <c r="K534" i="8"/>
  <c r="L534" i="8" s="1"/>
  <c r="E531" i="8" s="1"/>
  <c r="L533" i="8"/>
  <c r="L532" i="8"/>
  <c r="L530" i="8"/>
  <c r="J530" i="8"/>
  <c r="L529" i="8"/>
  <c r="L528" i="8"/>
  <c r="E527" i="8"/>
  <c r="K526" i="8"/>
  <c r="L526" i="8" s="1"/>
  <c r="E523" i="8" s="1"/>
  <c r="L525" i="8"/>
  <c r="L524" i="8"/>
  <c r="J522" i="8"/>
  <c r="L522" i="8" s="1"/>
  <c r="L521" i="8"/>
  <c r="L520" i="8"/>
  <c r="L519" i="8"/>
  <c r="E518" i="8"/>
  <c r="L516" i="8"/>
  <c r="E512" i="8" s="1"/>
  <c r="J516" i="8"/>
  <c r="L515" i="8"/>
  <c r="L514" i="8"/>
  <c r="L513" i="8"/>
  <c r="J511" i="8"/>
  <c r="L511" i="8" s="1"/>
  <c r="L510" i="8"/>
  <c r="L509" i="8"/>
  <c r="L508" i="8"/>
  <c r="E507" i="8"/>
  <c r="L506" i="8"/>
  <c r="E502" i="8" s="1"/>
  <c r="J506" i="8"/>
  <c r="L505" i="8"/>
  <c r="L504" i="8"/>
  <c r="L503" i="8"/>
  <c r="J501" i="8"/>
  <c r="L501" i="8" s="1"/>
  <c r="L500" i="8"/>
  <c r="L499" i="8"/>
  <c r="L498" i="8"/>
  <c r="E497" i="8"/>
  <c r="L496" i="8"/>
  <c r="E492" i="8" s="1"/>
  <c r="J496" i="8"/>
  <c r="L495" i="8"/>
  <c r="L494" i="8"/>
  <c r="L493" i="8"/>
  <c r="J491" i="8"/>
  <c r="L491" i="8" s="1"/>
  <c r="L490" i="8"/>
  <c r="L489" i="8"/>
  <c r="L488" i="8"/>
  <c r="E487" i="8"/>
  <c r="L486" i="8"/>
  <c r="E482" i="8" s="1"/>
  <c r="J486" i="8"/>
  <c r="L485" i="8"/>
  <c r="L484" i="8"/>
  <c r="L483" i="8"/>
  <c r="J481" i="8"/>
  <c r="L481" i="8" s="1"/>
  <c r="L480" i="8"/>
  <c r="L479" i="8"/>
  <c r="L478" i="8"/>
  <c r="E477" i="8"/>
  <c r="L476" i="8"/>
  <c r="E472" i="8" s="1"/>
  <c r="J476" i="8"/>
  <c r="L475" i="8"/>
  <c r="L474" i="8"/>
  <c r="L473" i="8"/>
  <c r="J471" i="8"/>
  <c r="L471" i="8" s="1"/>
  <c r="L470" i="8"/>
  <c r="L469" i="8"/>
  <c r="L468" i="8"/>
  <c r="E467" i="8"/>
  <c r="L466" i="8"/>
  <c r="E462" i="8" s="1"/>
  <c r="J466" i="8"/>
  <c r="L465" i="8"/>
  <c r="L464" i="8"/>
  <c r="L463" i="8"/>
  <c r="J461" i="8"/>
  <c r="I461" i="8"/>
  <c r="L460" i="8"/>
  <c r="L459" i="8"/>
  <c r="L458" i="8"/>
  <c r="J456" i="8"/>
  <c r="L456" i="8" s="1"/>
  <c r="E452" i="8" s="1"/>
  <c r="L455" i="8"/>
  <c r="L454" i="8"/>
  <c r="L453" i="8"/>
  <c r="J451" i="8"/>
  <c r="L451" i="8" s="1"/>
  <c r="L450" i="8"/>
  <c r="L449" i="8"/>
  <c r="L448" i="8"/>
  <c r="E447" i="8"/>
  <c r="J446" i="8"/>
  <c r="L446" i="8" s="1"/>
  <c r="E442" i="8" s="1"/>
  <c r="L445" i="8"/>
  <c r="L444" i="8"/>
  <c r="L443" i="8"/>
  <c r="L441" i="8"/>
  <c r="E437" i="8" s="1"/>
  <c r="J441" i="8"/>
  <c r="L440" i="8"/>
  <c r="L439" i="8"/>
  <c r="L438" i="8"/>
  <c r="J436" i="8"/>
  <c r="L436" i="8" s="1"/>
  <c r="E432" i="8" s="1"/>
  <c r="L435" i="8"/>
  <c r="L434" i="8"/>
  <c r="L433" i="8"/>
  <c r="J431" i="8"/>
  <c r="L431" i="8" s="1"/>
  <c r="E427" i="8" s="1"/>
  <c r="L430" i="8"/>
  <c r="L429" i="8"/>
  <c r="L428" i="8"/>
  <c r="J426" i="8"/>
  <c r="L426" i="8" s="1"/>
  <c r="E422" i="8" s="1"/>
  <c r="L425" i="8"/>
  <c r="L424" i="8"/>
  <c r="L423" i="8"/>
  <c r="L421" i="8"/>
  <c r="E417" i="8" s="1"/>
  <c r="J421" i="8"/>
  <c r="L420" i="8"/>
  <c r="L419" i="8"/>
  <c r="L418" i="8"/>
  <c r="J416" i="8"/>
  <c r="L416" i="8" s="1"/>
  <c r="E412" i="8" s="1"/>
  <c r="L415" i="8"/>
  <c r="L414" i="8"/>
  <c r="L413" i="8"/>
  <c r="J411" i="8"/>
  <c r="L411" i="8" s="1"/>
  <c r="E407" i="8" s="1"/>
  <c r="L410" i="8"/>
  <c r="L409" i="8"/>
  <c r="M408" i="8"/>
  <c r="M688" i="8" s="1"/>
  <c r="L408" i="8"/>
  <c r="J406" i="8"/>
  <c r="L406" i="8" s="1"/>
  <c r="L405" i="8"/>
  <c r="L404" i="8"/>
  <c r="L403" i="8"/>
  <c r="E402" i="8"/>
  <c r="L401" i="8"/>
  <c r="E397" i="8" s="1"/>
  <c r="J401" i="8"/>
  <c r="L400" i="8"/>
  <c r="L399" i="8"/>
  <c r="L398" i="8"/>
  <c r="K396" i="8"/>
  <c r="L396" i="8" s="1"/>
  <c r="L395" i="8"/>
  <c r="L394" i="8"/>
  <c r="L393" i="8"/>
  <c r="E392" i="8"/>
  <c r="L391" i="8"/>
  <c r="E387" i="8" s="1"/>
  <c r="J391" i="8"/>
  <c r="L390" i="8"/>
  <c r="L389" i="8"/>
  <c r="L388" i="8"/>
  <c r="J386" i="8"/>
  <c r="L386" i="8" s="1"/>
  <c r="L385" i="8"/>
  <c r="L384" i="8"/>
  <c r="L383" i="8"/>
  <c r="E382" i="8"/>
  <c r="L381" i="8"/>
  <c r="E377" i="8" s="1"/>
  <c r="J381" i="8"/>
  <c r="L380" i="8"/>
  <c r="L379" i="8"/>
  <c r="L378" i="8"/>
  <c r="J378" i="8"/>
  <c r="J376" i="8"/>
  <c r="L376" i="8" s="1"/>
  <c r="E372" i="8" s="1"/>
  <c r="L375" i="8"/>
  <c r="L374" i="8"/>
  <c r="L373" i="8"/>
  <c r="J371" i="8"/>
  <c r="L371" i="8" s="1"/>
  <c r="E367" i="8" s="1"/>
  <c r="L370" i="8"/>
  <c r="L369" i="8"/>
  <c r="L368" i="8"/>
  <c r="J366" i="8"/>
  <c r="L366" i="8" s="1"/>
  <c r="E362" i="8" s="1"/>
  <c r="L365" i="8"/>
  <c r="L364" i="8"/>
  <c r="J363" i="8"/>
  <c r="J698" i="8" s="1"/>
  <c r="K361" i="8"/>
  <c r="L361" i="8" s="1"/>
  <c r="E358" i="8" s="1"/>
  <c r="L360" i="8"/>
  <c r="L359" i="8"/>
  <c r="J357" i="8"/>
  <c r="L357" i="8" s="1"/>
  <c r="E353" i="8" s="1"/>
  <c r="I357" i="8"/>
  <c r="L356" i="8"/>
  <c r="L355" i="8"/>
  <c r="L354" i="8"/>
  <c r="J352" i="8"/>
  <c r="I352" i="8"/>
  <c r="L352" i="8" s="1"/>
  <c r="L351" i="8"/>
  <c r="L350" i="8"/>
  <c r="L349" i="8"/>
  <c r="E348" i="8"/>
  <c r="J347" i="8"/>
  <c r="L347" i="8" s="1"/>
  <c r="L346" i="8"/>
  <c r="L345" i="8"/>
  <c r="L344" i="8"/>
  <c r="E343" i="8"/>
  <c r="J342" i="8"/>
  <c r="L342" i="8" s="1"/>
  <c r="E338" i="8" s="1"/>
  <c r="L341" i="8"/>
  <c r="L340" i="8"/>
  <c r="L339" i="8"/>
  <c r="J337" i="8"/>
  <c r="L337" i="8" s="1"/>
  <c r="E333" i="8" s="1"/>
  <c r="L336" i="8"/>
  <c r="L335" i="8"/>
  <c r="L334" i="8"/>
  <c r="L332" i="8"/>
  <c r="E328" i="8" s="1"/>
  <c r="I332" i="8"/>
  <c r="L331" i="8"/>
  <c r="L330" i="8"/>
  <c r="L329" i="8"/>
  <c r="J327" i="8"/>
  <c r="L327" i="8" s="1"/>
  <c r="L326" i="8"/>
  <c r="L325" i="8"/>
  <c r="L324" i="8"/>
  <c r="E323" i="8"/>
  <c r="J322" i="8"/>
  <c r="L322" i="8" s="1"/>
  <c r="E318" i="8" s="1"/>
  <c r="L321" i="8"/>
  <c r="L320" i="8"/>
  <c r="L319" i="8"/>
  <c r="K317" i="8"/>
  <c r="L317" i="8" s="1"/>
  <c r="L316" i="8"/>
  <c r="L315" i="8"/>
  <c r="L314" i="8"/>
  <c r="E313" i="8"/>
  <c r="J312" i="8"/>
  <c r="L312" i="8" s="1"/>
  <c r="L311" i="8"/>
  <c r="L310" i="8"/>
  <c r="L309" i="8"/>
  <c r="E308" i="8"/>
  <c r="J307" i="8"/>
  <c r="I307" i="8"/>
  <c r="L306" i="8"/>
  <c r="L305" i="8"/>
  <c r="L304" i="8"/>
  <c r="L302" i="8"/>
  <c r="E298" i="8" s="1"/>
  <c r="J302" i="8"/>
  <c r="L301" i="8"/>
  <c r="L300" i="8"/>
  <c r="L299" i="8"/>
  <c r="L297" i="8"/>
  <c r="E293" i="8" s="1"/>
  <c r="J297" i="8"/>
  <c r="L296" i="8"/>
  <c r="L295" i="8"/>
  <c r="L294" i="8"/>
  <c r="L292" i="8"/>
  <c r="E288" i="8" s="1"/>
  <c r="J292" i="8"/>
  <c r="L291" i="8"/>
  <c r="L290" i="8"/>
  <c r="L289" i="8"/>
  <c r="J287" i="8"/>
  <c r="L287" i="8" s="1"/>
  <c r="L286" i="8"/>
  <c r="L285" i="8"/>
  <c r="L284" i="8"/>
  <c r="E283" i="8"/>
  <c r="L282" i="8"/>
  <c r="E278" i="8" s="1"/>
  <c r="J282" i="8"/>
  <c r="L281" i="8"/>
  <c r="L280" i="8"/>
  <c r="L279" i="8"/>
  <c r="J277" i="8"/>
  <c r="L277" i="8" s="1"/>
  <c r="E273" i="8" s="1"/>
  <c r="L276" i="8"/>
  <c r="L275" i="8"/>
  <c r="L274" i="8"/>
  <c r="L272" i="8"/>
  <c r="E268" i="8" s="1"/>
  <c r="J272" i="8"/>
  <c r="L271" i="8"/>
  <c r="L270" i="8"/>
  <c r="L269" i="8"/>
  <c r="L267" i="8"/>
  <c r="E263" i="8" s="1"/>
  <c r="I267" i="8"/>
  <c r="L266" i="8"/>
  <c r="L265" i="8"/>
  <c r="L264" i="8"/>
  <c r="L262" i="8"/>
  <c r="E258" i="8" s="1"/>
  <c r="J262" i="8"/>
  <c r="L261" i="8"/>
  <c r="L260" i="8"/>
  <c r="L259" i="8"/>
  <c r="L257" i="8"/>
  <c r="E253" i="8" s="1"/>
  <c r="J257" i="8"/>
  <c r="L256" i="8"/>
  <c r="L255" i="8"/>
  <c r="L254" i="8"/>
  <c r="L252" i="8"/>
  <c r="E248" i="8" s="1"/>
  <c r="J252" i="8"/>
  <c r="L251" i="8"/>
  <c r="L250" i="8"/>
  <c r="L249" i="8"/>
  <c r="J247" i="8"/>
  <c r="L247" i="8" s="1"/>
  <c r="L246" i="8"/>
  <c r="L245" i="8"/>
  <c r="J244" i="8"/>
  <c r="L244" i="8" s="1"/>
  <c r="E243" i="8"/>
  <c r="J242" i="8"/>
  <c r="L242" i="8" s="1"/>
  <c r="L241" i="8"/>
  <c r="L240" i="8"/>
  <c r="L239" i="8"/>
  <c r="E238" i="8"/>
  <c r="J237" i="8"/>
  <c r="L237" i="8" s="1"/>
  <c r="E233" i="8" s="1"/>
  <c r="L236" i="8"/>
  <c r="L235" i="8"/>
  <c r="J234" i="8"/>
  <c r="L234" i="8" s="1"/>
  <c r="L232" i="8"/>
  <c r="E228" i="8" s="1"/>
  <c r="J232" i="8"/>
  <c r="L231" i="8"/>
  <c r="L230" i="8"/>
  <c r="L229" i="8"/>
  <c r="L227" i="8"/>
  <c r="E223" i="8" s="1"/>
  <c r="J227" i="8"/>
  <c r="L226" i="8"/>
  <c r="L225" i="8"/>
  <c r="L224" i="8"/>
  <c r="F222" i="8"/>
  <c r="E222" i="8" s="1"/>
  <c r="L221" i="8"/>
  <c r="E217" i="8" s="1"/>
  <c r="K221" i="8"/>
  <c r="L220" i="8"/>
  <c r="L219" i="8"/>
  <c r="L218" i="8"/>
  <c r="J216" i="8"/>
  <c r="L216" i="8" s="1"/>
  <c r="L215" i="8"/>
  <c r="L214" i="8"/>
  <c r="L213" i="8"/>
  <c r="E212" i="8"/>
  <c r="L211" i="8"/>
  <c r="E207" i="8" s="1"/>
  <c r="J211" i="8"/>
  <c r="I211" i="8"/>
  <c r="L210" i="8"/>
  <c r="L209" i="8"/>
  <c r="L208" i="8"/>
  <c r="J206" i="8"/>
  <c r="L206" i="8" s="1"/>
  <c r="E203" i="8" s="1"/>
  <c r="L205" i="8"/>
  <c r="L204" i="8"/>
  <c r="L202" i="8"/>
  <c r="J202" i="8"/>
  <c r="L201" i="8"/>
  <c r="L200" i="8"/>
  <c r="E199" i="8"/>
  <c r="J198" i="8"/>
  <c r="L198" i="8" s="1"/>
  <c r="E195" i="8" s="1"/>
  <c r="L197" i="8"/>
  <c r="L196" i="8"/>
  <c r="L194" i="8"/>
  <c r="J194" i="8"/>
  <c r="L193" i="8"/>
  <c r="L192" i="8"/>
  <c r="E191" i="8"/>
  <c r="L190" i="8"/>
  <c r="J190" i="8"/>
  <c r="L189" i="8"/>
  <c r="L188" i="8"/>
  <c r="E187" i="8"/>
  <c r="L186" i="8"/>
  <c r="J186" i="8"/>
  <c r="L185" i="8"/>
  <c r="L184" i="8"/>
  <c r="E183" i="8"/>
  <c r="J182" i="8"/>
  <c r="L182" i="8" s="1"/>
  <c r="E179" i="8" s="1"/>
  <c r="L181" i="8"/>
  <c r="L180" i="8"/>
  <c r="J178" i="8"/>
  <c r="L178" i="8" s="1"/>
  <c r="E175" i="8" s="1"/>
  <c r="L177" i="8"/>
  <c r="L176" i="8"/>
  <c r="J174" i="8"/>
  <c r="L174" i="8" s="1"/>
  <c r="E171" i="8" s="1"/>
  <c r="L173" i="8"/>
  <c r="L172" i="8"/>
  <c r="L170" i="8"/>
  <c r="J170" i="8"/>
  <c r="L169" i="8"/>
  <c r="L168" i="8"/>
  <c r="E167" i="8"/>
  <c r="J166" i="8"/>
  <c r="L166" i="8" s="1"/>
  <c r="E163" i="8" s="1"/>
  <c r="L165" i="8"/>
  <c r="L164" i="8"/>
  <c r="L162" i="8"/>
  <c r="J162" i="8"/>
  <c r="L161" i="8"/>
  <c r="L160" i="8"/>
  <c r="E159" i="8"/>
  <c r="K158" i="8"/>
  <c r="L158" i="8" s="1"/>
  <c r="E155" i="8" s="1"/>
  <c r="L157" i="8"/>
  <c r="L156" i="8"/>
  <c r="L154" i="8"/>
  <c r="K154" i="8"/>
  <c r="L153" i="8"/>
  <c r="L152" i="8"/>
  <c r="E151" i="8"/>
  <c r="J150" i="8"/>
  <c r="L150" i="8" s="1"/>
  <c r="E147" i="8" s="1"/>
  <c r="L149" i="8"/>
  <c r="L148" i="8"/>
  <c r="J146" i="8"/>
  <c r="L146" i="8" s="1"/>
  <c r="E143" i="8" s="1"/>
  <c r="L145" i="8"/>
  <c r="L144" i="8"/>
  <c r="J142" i="8"/>
  <c r="L142" i="8" s="1"/>
  <c r="E139" i="8" s="1"/>
  <c r="L141" i="8"/>
  <c r="L140" i="8"/>
  <c r="L138" i="8"/>
  <c r="E135" i="8" s="1"/>
  <c r="J138" i="8"/>
  <c r="L137" i="8"/>
  <c r="L136" i="8"/>
  <c r="J134" i="8"/>
  <c r="L134" i="8" s="1"/>
  <c r="L133" i="8"/>
  <c r="L132" i="8"/>
  <c r="L131" i="8"/>
  <c r="E130" i="8"/>
  <c r="J129" i="8"/>
  <c r="L129" i="8" s="1"/>
  <c r="L128" i="8"/>
  <c r="L127" i="8"/>
  <c r="L126" i="8"/>
  <c r="E125" i="8"/>
  <c r="J124" i="8"/>
  <c r="L124" i="8" s="1"/>
  <c r="E120" i="8" s="1"/>
  <c r="L123" i="8"/>
  <c r="L122" i="8"/>
  <c r="L121" i="8"/>
  <c r="J119" i="8"/>
  <c r="L119" i="8" s="1"/>
  <c r="E115" i="8" s="1"/>
  <c r="L118" i="8"/>
  <c r="L117" i="8"/>
  <c r="L116" i="8"/>
  <c r="J114" i="8"/>
  <c r="L114" i="8" s="1"/>
  <c r="L113" i="8"/>
  <c r="L112" i="8"/>
  <c r="L111" i="8"/>
  <c r="E110" i="8"/>
  <c r="L109" i="8"/>
  <c r="E105" i="8" s="1"/>
  <c r="J109" i="8"/>
  <c r="L108" i="8"/>
  <c r="L107" i="8"/>
  <c r="L106" i="8"/>
  <c r="J104" i="8"/>
  <c r="L104" i="8" s="1"/>
  <c r="L103" i="8"/>
  <c r="L102" i="8"/>
  <c r="L101" i="8"/>
  <c r="E100" i="8"/>
  <c r="J99" i="8"/>
  <c r="L99" i="8" s="1"/>
  <c r="E95" i="8" s="1"/>
  <c r="L98" i="8"/>
  <c r="L97" i="8"/>
  <c r="L96" i="8"/>
  <c r="J94" i="8"/>
  <c r="L94" i="8" s="1"/>
  <c r="L93" i="8"/>
  <c r="L92" i="8"/>
  <c r="L91" i="8"/>
  <c r="E90" i="8"/>
  <c r="K89" i="8"/>
  <c r="L89" i="8" s="1"/>
  <c r="L88" i="8"/>
  <c r="L87" i="8"/>
  <c r="L86" i="8"/>
  <c r="E85" i="8"/>
  <c r="K84" i="8"/>
  <c r="K83" i="8"/>
  <c r="J83" i="8"/>
  <c r="K82" i="8"/>
  <c r="K699" i="8" s="1"/>
  <c r="J82" i="8"/>
  <c r="L81" i="8"/>
  <c r="K81" i="8"/>
  <c r="J81" i="8"/>
  <c r="J79" i="8"/>
  <c r="L79" i="8" s="1"/>
  <c r="E75" i="8" s="1"/>
  <c r="L78" i="8"/>
  <c r="L77" i="8"/>
  <c r="L76" i="8"/>
  <c r="L74" i="8"/>
  <c r="J74" i="8"/>
  <c r="L73" i="8"/>
  <c r="L72" i="8"/>
  <c r="L71" i="8"/>
  <c r="J71" i="8"/>
  <c r="F70" i="8"/>
  <c r="E70" i="8"/>
  <c r="J69" i="8"/>
  <c r="I69" i="8"/>
  <c r="L69" i="8" s="1"/>
  <c r="L68" i="8"/>
  <c r="L67" i="8"/>
  <c r="L66" i="8"/>
  <c r="E65" i="8"/>
  <c r="L64" i="8"/>
  <c r="E60" i="8" s="1"/>
  <c r="J64" i="8"/>
  <c r="L63" i="8"/>
  <c r="L62" i="8"/>
  <c r="L61" i="8"/>
  <c r="J59" i="8"/>
  <c r="L59" i="8" s="1"/>
  <c r="L58" i="8"/>
  <c r="L57" i="8"/>
  <c r="L56" i="8"/>
  <c r="E55" i="8"/>
  <c r="J54" i="8"/>
  <c r="L54" i="8" s="1"/>
  <c r="E50" i="8" s="1"/>
  <c r="L53" i="8"/>
  <c r="L52" i="8"/>
  <c r="L51" i="8"/>
  <c r="J49" i="8"/>
  <c r="L49" i="8" s="1"/>
  <c r="L48" i="8"/>
  <c r="L47" i="8"/>
  <c r="L46" i="8"/>
  <c r="E45" i="8"/>
  <c r="J44" i="8"/>
  <c r="L44" i="8" s="1"/>
  <c r="E40" i="8" s="1"/>
  <c r="I44" i="8"/>
  <c r="L43" i="8"/>
  <c r="L42" i="8"/>
  <c r="L41" i="8"/>
  <c r="L39" i="8"/>
  <c r="J39" i="8"/>
  <c r="I39" i="8"/>
  <c r="L38" i="8"/>
  <c r="L37" i="8"/>
  <c r="J36" i="8"/>
  <c r="L36" i="8" s="1"/>
  <c r="F35" i="8"/>
  <c r="E35" i="8"/>
  <c r="J34" i="8"/>
  <c r="L34" i="8" s="1"/>
  <c r="I34" i="8"/>
  <c r="L33" i="8"/>
  <c r="L32" i="8"/>
  <c r="L31" i="8"/>
  <c r="J31" i="8"/>
  <c r="F30" i="8"/>
  <c r="E30" i="8" s="1"/>
  <c r="F29" i="8"/>
  <c r="E29" i="8" s="1"/>
  <c r="F28" i="8"/>
  <c r="E28" i="8"/>
  <c r="F27" i="8"/>
  <c r="E27" i="8" s="1"/>
  <c r="F26" i="8"/>
  <c r="E26" i="8"/>
  <c r="L25" i="8"/>
  <c r="E21" i="8" s="1"/>
  <c r="J25" i="8"/>
  <c r="L24" i="8"/>
  <c r="L23" i="8"/>
  <c r="L22" i="8"/>
  <c r="J20" i="8"/>
  <c r="L20" i="8" s="1"/>
  <c r="E16" i="8" s="1"/>
  <c r="L19" i="8"/>
  <c r="L18" i="8"/>
  <c r="L17" i="8"/>
  <c r="L15" i="8"/>
  <c r="E11" i="8" s="1"/>
  <c r="J15" i="8"/>
  <c r="L14" i="8"/>
  <c r="L13" i="8"/>
  <c r="L12" i="8"/>
  <c r="J12" i="8"/>
  <c r="F11" i="8"/>
  <c r="M1076" i="7"/>
  <c r="N1075" i="7"/>
  <c r="K1075" i="7"/>
  <c r="N1072" i="7"/>
  <c r="M1072" i="7"/>
  <c r="L1072" i="7"/>
  <c r="K1072" i="7"/>
  <c r="J1072" i="7"/>
  <c r="M1071" i="7"/>
  <c r="M1073" i="7" s="1"/>
  <c r="L1071" i="7"/>
  <c r="K1071" i="7"/>
  <c r="K1073" i="7" s="1"/>
  <c r="J1071" i="7"/>
  <c r="J1073" i="7" s="1"/>
  <c r="N1070" i="7"/>
  <c r="M1070" i="7"/>
  <c r="N1065" i="7"/>
  <c r="L1063" i="7"/>
  <c r="I1063" i="7"/>
  <c r="I1062" i="7"/>
  <c r="L1060" i="7"/>
  <c r="I1060" i="7" s="1"/>
  <c r="I1059" i="7"/>
  <c r="N1057" i="7"/>
  <c r="I1057" i="7" s="1"/>
  <c r="I1056" i="7"/>
  <c r="I1055" i="7"/>
  <c r="L1053" i="7"/>
  <c r="I1053" i="7" s="1"/>
  <c r="I1052" i="7"/>
  <c r="I1051" i="7"/>
  <c r="N1049" i="7"/>
  <c r="I1049" i="7" s="1"/>
  <c r="I1048" i="7"/>
  <c r="I1047" i="7"/>
  <c r="N1045" i="7"/>
  <c r="I1045" i="7" s="1"/>
  <c r="I1044" i="7"/>
  <c r="I1043" i="7"/>
  <c r="N1041" i="7"/>
  <c r="I1041" i="7" s="1"/>
  <c r="I1040" i="7"/>
  <c r="I1039" i="7"/>
  <c r="L1037" i="7"/>
  <c r="I1037" i="7" s="1"/>
  <c r="I1036" i="7"/>
  <c r="I1035" i="7"/>
  <c r="L1033" i="7"/>
  <c r="I1033" i="7" s="1"/>
  <c r="I1032" i="7"/>
  <c r="I1031" i="7"/>
  <c r="N1029" i="7"/>
  <c r="I1029" i="7" s="1"/>
  <c r="I1028" i="7"/>
  <c r="I1027" i="7"/>
  <c r="N1025" i="7"/>
  <c r="I1025" i="7" s="1"/>
  <c r="I1024" i="7"/>
  <c r="I1023" i="7"/>
  <c r="L1021" i="7"/>
  <c r="I1021" i="7" s="1"/>
  <c r="I1020" i="7"/>
  <c r="I1019" i="7"/>
  <c r="L1017" i="7"/>
  <c r="I1017" i="7" s="1"/>
  <c r="I1016" i="7"/>
  <c r="I1015" i="7"/>
  <c r="N1013" i="7"/>
  <c r="I1013" i="7" s="1"/>
  <c r="I1012" i="7"/>
  <c r="I1011" i="7"/>
  <c r="N1009" i="7"/>
  <c r="I1009" i="7" s="1"/>
  <c r="I1008" i="7"/>
  <c r="I1007" i="7"/>
  <c r="N1005" i="7"/>
  <c r="I1005" i="7" s="1"/>
  <c r="I1004" i="7"/>
  <c r="I1003" i="7"/>
  <c r="L1001" i="7"/>
  <c r="I1001" i="7" s="1"/>
  <c r="I1000" i="7"/>
  <c r="I999" i="7"/>
  <c r="L997" i="7"/>
  <c r="I997" i="7" s="1"/>
  <c r="I996" i="7"/>
  <c r="I995" i="7"/>
  <c r="N993" i="7"/>
  <c r="L993" i="7"/>
  <c r="I992" i="7"/>
  <c r="I991" i="7"/>
  <c r="I990" i="7"/>
  <c r="N988" i="7"/>
  <c r="I988" i="7"/>
  <c r="I987" i="7"/>
  <c r="I986" i="7"/>
  <c r="I985" i="7"/>
  <c r="N983" i="7"/>
  <c r="I983" i="7"/>
  <c r="I982" i="7"/>
  <c r="I981" i="7"/>
  <c r="I980" i="7"/>
  <c r="N978" i="7"/>
  <c r="I978" i="7" s="1"/>
  <c r="I977" i="7"/>
  <c r="I976" i="7"/>
  <c r="I975" i="7"/>
  <c r="N973" i="7"/>
  <c r="I973" i="7" s="1"/>
  <c r="I972" i="7"/>
  <c r="I971" i="7"/>
  <c r="I970" i="7"/>
  <c r="L968" i="7"/>
  <c r="I968" i="7"/>
  <c r="I967" i="7"/>
  <c r="I966" i="7"/>
  <c r="I965" i="7"/>
  <c r="L963" i="7"/>
  <c r="K963" i="7"/>
  <c r="J963" i="7"/>
  <c r="I962" i="7"/>
  <c r="I961" i="7"/>
  <c r="I960" i="7"/>
  <c r="N958" i="7"/>
  <c r="L958" i="7"/>
  <c r="I958" i="7" s="1"/>
  <c r="I957" i="7"/>
  <c r="I956" i="7"/>
  <c r="I955" i="7"/>
  <c r="L953" i="7"/>
  <c r="I953" i="7" s="1"/>
  <c r="I952" i="7"/>
  <c r="I951" i="7"/>
  <c r="I950" i="7"/>
  <c r="N948" i="7"/>
  <c r="I948" i="7" s="1"/>
  <c r="I947" i="7"/>
  <c r="I946" i="7"/>
  <c r="I945" i="7"/>
  <c r="L943" i="7"/>
  <c r="I943" i="7"/>
  <c r="I942" i="7"/>
  <c r="I941" i="7"/>
  <c r="I940" i="7"/>
  <c r="N938" i="7"/>
  <c r="I938" i="7" s="1"/>
  <c r="I937" i="7"/>
  <c r="I936" i="7"/>
  <c r="I935" i="7"/>
  <c r="L933" i="7"/>
  <c r="I933" i="7" s="1"/>
  <c r="I932" i="7"/>
  <c r="I931" i="7"/>
  <c r="I930" i="7"/>
  <c r="L928" i="7"/>
  <c r="I928" i="7" s="1"/>
  <c r="I927" i="7"/>
  <c r="I926" i="7"/>
  <c r="L925" i="7"/>
  <c r="L923" i="7"/>
  <c r="I923" i="7"/>
  <c r="I922" i="7"/>
  <c r="I921" i="7"/>
  <c r="L920" i="7"/>
  <c r="I920" i="7"/>
  <c r="N918" i="7"/>
  <c r="I918" i="7" s="1"/>
  <c r="I917" i="7"/>
  <c r="I916" i="7"/>
  <c r="I915" i="7"/>
  <c r="N913" i="7"/>
  <c r="I913" i="7"/>
  <c r="I912" i="7"/>
  <c r="I911" i="7"/>
  <c r="I910" i="7"/>
  <c r="N905" i="7"/>
  <c r="I905" i="7" s="1"/>
  <c r="I904" i="7"/>
  <c r="I903" i="7"/>
  <c r="I902" i="7"/>
  <c r="L898" i="7"/>
  <c r="I898" i="7" s="1"/>
  <c r="I897" i="7"/>
  <c r="I896" i="7"/>
  <c r="L895" i="7"/>
  <c r="I895" i="7" s="1"/>
  <c r="N891" i="7"/>
  <c r="L891" i="7"/>
  <c r="K891" i="7"/>
  <c r="J891" i="7"/>
  <c r="I890" i="7"/>
  <c r="I889" i="7"/>
  <c r="I888" i="7"/>
  <c r="N886" i="7"/>
  <c r="L886" i="7"/>
  <c r="I886" i="7"/>
  <c r="I885" i="7"/>
  <c r="I884" i="7"/>
  <c r="I883" i="7"/>
  <c r="L879" i="7"/>
  <c r="I879" i="7" s="1"/>
  <c r="I878" i="7"/>
  <c r="I877" i="7"/>
  <c r="I876" i="7"/>
  <c r="L872" i="7"/>
  <c r="I872" i="7" s="1"/>
  <c r="I871" i="7"/>
  <c r="I870" i="7"/>
  <c r="L869" i="7"/>
  <c r="I869" i="7" s="1"/>
  <c r="L867" i="7"/>
  <c r="I867" i="7"/>
  <c r="I866" i="7"/>
  <c r="I865" i="7"/>
  <c r="I864" i="7"/>
  <c r="L861" i="7"/>
  <c r="I861" i="7" s="1"/>
  <c r="I860" i="7"/>
  <c r="I859" i="7"/>
  <c r="I858" i="7"/>
  <c r="L856" i="7"/>
  <c r="I856" i="7" s="1"/>
  <c r="I855" i="7"/>
  <c r="I854" i="7"/>
  <c r="L853" i="7"/>
  <c r="I853" i="7" s="1"/>
  <c r="L851" i="7"/>
  <c r="I851" i="7" s="1"/>
  <c r="I850" i="7"/>
  <c r="I849" i="7"/>
  <c r="L848" i="7"/>
  <c r="I848" i="7" s="1"/>
  <c r="L845" i="7"/>
  <c r="I845" i="7" s="1"/>
  <c r="I844" i="7"/>
  <c r="I843" i="7"/>
  <c r="L842" i="7"/>
  <c r="N838" i="7"/>
  <c r="I838" i="7"/>
  <c r="I837" i="7"/>
  <c r="I836" i="7"/>
  <c r="I835" i="7"/>
  <c r="N833" i="7"/>
  <c r="I833" i="7" s="1"/>
  <c r="I832" i="7"/>
  <c r="I831" i="7"/>
  <c r="I830" i="7"/>
  <c r="N828" i="7"/>
  <c r="I828" i="7" s="1"/>
  <c r="I827" i="7"/>
  <c r="I826" i="7"/>
  <c r="I825" i="7"/>
  <c r="N823" i="7"/>
  <c r="I823" i="7"/>
  <c r="I822" i="7"/>
  <c r="I821" i="7"/>
  <c r="I820" i="7"/>
  <c r="N818" i="7"/>
  <c r="I818" i="7" s="1"/>
  <c r="I817" i="7"/>
  <c r="I816" i="7"/>
  <c r="I815" i="7"/>
  <c r="I812" i="7"/>
  <c r="N811" i="7"/>
  <c r="I811" i="7"/>
  <c r="N810" i="7"/>
  <c r="I810" i="7" s="1"/>
  <c r="G809" i="7"/>
  <c r="F809" i="7"/>
  <c r="E809" i="7"/>
  <c r="L808" i="7"/>
  <c r="I808" i="7"/>
  <c r="I807" i="7"/>
  <c r="I806" i="7"/>
  <c r="I805" i="7"/>
  <c r="L803" i="7"/>
  <c r="I803" i="7"/>
  <c r="I802" i="7"/>
  <c r="I801" i="7"/>
  <c r="L800" i="7"/>
  <c r="I800" i="7"/>
  <c r="L798" i="7"/>
  <c r="I798" i="7" s="1"/>
  <c r="I797" i="7"/>
  <c r="I796" i="7"/>
  <c r="L795" i="7"/>
  <c r="I795" i="7" s="1"/>
  <c r="L793" i="7"/>
  <c r="I793" i="7" s="1"/>
  <c r="I792" i="7"/>
  <c r="I791" i="7"/>
  <c r="L790" i="7"/>
  <c r="I790" i="7" s="1"/>
  <c r="L788" i="7"/>
  <c r="I788" i="7" s="1"/>
  <c r="I787" i="7"/>
  <c r="I786" i="7"/>
  <c r="L785" i="7"/>
  <c r="I785" i="7" s="1"/>
  <c r="L783" i="7"/>
  <c r="I783" i="7"/>
  <c r="I782" i="7"/>
  <c r="I781" i="7"/>
  <c r="I780" i="7"/>
  <c r="L778" i="7"/>
  <c r="I778" i="7" s="1"/>
  <c r="I777" i="7"/>
  <c r="I776" i="7"/>
  <c r="L775" i="7"/>
  <c r="I775" i="7" s="1"/>
  <c r="L773" i="7"/>
  <c r="I773" i="7"/>
  <c r="I772" i="7"/>
  <c r="I771" i="7"/>
  <c r="I770" i="7"/>
  <c r="L768" i="7"/>
  <c r="I768" i="7" s="1"/>
  <c r="I767" i="7"/>
  <c r="I766" i="7"/>
  <c r="I765" i="7"/>
  <c r="L763" i="7"/>
  <c r="I763" i="7" s="1"/>
  <c r="I762" i="7"/>
  <c r="I761" i="7"/>
  <c r="L760" i="7"/>
  <c r="I760" i="7" s="1"/>
  <c r="L758" i="7"/>
  <c r="I758" i="7"/>
  <c r="I757" i="7"/>
  <c r="I756" i="7"/>
  <c r="L755" i="7"/>
  <c r="I755" i="7"/>
  <c r="L753" i="7"/>
  <c r="I753" i="7" s="1"/>
  <c r="I752" i="7"/>
  <c r="I751" i="7"/>
  <c r="L750" i="7"/>
  <c r="I750" i="7" s="1"/>
  <c r="L748" i="7"/>
  <c r="I748" i="7"/>
  <c r="I747" i="7"/>
  <c r="I746" i="7"/>
  <c r="L745" i="7"/>
  <c r="I745" i="7"/>
  <c r="L743" i="7"/>
  <c r="I743" i="7" s="1"/>
  <c r="I742" i="7"/>
  <c r="I741" i="7"/>
  <c r="L740" i="7"/>
  <c r="I740" i="7" s="1"/>
  <c r="L738" i="7"/>
  <c r="I738" i="7"/>
  <c r="I737" i="7"/>
  <c r="I736" i="7"/>
  <c r="I735" i="7"/>
  <c r="L733" i="7"/>
  <c r="I733" i="7"/>
  <c r="I732" i="7"/>
  <c r="I731" i="7"/>
  <c r="I730" i="7"/>
  <c r="L728" i="7"/>
  <c r="I728" i="7" s="1"/>
  <c r="I727" i="7"/>
  <c r="I726" i="7"/>
  <c r="I725" i="7"/>
  <c r="N723" i="7"/>
  <c r="I723" i="7" s="1"/>
  <c r="I722" i="7"/>
  <c r="I721" i="7"/>
  <c r="I720" i="7"/>
  <c r="N718" i="7"/>
  <c r="I718" i="7"/>
  <c r="I717" i="7"/>
  <c r="I716" i="7"/>
  <c r="I715" i="7"/>
  <c r="N712" i="7"/>
  <c r="I712" i="7" s="1"/>
  <c r="I711" i="7"/>
  <c r="I710" i="7"/>
  <c r="I709" i="7"/>
  <c r="N707" i="7"/>
  <c r="I707" i="7" s="1"/>
  <c r="I706" i="7"/>
  <c r="I705" i="7"/>
  <c r="I704" i="7"/>
  <c r="N702" i="7"/>
  <c r="I702" i="7" s="1"/>
  <c r="I701" i="7"/>
  <c r="I700" i="7"/>
  <c r="I699" i="7"/>
  <c r="N697" i="7"/>
  <c r="I697" i="7"/>
  <c r="I696" i="7"/>
  <c r="I695" i="7"/>
  <c r="I694" i="7"/>
  <c r="N692" i="7"/>
  <c r="L692" i="7"/>
  <c r="I692" i="7" s="1"/>
  <c r="I691" i="7"/>
  <c r="I690" i="7"/>
  <c r="I689" i="7"/>
  <c r="L686" i="7"/>
  <c r="I686" i="7" s="1"/>
  <c r="I685" i="7"/>
  <c r="I684" i="7"/>
  <c r="I683" i="7"/>
  <c r="N681" i="7"/>
  <c r="I681" i="7"/>
  <c r="I680" i="7"/>
  <c r="I679" i="7"/>
  <c r="I678" i="7"/>
  <c r="N676" i="7"/>
  <c r="I676" i="7" s="1"/>
  <c r="I675" i="7"/>
  <c r="I674" i="7"/>
  <c r="I673" i="7"/>
  <c r="N671" i="7"/>
  <c r="I671" i="7" s="1"/>
  <c r="I670" i="7"/>
  <c r="I669" i="7"/>
  <c r="I668" i="7"/>
  <c r="G666" i="7"/>
  <c r="L665" i="7"/>
  <c r="I665" i="7"/>
  <c r="I664" i="7"/>
  <c r="I663" i="7"/>
  <c r="I662" i="7"/>
  <c r="L660" i="7"/>
  <c r="I660" i="7"/>
  <c r="I659" i="7"/>
  <c r="I658" i="7"/>
  <c r="I657" i="7"/>
  <c r="L655" i="7"/>
  <c r="I655" i="7" s="1"/>
  <c r="I654" i="7"/>
  <c r="I653" i="7"/>
  <c r="L652" i="7"/>
  <c r="I652" i="7" s="1"/>
  <c r="L650" i="7"/>
  <c r="I650" i="7"/>
  <c r="I649" i="7"/>
  <c r="I648" i="7"/>
  <c r="L647" i="7"/>
  <c r="I647" i="7"/>
  <c r="L645" i="7"/>
  <c r="K645" i="7"/>
  <c r="J645" i="7"/>
  <c r="I645" i="7"/>
  <c r="I644" i="7"/>
  <c r="I643" i="7"/>
  <c r="I642" i="7"/>
  <c r="N640" i="7"/>
  <c r="I640" i="7" s="1"/>
  <c r="I639" i="7"/>
  <c r="I638" i="7"/>
  <c r="I637" i="7"/>
  <c r="N635" i="7"/>
  <c r="I635" i="7" s="1"/>
  <c r="I634" i="7"/>
  <c r="I633" i="7"/>
  <c r="I632" i="7"/>
  <c r="L630" i="7"/>
  <c r="I630" i="7" s="1"/>
  <c r="I629" i="7"/>
  <c r="I628" i="7"/>
  <c r="L627" i="7"/>
  <c r="I627" i="7" s="1"/>
  <c r="N625" i="7"/>
  <c r="I625" i="7"/>
  <c r="I624" i="7"/>
  <c r="I623" i="7"/>
  <c r="I622" i="7"/>
  <c r="L620" i="7"/>
  <c r="I620" i="7" s="1"/>
  <c r="I619" i="7"/>
  <c r="I618" i="7"/>
  <c r="I617" i="7"/>
  <c r="L614" i="7"/>
  <c r="I614" i="7" s="1"/>
  <c r="I613" i="7"/>
  <c r="I612" i="7"/>
  <c r="L611" i="7"/>
  <c r="I611" i="7" s="1"/>
  <c r="L609" i="7"/>
  <c r="I609" i="7" s="1"/>
  <c r="I607" i="7"/>
  <c r="I606" i="7"/>
  <c r="N604" i="7"/>
  <c r="I604" i="7" s="1"/>
  <c r="I603" i="7"/>
  <c r="I602" i="7"/>
  <c r="N601" i="7"/>
  <c r="I601" i="7" s="1"/>
  <c r="N599" i="7"/>
  <c r="I599" i="7"/>
  <c r="I598" i="7"/>
  <c r="I597" i="7"/>
  <c r="I596" i="7"/>
  <c r="N594" i="7"/>
  <c r="I594" i="7" s="1"/>
  <c r="I593" i="7"/>
  <c r="I592" i="7"/>
  <c r="I591" i="7"/>
  <c r="N589" i="7"/>
  <c r="I589" i="7" s="1"/>
  <c r="I588" i="7"/>
  <c r="I587" i="7"/>
  <c r="I586" i="7"/>
  <c r="L584" i="7"/>
  <c r="I584" i="7" s="1"/>
  <c r="I583" i="7"/>
  <c r="I582" i="7"/>
  <c r="I581" i="7"/>
  <c r="L579" i="7"/>
  <c r="I579" i="7"/>
  <c r="I578" i="7"/>
  <c r="I577" i="7"/>
  <c r="I576" i="7"/>
  <c r="N574" i="7"/>
  <c r="L574" i="7"/>
  <c r="I573" i="7"/>
  <c r="N572" i="7"/>
  <c r="I572" i="7"/>
  <c r="N571" i="7"/>
  <c r="I571" i="7" s="1"/>
  <c r="L569" i="7"/>
  <c r="I569" i="7"/>
  <c r="I568" i="7"/>
  <c r="I567" i="7"/>
  <c r="I566" i="7"/>
  <c r="L564" i="7"/>
  <c r="I564" i="7" s="1"/>
  <c r="K564" i="7"/>
  <c r="J564" i="7"/>
  <c r="I563" i="7"/>
  <c r="I562" i="7"/>
  <c r="L561" i="7"/>
  <c r="K561" i="7"/>
  <c r="K1070" i="7" s="1"/>
  <c r="J561" i="7"/>
  <c r="I561" i="7" s="1"/>
  <c r="L559" i="7"/>
  <c r="I559" i="7"/>
  <c r="I558" i="7"/>
  <c r="I557" i="7"/>
  <c r="L556" i="7"/>
  <c r="I556" i="7"/>
  <c r="L554" i="7"/>
  <c r="I554" i="7" s="1"/>
  <c r="I553" i="7"/>
  <c r="I552" i="7"/>
  <c r="L551" i="7"/>
  <c r="I551" i="7" s="1"/>
  <c r="N548" i="7"/>
  <c r="I548" i="7"/>
  <c r="I547" i="7"/>
  <c r="I546" i="7"/>
  <c r="I545" i="7"/>
  <c r="L543" i="7"/>
  <c r="I543" i="7"/>
  <c r="I542" i="7"/>
  <c r="I541" i="7"/>
  <c r="I540" i="7"/>
  <c r="L537" i="7"/>
  <c r="I537" i="7" s="1"/>
  <c r="I536" i="7"/>
  <c r="I535" i="7"/>
  <c r="I534" i="7"/>
  <c r="N532" i="7"/>
  <c r="I532" i="7" s="1"/>
  <c r="I531" i="7"/>
  <c r="I530" i="7"/>
  <c r="I529" i="7"/>
  <c r="L527" i="7"/>
  <c r="I527" i="7"/>
  <c r="I526" i="7"/>
  <c r="I525" i="7"/>
  <c r="I524" i="7"/>
  <c r="N521" i="7"/>
  <c r="I521" i="7" s="1"/>
  <c r="I520" i="7"/>
  <c r="I519" i="7"/>
  <c r="I518" i="7"/>
  <c r="I517" i="7"/>
  <c r="N515" i="7"/>
  <c r="I515" i="7" s="1"/>
  <c r="I514" i="7"/>
  <c r="I513" i="7"/>
  <c r="I512" i="7"/>
  <c r="N510" i="7"/>
  <c r="I510" i="7"/>
  <c r="I509" i="7"/>
  <c r="I508" i="7"/>
  <c r="I507" i="7"/>
  <c r="M504" i="7"/>
  <c r="I504" i="7"/>
  <c r="I503" i="7"/>
  <c r="I502" i="7"/>
  <c r="I501" i="7"/>
  <c r="K499" i="7"/>
  <c r="I499" i="7" s="1"/>
  <c r="J499" i="7"/>
  <c r="I498" i="7"/>
  <c r="I497" i="7"/>
  <c r="I496" i="7"/>
  <c r="K494" i="7"/>
  <c r="J494" i="7"/>
  <c r="I494" i="7"/>
  <c r="I493" i="7"/>
  <c r="I492" i="7"/>
  <c r="I491" i="7"/>
  <c r="M489" i="7"/>
  <c r="I489" i="7" s="1"/>
  <c r="I488" i="7"/>
  <c r="I487" i="7"/>
  <c r="I486" i="7"/>
  <c r="M484" i="7"/>
  <c r="I484" i="7" s="1"/>
  <c r="I483" i="7"/>
  <c r="I482" i="7"/>
  <c r="I481" i="7"/>
  <c r="M479" i="7"/>
  <c r="I479" i="7"/>
  <c r="I478" i="7"/>
  <c r="I477" i="7"/>
  <c r="I476" i="7"/>
  <c r="M474" i="7"/>
  <c r="I474" i="7" s="1"/>
  <c r="I473" i="7"/>
  <c r="I472" i="7"/>
  <c r="I471" i="7"/>
  <c r="M469" i="7"/>
  <c r="I469" i="7" s="1"/>
  <c r="I468" i="7"/>
  <c r="I467" i="7"/>
  <c r="I466" i="7"/>
  <c r="M464" i="7"/>
  <c r="I464" i="7" s="1"/>
  <c r="I463" i="7"/>
  <c r="I462" i="7"/>
  <c r="I461" i="7"/>
  <c r="M459" i="7"/>
  <c r="I459" i="7"/>
  <c r="I458" i="7"/>
  <c r="I457" i="7"/>
  <c r="I456" i="7"/>
  <c r="M454" i="7"/>
  <c r="I454" i="7"/>
  <c r="I453" i="7"/>
  <c r="I452" i="7"/>
  <c r="I451" i="7"/>
  <c r="M449" i="7"/>
  <c r="I449" i="7" s="1"/>
  <c r="I448" i="7"/>
  <c r="I447" i="7"/>
  <c r="I446" i="7"/>
  <c r="M444" i="7"/>
  <c r="I444" i="7" s="1"/>
  <c r="I443" i="7"/>
  <c r="I442" i="7"/>
  <c r="I441" i="7"/>
  <c r="M438" i="7"/>
  <c r="I438" i="7"/>
  <c r="I437" i="7"/>
  <c r="I436" i="7"/>
  <c r="I435" i="7"/>
  <c r="N433" i="7"/>
  <c r="N432" i="7"/>
  <c r="M432" i="7"/>
  <c r="L432" i="7"/>
  <c r="K432" i="7"/>
  <c r="K1067" i="7" s="1"/>
  <c r="J432" i="7"/>
  <c r="I432" i="7" s="1"/>
  <c r="N431" i="7"/>
  <c r="M431" i="7"/>
  <c r="M1066" i="7" s="1"/>
  <c r="L431" i="7"/>
  <c r="L433" i="7" s="1"/>
  <c r="K431" i="7"/>
  <c r="J431" i="7"/>
  <c r="J433" i="7" s="1"/>
  <c r="I431" i="7"/>
  <c r="N430" i="7"/>
  <c r="M430" i="7"/>
  <c r="L430" i="7"/>
  <c r="K430" i="7"/>
  <c r="J430" i="7"/>
  <c r="I430" i="7" s="1"/>
  <c r="G429" i="7"/>
  <c r="F429" i="7"/>
  <c r="E429" i="7"/>
  <c r="M428" i="7"/>
  <c r="I428" i="7"/>
  <c r="I427" i="7"/>
  <c r="I426" i="7"/>
  <c r="I425" i="7"/>
  <c r="M423" i="7"/>
  <c r="I423" i="7" s="1"/>
  <c r="I422" i="7"/>
  <c r="I421" i="7"/>
  <c r="I420" i="7"/>
  <c r="N417" i="7"/>
  <c r="I417" i="7" s="1"/>
  <c r="I416" i="7"/>
  <c r="I415" i="7"/>
  <c r="N414" i="7"/>
  <c r="I414" i="7" s="1"/>
  <c r="N412" i="7"/>
  <c r="I412" i="7"/>
  <c r="I411" i="7"/>
  <c r="I410" i="7"/>
  <c r="N408" i="7"/>
  <c r="I408" i="7"/>
  <c r="I407" i="7"/>
  <c r="I406" i="7"/>
  <c r="N404" i="7"/>
  <c r="L404" i="7"/>
  <c r="K404" i="7"/>
  <c r="J404" i="7"/>
  <c r="I404" i="7" s="1"/>
  <c r="I403" i="7"/>
  <c r="I402" i="7"/>
  <c r="I401" i="7"/>
  <c r="N399" i="7"/>
  <c r="L399" i="7"/>
  <c r="K399" i="7"/>
  <c r="J399" i="7"/>
  <c r="I399" i="7" s="1"/>
  <c r="I398" i="7"/>
  <c r="I397" i="7"/>
  <c r="I396" i="7"/>
  <c r="N394" i="7"/>
  <c r="L394" i="7"/>
  <c r="I394" i="7" s="1"/>
  <c r="I393" i="7"/>
  <c r="I392" i="7"/>
  <c r="I391" i="7"/>
  <c r="N389" i="7"/>
  <c r="I389" i="7" s="1"/>
  <c r="I388" i="7"/>
  <c r="I387" i="7"/>
  <c r="I386" i="7"/>
  <c r="N382" i="7"/>
  <c r="M382" i="7"/>
  <c r="M1077" i="7" s="1"/>
  <c r="L382" i="7"/>
  <c r="K382" i="7"/>
  <c r="J382" i="7"/>
  <c r="J1077" i="7" s="1"/>
  <c r="N381" i="7"/>
  <c r="M381" i="7"/>
  <c r="L381" i="7"/>
  <c r="K381" i="7"/>
  <c r="J381" i="7"/>
  <c r="N380" i="7"/>
  <c r="M380" i="7"/>
  <c r="L380" i="7"/>
  <c r="K380" i="7"/>
  <c r="J380" i="7"/>
  <c r="J1075" i="7" s="1"/>
  <c r="I380" i="7"/>
  <c r="G379" i="7"/>
  <c r="F379" i="7"/>
  <c r="E379" i="7"/>
  <c r="N378" i="7"/>
  <c r="I378" i="7" s="1"/>
  <c r="I377" i="7"/>
  <c r="I376" i="7"/>
  <c r="I375" i="7"/>
  <c r="N373" i="7"/>
  <c r="I373" i="7" s="1"/>
  <c r="I372" i="7"/>
  <c r="I371" i="7"/>
  <c r="I370" i="7"/>
  <c r="N368" i="7"/>
  <c r="I368" i="7"/>
  <c r="I367" i="7"/>
  <c r="I366" i="7"/>
  <c r="I365" i="7"/>
  <c r="N363" i="7"/>
  <c r="I363" i="7" s="1"/>
  <c r="I362" i="7"/>
  <c r="I361" i="7"/>
  <c r="I360" i="7"/>
  <c r="N358" i="7"/>
  <c r="I358" i="7" s="1"/>
  <c r="I357" i="7"/>
  <c r="I356" i="7"/>
  <c r="I355" i="7"/>
  <c r="N352" i="7"/>
  <c r="M352" i="7"/>
  <c r="L352" i="7"/>
  <c r="K352" i="7"/>
  <c r="J352" i="7"/>
  <c r="I352" i="7" s="1"/>
  <c r="N351" i="7"/>
  <c r="M351" i="7"/>
  <c r="L351" i="7"/>
  <c r="L353" i="7" s="1"/>
  <c r="K351" i="7"/>
  <c r="K353" i="7" s="1"/>
  <c r="J351" i="7"/>
  <c r="N350" i="7"/>
  <c r="M350" i="7"/>
  <c r="L350" i="7"/>
  <c r="K350" i="7"/>
  <c r="J350" i="7"/>
  <c r="I350" i="7"/>
  <c r="G349" i="7"/>
  <c r="F349" i="7"/>
  <c r="E349" i="7"/>
  <c r="N348" i="7"/>
  <c r="K348" i="7"/>
  <c r="J348" i="7"/>
  <c r="L347" i="7"/>
  <c r="L348" i="7" s="1"/>
  <c r="I346" i="7"/>
  <c r="L345" i="7"/>
  <c r="I345" i="7" s="1"/>
  <c r="L343" i="7"/>
  <c r="I343" i="7"/>
  <c r="I342" i="7"/>
  <c r="I341" i="7"/>
  <c r="L340" i="7"/>
  <c r="I340" i="7"/>
  <c r="L338" i="7"/>
  <c r="I338" i="7" s="1"/>
  <c r="K338" i="7"/>
  <c r="J338" i="7"/>
  <c r="I337" i="7"/>
  <c r="I336" i="7"/>
  <c r="L335" i="7"/>
  <c r="I335" i="7"/>
  <c r="L333" i="7"/>
  <c r="I333" i="7" s="1"/>
  <c r="I332" i="7"/>
  <c r="I331" i="7"/>
  <c r="I330" i="7"/>
  <c r="L327" i="7"/>
  <c r="I327" i="7" s="1"/>
  <c r="I326" i="7"/>
  <c r="I325" i="7"/>
  <c r="L324" i="7"/>
  <c r="I324" i="7" s="1"/>
  <c r="N322" i="7"/>
  <c r="I322" i="7" s="1"/>
  <c r="I321" i="7"/>
  <c r="N320" i="7"/>
  <c r="I320" i="7"/>
  <c r="N319" i="7"/>
  <c r="I319" i="7" s="1"/>
  <c r="N315" i="7"/>
  <c r="I315" i="7"/>
  <c r="I314" i="7"/>
  <c r="I313" i="7"/>
  <c r="N311" i="7"/>
  <c r="I311" i="7"/>
  <c r="I310" i="7"/>
  <c r="I309" i="7"/>
  <c r="I308" i="7"/>
  <c r="N306" i="7"/>
  <c r="I306" i="7"/>
  <c r="I305" i="7"/>
  <c r="N304" i="7"/>
  <c r="I304" i="7"/>
  <c r="I303" i="7"/>
  <c r="L300" i="7"/>
  <c r="I300" i="7"/>
  <c r="I299" i="7"/>
  <c r="I298" i="7"/>
  <c r="I297" i="7"/>
  <c r="N295" i="7"/>
  <c r="I295" i="7"/>
  <c r="I294" i="7"/>
  <c r="I293" i="7"/>
  <c r="I292" i="7"/>
  <c r="N290" i="7"/>
  <c r="I290" i="7"/>
  <c r="I289" i="7"/>
  <c r="I288" i="7"/>
  <c r="I287" i="7"/>
  <c r="N285" i="7"/>
  <c r="I285" i="7" s="1"/>
  <c r="I284" i="7"/>
  <c r="I283" i="7"/>
  <c r="I282" i="7"/>
  <c r="N280" i="7"/>
  <c r="I280" i="7"/>
  <c r="I279" i="7"/>
  <c r="I278" i="7"/>
  <c r="I277" i="7"/>
  <c r="N275" i="7"/>
  <c r="I275" i="7"/>
  <c r="I274" i="7"/>
  <c r="I273" i="7"/>
  <c r="I272" i="7"/>
  <c r="N270" i="7"/>
  <c r="I270" i="7"/>
  <c r="I269" i="7"/>
  <c r="I268" i="7"/>
  <c r="I267" i="7"/>
  <c r="N265" i="7"/>
  <c r="I265" i="7" s="1"/>
  <c r="I264" i="7"/>
  <c r="I263" i="7"/>
  <c r="I262" i="7"/>
  <c r="N260" i="7"/>
  <c r="I260" i="7"/>
  <c r="I259" i="7"/>
  <c r="I258" i="7"/>
  <c r="I257" i="7"/>
  <c r="M255" i="7"/>
  <c r="N254" i="7"/>
  <c r="M254" i="7"/>
  <c r="L254" i="7"/>
  <c r="K254" i="7"/>
  <c r="K1077" i="7" s="1"/>
  <c r="J254" i="7"/>
  <c r="I254" i="7" s="1"/>
  <c r="N253" i="7"/>
  <c r="M253" i="7"/>
  <c r="L253" i="7"/>
  <c r="L255" i="7" s="1"/>
  <c r="K253" i="7"/>
  <c r="K255" i="7" s="1"/>
  <c r="J253" i="7"/>
  <c r="I253" i="7"/>
  <c r="N252" i="7"/>
  <c r="M252" i="7"/>
  <c r="L252" i="7"/>
  <c r="K252" i="7"/>
  <c r="J252" i="7"/>
  <c r="I252" i="7" s="1"/>
  <c r="G251" i="7"/>
  <c r="F251" i="7"/>
  <c r="E251" i="7"/>
  <c r="N249" i="7"/>
  <c r="I249" i="7"/>
  <c r="I248" i="7"/>
  <c r="I247" i="7"/>
  <c r="I246" i="7"/>
  <c r="N244" i="7"/>
  <c r="I244" i="7"/>
  <c r="I243" i="7"/>
  <c r="I242" i="7"/>
  <c r="I241" i="7"/>
  <c r="N239" i="7"/>
  <c r="I239" i="7" s="1"/>
  <c r="I238" i="7"/>
  <c r="I237" i="7"/>
  <c r="I236" i="7"/>
  <c r="N234" i="7"/>
  <c r="I234" i="7" s="1"/>
  <c r="I233" i="7"/>
  <c r="I232" i="7"/>
  <c r="I231" i="7"/>
  <c r="L229" i="7"/>
  <c r="I229" i="7"/>
  <c r="I228" i="7"/>
  <c r="I227" i="7"/>
  <c r="I226" i="7"/>
  <c r="L224" i="7"/>
  <c r="I224" i="7"/>
  <c r="I223" i="7"/>
  <c r="I222" i="7"/>
  <c r="I221" i="7"/>
  <c r="N219" i="7"/>
  <c r="I219" i="7"/>
  <c r="I218" i="7"/>
  <c r="I217" i="7"/>
  <c r="N216" i="7"/>
  <c r="N169" i="7" s="1"/>
  <c r="I216" i="7"/>
  <c r="N214" i="7"/>
  <c r="I214" i="7"/>
  <c r="I213" i="7"/>
  <c r="I212" i="7"/>
  <c r="I211" i="7"/>
  <c r="N209" i="7"/>
  <c r="K209" i="7"/>
  <c r="J209" i="7"/>
  <c r="I209" i="7" s="1"/>
  <c r="I208" i="7"/>
  <c r="I207" i="7"/>
  <c r="I206" i="7"/>
  <c r="N204" i="7"/>
  <c r="I204" i="7"/>
  <c r="I203" i="7"/>
  <c r="I202" i="7"/>
  <c r="I201" i="7"/>
  <c r="N199" i="7"/>
  <c r="I199" i="7"/>
  <c r="I198" i="7"/>
  <c r="I197" i="7"/>
  <c r="I196" i="7"/>
  <c r="N192" i="7"/>
  <c r="I192" i="7"/>
  <c r="I191" i="7"/>
  <c r="I190" i="7"/>
  <c r="I189" i="7"/>
  <c r="N187" i="7"/>
  <c r="I187" i="7" s="1"/>
  <c r="I186" i="7"/>
  <c r="I185" i="7"/>
  <c r="I184" i="7"/>
  <c r="N182" i="7"/>
  <c r="I182" i="7" s="1"/>
  <c r="I181" i="7"/>
  <c r="I180" i="7"/>
  <c r="I179" i="7"/>
  <c r="N177" i="7"/>
  <c r="I177" i="7"/>
  <c r="I176" i="7"/>
  <c r="I175" i="7"/>
  <c r="I174" i="7"/>
  <c r="N172" i="7"/>
  <c r="N171" i="7"/>
  <c r="M171" i="7"/>
  <c r="L171" i="7"/>
  <c r="K171" i="7"/>
  <c r="J171" i="7"/>
  <c r="I171" i="7" s="1"/>
  <c r="N170" i="7"/>
  <c r="M170" i="7"/>
  <c r="M172" i="7" s="1"/>
  <c r="L170" i="7"/>
  <c r="L172" i="7" s="1"/>
  <c r="K170" i="7"/>
  <c r="K172" i="7" s="1"/>
  <c r="J170" i="7"/>
  <c r="J172" i="7" s="1"/>
  <c r="I172" i="7" s="1"/>
  <c r="M169" i="7"/>
  <c r="L169" i="7"/>
  <c r="K169" i="7"/>
  <c r="J169" i="7"/>
  <c r="G168" i="7"/>
  <c r="F168" i="7"/>
  <c r="E168" i="7"/>
  <c r="N167" i="7"/>
  <c r="L167" i="7"/>
  <c r="I167" i="7" s="1"/>
  <c r="I166" i="7"/>
  <c r="I165" i="7"/>
  <c r="L164" i="7"/>
  <c r="I164" i="7" s="1"/>
  <c r="L162" i="7"/>
  <c r="K162" i="7"/>
  <c r="J162" i="7"/>
  <c r="I162" i="7" s="1"/>
  <c r="I161" i="7"/>
  <c r="I160" i="7"/>
  <c r="L159" i="7"/>
  <c r="I159" i="7" s="1"/>
  <c r="L157" i="7"/>
  <c r="K157" i="7"/>
  <c r="J157" i="7"/>
  <c r="I157" i="7" s="1"/>
  <c r="I156" i="7"/>
  <c r="I155" i="7"/>
  <c r="L154" i="7"/>
  <c r="I154" i="7" s="1"/>
  <c r="N152" i="7"/>
  <c r="I152" i="7" s="1"/>
  <c r="I151" i="7"/>
  <c r="I150" i="7"/>
  <c r="I149" i="7"/>
  <c r="N147" i="7"/>
  <c r="I147" i="7"/>
  <c r="I146" i="7"/>
  <c r="I145" i="7"/>
  <c r="N143" i="7"/>
  <c r="I143" i="7"/>
  <c r="I142" i="7"/>
  <c r="I141" i="7"/>
  <c r="I140" i="7"/>
  <c r="N138" i="7"/>
  <c r="I138" i="7"/>
  <c r="I137" i="7"/>
  <c r="I136" i="7"/>
  <c r="I135" i="7"/>
  <c r="N133" i="7"/>
  <c r="I133" i="7" s="1"/>
  <c r="I132" i="7"/>
  <c r="I131" i="7"/>
  <c r="I130" i="7"/>
  <c r="N128" i="7"/>
  <c r="I128" i="7" s="1"/>
  <c r="I127" i="7"/>
  <c r="I126" i="7"/>
  <c r="I125" i="7"/>
  <c r="N123" i="7"/>
  <c r="I123" i="7"/>
  <c r="I122" i="7"/>
  <c r="I121" i="7"/>
  <c r="I120" i="7"/>
  <c r="N118" i="7"/>
  <c r="I118" i="7" s="1"/>
  <c r="I117" i="7"/>
  <c r="I116" i="7"/>
  <c r="I115" i="7"/>
  <c r="N113" i="7"/>
  <c r="I113" i="7" s="1"/>
  <c r="I112" i="7"/>
  <c r="I111" i="7"/>
  <c r="I110" i="7"/>
  <c r="N108" i="7"/>
  <c r="I108" i="7"/>
  <c r="I107" i="7"/>
  <c r="I106" i="7"/>
  <c r="I105" i="7"/>
  <c r="I103" i="7"/>
  <c r="I102" i="7"/>
  <c r="I101" i="7"/>
  <c r="I100" i="7"/>
  <c r="N98" i="7"/>
  <c r="I98" i="7"/>
  <c r="I97" i="7"/>
  <c r="I96" i="7"/>
  <c r="I95" i="7"/>
  <c r="N93" i="7"/>
  <c r="M93" i="7"/>
  <c r="N92" i="7"/>
  <c r="M92" i="7"/>
  <c r="L92" i="7"/>
  <c r="K92" i="7"/>
  <c r="J92" i="7"/>
  <c r="I92" i="7" s="1"/>
  <c r="N91" i="7"/>
  <c r="M91" i="7"/>
  <c r="L91" i="7"/>
  <c r="K91" i="7"/>
  <c r="K93" i="7" s="1"/>
  <c r="J91" i="7"/>
  <c r="N90" i="7"/>
  <c r="M90" i="7"/>
  <c r="L90" i="7"/>
  <c r="K90" i="7"/>
  <c r="J90" i="7"/>
  <c r="G89" i="7"/>
  <c r="F89" i="7"/>
  <c r="E89" i="7"/>
  <c r="L88" i="7"/>
  <c r="I88" i="7"/>
  <c r="I87" i="7"/>
  <c r="I86" i="7"/>
  <c r="L84" i="7"/>
  <c r="I84" i="7"/>
  <c r="I83" i="7"/>
  <c r="I82" i="7"/>
  <c r="I81" i="7"/>
  <c r="L79" i="7"/>
  <c r="I79" i="7" s="1"/>
  <c r="I78" i="7"/>
  <c r="I77" i="7"/>
  <c r="I76" i="7"/>
  <c r="L74" i="7"/>
  <c r="I74" i="7" s="1"/>
  <c r="I73" i="7"/>
  <c r="I72" i="7"/>
  <c r="I71" i="7"/>
  <c r="L69" i="7"/>
  <c r="I69" i="7" s="1"/>
  <c r="I68" i="7"/>
  <c r="I67" i="7"/>
  <c r="I66" i="7"/>
  <c r="L64" i="7"/>
  <c r="I64" i="7"/>
  <c r="I63" i="7"/>
  <c r="I62" i="7"/>
  <c r="I61" i="7"/>
  <c r="L59" i="7"/>
  <c r="I59" i="7" s="1"/>
  <c r="I58" i="7"/>
  <c r="I57" i="7"/>
  <c r="I56" i="7"/>
  <c r="L54" i="7"/>
  <c r="I54" i="7" s="1"/>
  <c r="I53" i="7"/>
  <c r="I52" i="7"/>
  <c r="I51" i="7"/>
  <c r="L49" i="7"/>
  <c r="I49" i="7" s="1"/>
  <c r="I48" i="7"/>
  <c r="I47" i="7"/>
  <c r="I46" i="7"/>
  <c r="L44" i="7"/>
  <c r="I44" i="7"/>
  <c r="I43" i="7"/>
  <c r="I42" i="7"/>
  <c r="I41" i="7"/>
  <c r="N39" i="7"/>
  <c r="M39" i="7"/>
  <c r="N38" i="7"/>
  <c r="M38" i="7"/>
  <c r="L38" i="7"/>
  <c r="K38" i="7"/>
  <c r="J38" i="7"/>
  <c r="I38" i="7" s="1"/>
  <c r="N37" i="7"/>
  <c r="M37" i="7"/>
  <c r="L37" i="7"/>
  <c r="K37" i="7"/>
  <c r="K39" i="7" s="1"/>
  <c r="J37" i="7"/>
  <c r="N36" i="7"/>
  <c r="M36" i="7"/>
  <c r="L36" i="7"/>
  <c r="K36" i="7"/>
  <c r="J36" i="7"/>
  <c r="G35" i="7"/>
  <c r="F35" i="7"/>
  <c r="E35" i="7"/>
  <c r="N34" i="7"/>
  <c r="L34" i="7"/>
  <c r="K34" i="7"/>
  <c r="J34" i="7"/>
  <c r="I33" i="7"/>
  <c r="I32" i="7"/>
  <c r="L31" i="7"/>
  <c r="K31" i="7"/>
  <c r="J31" i="7"/>
  <c r="I31" i="7"/>
  <c r="L29" i="7"/>
  <c r="K29" i="7"/>
  <c r="J29" i="7"/>
  <c r="I29" i="7"/>
  <c r="I28" i="7"/>
  <c r="I27" i="7"/>
  <c r="L26" i="7"/>
  <c r="I26" i="7"/>
  <c r="L24" i="7"/>
  <c r="K24" i="7"/>
  <c r="J24" i="7"/>
  <c r="I24" i="7"/>
  <c r="I23" i="7"/>
  <c r="I22" i="7"/>
  <c r="L21" i="7"/>
  <c r="I21" i="7"/>
  <c r="N19" i="7"/>
  <c r="L19" i="7"/>
  <c r="I19" i="7"/>
  <c r="I18" i="7"/>
  <c r="I17" i="7"/>
  <c r="I16" i="7"/>
  <c r="L14" i="7"/>
  <c r="K14" i="7"/>
  <c r="J14" i="7"/>
  <c r="I13" i="7"/>
  <c r="I12" i="7"/>
  <c r="I11" i="7"/>
  <c r="L224" i="6"/>
  <c r="G221" i="6"/>
  <c r="G225" i="6" s="1"/>
  <c r="K220" i="6"/>
  <c r="I220" i="6"/>
  <c r="H220" i="6"/>
  <c r="H221" i="6" s="1"/>
  <c r="H225" i="6" s="1"/>
  <c r="G220" i="6"/>
  <c r="F220" i="6"/>
  <c r="L219" i="6"/>
  <c r="L216" i="6"/>
  <c r="L213" i="6"/>
  <c r="L210" i="6"/>
  <c r="L209" i="6"/>
  <c r="L208" i="6"/>
  <c r="L207" i="6"/>
  <c r="L206" i="6"/>
  <c r="L205" i="6"/>
  <c r="J205" i="6"/>
  <c r="J204" i="6"/>
  <c r="L204" i="6" s="1"/>
  <c r="L203" i="6"/>
  <c r="L202" i="6"/>
  <c r="L201" i="6"/>
  <c r="L200" i="6"/>
  <c r="L199" i="6"/>
  <c r="J196" i="6"/>
  <c r="I196" i="6"/>
  <c r="H196" i="6"/>
  <c r="G196" i="6"/>
  <c r="L195" i="6"/>
  <c r="L194" i="6"/>
  <c r="L193" i="6"/>
  <c r="L192" i="6"/>
  <c r="L190" i="6"/>
  <c r="L189" i="6"/>
  <c r="L188" i="6"/>
  <c r="L187" i="6"/>
  <c r="L186" i="6"/>
  <c r="L185" i="6"/>
  <c r="L184" i="6"/>
  <c r="L183" i="6"/>
  <c r="F182" i="6"/>
  <c r="F196" i="6" s="1"/>
  <c r="F221" i="6" s="1"/>
  <c r="F225" i="6" s="1"/>
  <c r="L181" i="6"/>
  <c r="L180" i="6"/>
  <c r="L179" i="6"/>
  <c r="L178" i="6"/>
  <c r="L177" i="6"/>
  <c r="L176" i="6"/>
  <c r="L175" i="6"/>
  <c r="L174" i="6"/>
  <c r="L173" i="6"/>
  <c r="I173" i="6"/>
  <c r="L172" i="6"/>
  <c r="L170" i="6"/>
  <c r="L169" i="6"/>
  <c r="L168" i="6"/>
  <c r="L167" i="6"/>
  <c r="L166" i="6"/>
  <c r="L165" i="6"/>
  <c r="L164" i="6"/>
  <c r="L163" i="6"/>
  <c r="L161" i="6"/>
  <c r="L158" i="6"/>
  <c r="L157" i="6"/>
  <c r="L156" i="6"/>
  <c r="L155" i="6"/>
  <c r="L148" i="6"/>
  <c r="L147" i="6"/>
  <c r="L146" i="6"/>
  <c r="L145" i="6"/>
  <c r="L144" i="6"/>
  <c r="L143" i="6"/>
  <c r="L142" i="6"/>
  <c r="L140" i="6"/>
  <c r="L139" i="6"/>
  <c r="L137" i="6"/>
  <c r="L135" i="6"/>
  <c r="L134" i="6"/>
  <c r="L132" i="6"/>
  <c r="L130" i="6"/>
  <c r="L122" i="6"/>
  <c r="L121" i="6"/>
  <c r="L120" i="6"/>
  <c r="L119" i="6"/>
  <c r="L118" i="6"/>
  <c r="L117" i="6"/>
  <c r="L116" i="6"/>
  <c r="L114" i="6"/>
  <c r="L113" i="6"/>
  <c r="L112" i="6"/>
  <c r="L111" i="6"/>
  <c r="L110" i="6"/>
  <c r="L108" i="6"/>
  <c r="L107" i="6"/>
  <c r="L105" i="6"/>
  <c r="L104" i="6"/>
  <c r="L103" i="6"/>
  <c r="L102" i="6"/>
  <c r="L100" i="6"/>
  <c r="L98" i="6"/>
  <c r="L96" i="6"/>
  <c r="L95" i="6"/>
  <c r="L94" i="6"/>
  <c r="L93" i="6"/>
  <c r="L92" i="6"/>
  <c r="L91" i="6"/>
  <c r="L90" i="6"/>
  <c r="L89" i="6"/>
  <c r="L88" i="6"/>
  <c r="L87" i="6"/>
  <c r="L86" i="6"/>
  <c r="L83" i="6"/>
  <c r="L81" i="6"/>
  <c r="L80" i="6"/>
  <c r="L78" i="6"/>
  <c r="L77" i="6"/>
  <c r="K76" i="6"/>
  <c r="L76" i="6" s="1"/>
  <c r="L74" i="6"/>
  <c r="L73" i="6"/>
  <c r="L71" i="6"/>
  <c r="L70" i="6"/>
  <c r="L69" i="6"/>
  <c r="L67" i="6"/>
  <c r="K66" i="6"/>
  <c r="K196" i="6" s="1"/>
  <c r="K221" i="6" s="1"/>
  <c r="K225" i="6" s="1"/>
  <c r="L63" i="6"/>
  <c r="L62" i="6"/>
  <c r="L61" i="6"/>
  <c r="L60" i="6"/>
  <c r="L59" i="6"/>
  <c r="L57" i="6"/>
  <c r="L56" i="6"/>
  <c r="L55" i="6"/>
  <c r="L53" i="6"/>
  <c r="L52" i="6"/>
  <c r="L51" i="6"/>
  <c r="L50" i="6"/>
  <c r="L49" i="6"/>
  <c r="L47" i="6"/>
  <c r="L46" i="6"/>
  <c r="L45" i="6"/>
  <c r="L44" i="6"/>
  <c r="L43" i="6"/>
  <c r="L41" i="6"/>
  <c r="L40" i="6"/>
  <c r="L39" i="6"/>
  <c r="L37" i="6"/>
  <c r="L36" i="6"/>
  <c r="L35" i="6"/>
  <c r="L34" i="6"/>
  <c r="L33" i="6"/>
  <c r="L32" i="6"/>
  <c r="L31" i="6"/>
  <c r="L29" i="6"/>
  <c r="L27" i="6"/>
  <c r="L26" i="6"/>
  <c r="L25" i="6"/>
  <c r="L24" i="6"/>
  <c r="L22" i="6"/>
  <c r="L21" i="6"/>
  <c r="L20" i="6"/>
  <c r="L18" i="6"/>
  <c r="L17" i="6"/>
  <c r="L15" i="6"/>
  <c r="L14" i="6"/>
  <c r="L13" i="6"/>
  <c r="L11" i="6"/>
  <c r="L10" i="6"/>
  <c r="L302" i="5"/>
  <c r="K302" i="5"/>
  <c r="L301" i="5"/>
  <c r="M300" i="5"/>
  <c r="Q297" i="5"/>
  <c r="M297" i="5"/>
  <c r="R296" i="5"/>
  <c r="R297" i="5" s="1"/>
  <c r="Q296" i="5"/>
  <c r="P296" i="5"/>
  <c r="O296" i="5"/>
  <c r="N296" i="5"/>
  <c r="N297" i="5" s="1"/>
  <c r="M296" i="5"/>
  <c r="L296" i="5"/>
  <c r="K296" i="5"/>
  <c r="J296" i="5" s="1"/>
  <c r="R295" i="5"/>
  <c r="Q295" i="5"/>
  <c r="P295" i="5"/>
  <c r="P297" i="5" s="1"/>
  <c r="O295" i="5"/>
  <c r="N295" i="5"/>
  <c r="M295" i="5"/>
  <c r="L295" i="5"/>
  <c r="L297" i="5" s="1"/>
  <c r="K295" i="5"/>
  <c r="R294" i="5"/>
  <c r="Q294" i="5"/>
  <c r="P294" i="5"/>
  <c r="O294" i="5"/>
  <c r="N294" i="5"/>
  <c r="L294" i="5"/>
  <c r="K294" i="5"/>
  <c r="I293" i="5"/>
  <c r="H293" i="5"/>
  <c r="G293" i="5"/>
  <c r="L288" i="5"/>
  <c r="P280" i="5"/>
  <c r="K280" i="5"/>
  <c r="R279" i="5"/>
  <c r="Q279" i="5"/>
  <c r="Q302" i="5" s="1"/>
  <c r="P279" i="5"/>
  <c r="O279" i="5"/>
  <c r="O302" i="5" s="1"/>
  <c r="N279" i="5"/>
  <c r="M279" i="5"/>
  <c r="L279" i="5"/>
  <c r="K279" i="5"/>
  <c r="R278" i="5"/>
  <c r="R301" i="5" s="1"/>
  <c r="Q278" i="5"/>
  <c r="P278" i="5"/>
  <c r="P301" i="5" s="1"/>
  <c r="O278" i="5"/>
  <c r="N278" i="5"/>
  <c r="M278" i="5"/>
  <c r="M280" i="5" s="1"/>
  <c r="L278" i="5"/>
  <c r="K278" i="5"/>
  <c r="R277" i="5"/>
  <c r="Q277" i="5"/>
  <c r="Q300" i="5" s="1"/>
  <c r="P277" i="5"/>
  <c r="O277" i="5"/>
  <c r="N277" i="5"/>
  <c r="N282" i="5" s="1"/>
  <c r="M277" i="5"/>
  <c r="L277" i="5"/>
  <c r="K277" i="5"/>
  <c r="K300" i="5" s="1"/>
  <c r="J277" i="5"/>
  <c r="I276" i="5"/>
  <c r="I299" i="5" s="1"/>
  <c r="H276" i="5"/>
  <c r="G276" i="5"/>
  <c r="L242" i="5"/>
  <c r="K242" i="5"/>
  <c r="J241" i="5"/>
  <c r="J240" i="5"/>
  <c r="L238" i="5"/>
  <c r="K238" i="5"/>
  <c r="J238" i="5"/>
  <c r="J237" i="5"/>
  <c r="J236" i="5"/>
  <c r="L234" i="5"/>
  <c r="K234" i="5"/>
  <c r="J234" i="5"/>
  <c r="J233" i="5"/>
  <c r="J232" i="5"/>
  <c r="P230" i="5"/>
  <c r="M230" i="5"/>
  <c r="J230" i="5" s="1"/>
  <c r="L230" i="5"/>
  <c r="K230" i="5"/>
  <c r="J229" i="5"/>
  <c r="J228" i="5"/>
  <c r="J227" i="5"/>
  <c r="L225" i="5"/>
  <c r="K225" i="5"/>
  <c r="J225" i="5" s="1"/>
  <c r="J224" i="5"/>
  <c r="J223" i="5"/>
  <c r="J222" i="5"/>
  <c r="L220" i="5"/>
  <c r="K220" i="5"/>
  <c r="J220" i="5"/>
  <c r="J219" i="5"/>
  <c r="J218" i="5"/>
  <c r="J217" i="5"/>
  <c r="L215" i="5"/>
  <c r="K215" i="5"/>
  <c r="J214" i="5"/>
  <c r="J213" i="5"/>
  <c r="J212" i="5"/>
  <c r="L210" i="5"/>
  <c r="K210" i="5"/>
  <c r="J210" i="5"/>
  <c r="J209" i="5"/>
  <c r="J208" i="5"/>
  <c r="J207" i="5"/>
  <c r="L205" i="5"/>
  <c r="K205" i="5"/>
  <c r="J204" i="5"/>
  <c r="J203" i="5"/>
  <c r="J202" i="5"/>
  <c r="L200" i="5"/>
  <c r="K200" i="5"/>
  <c r="J200" i="5"/>
  <c r="J199" i="5"/>
  <c r="J198" i="5"/>
  <c r="J197" i="5"/>
  <c r="L195" i="5"/>
  <c r="K195" i="5"/>
  <c r="J195" i="5" s="1"/>
  <c r="J194" i="5"/>
  <c r="J193" i="5"/>
  <c r="J192" i="5"/>
  <c r="L190" i="5"/>
  <c r="K190" i="5"/>
  <c r="J190" i="5"/>
  <c r="J189" i="5"/>
  <c r="J188" i="5"/>
  <c r="J187" i="5"/>
  <c r="L185" i="5"/>
  <c r="K185" i="5"/>
  <c r="J185" i="5" s="1"/>
  <c r="J184" i="5"/>
  <c r="J183" i="5"/>
  <c r="J182" i="5"/>
  <c r="L180" i="5"/>
  <c r="K180" i="5"/>
  <c r="J180" i="5"/>
  <c r="J179" i="5"/>
  <c r="J178" i="5"/>
  <c r="J177" i="5"/>
  <c r="L175" i="5"/>
  <c r="K175" i="5"/>
  <c r="J174" i="5"/>
  <c r="J173" i="5"/>
  <c r="J172" i="5"/>
  <c r="L170" i="5"/>
  <c r="K170" i="5"/>
  <c r="J170" i="5"/>
  <c r="J169" i="5"/>
  <c r="J168" i="5"/>
  <c r="J167" i="5"/>
  <c r="L165" i="5"/>
  <c r="K165" i="5"/>
  <c r="J164" i="5"/>
  <c r="J163" i="5"/>
  <c r="J162" i="5"/>
  <c r="L160" i="5"/>
  <c r="K160" i="5"/>
  <c r="J160" i="5"/>
  <c r="J159" i="5"/>
  <c r="J158" i="5"/>
  <c r="J157" i="5"/>
  <c r="P155" i="5"/>
  <c r="M155" i="5"/>
  <c r="J155" i="5" s="1"/>
  <c r="J154" i="5"/>
  <c r="J153" i="5"/>
  <c r="J152" i="5"/>
  <c r="P150" i="5"/>
  <c r="M150" i="5"/>
  <c r="L150" i="5"/>
  <c r="K150" i="5"/>
  <c r="J150" i="5" s="1"/>
  <c r="J149" i="5"/>
  <c r="J148" i="5"/>
  <c r="J147" i="5"/>
  <c r="J145" i="5"/>
  <c r="M143" i="5"/>
  <c r="L143" i="5"/>
  <c r="K143" i="5"/>
  <c r="J142" i="5"/>
  <c r="J141" i="5"/>
  <c r="J140" i="5"/>
  <c r="Q135" i="5"/>
  <c r="N135" i="5"/>
  <c r="M135" i="5"/>
  <c r="R134" i="5"/>
  <c r="O134" i="5"/>
  <c r="G133" i="5"/>
  <c r="P132" i="5"/>
  <c r="M132" i="5"/>
  <c r="L132" i="5"/>
  <c r="K132" i="5"/>
  <c r="J132" i="5" s="1"/>
  <c r="J131" i="5"/>
  <c r="J130" i="5"/>
  <c r="J129" i="5"/>
  <c r="R127" i="5"/>
  <c r="N127" i="5"/>
  <c r="R126" i="5"/>
  <c r="Q126" i="5"/>
  <c r="P126" i="5"/>
  <c r="P136" i="5" s="1"/>
  <c r="O126" i="5"/>
  <c r="O136" i="5" s="1"/>
  <c r="N126" i="5"/>
  <c r="L126" i="5"/>
  <c r="L136" i="5" s="1"/>
  <c r="K126" i="5"/>
  <c r="R125" i="5"/>
  <c r="Q125" i="5"/>
  <c r="Q127" i="5" s="1"/>
  <c r="P125" i="5"/>
  <c r="O125" i="5"/>
  <c r="O135" i="5" s="1"/>
  <c r="O137" i="5" s="1"/>
  <c r="N125" i="5"/>
  <c r="M125" i="5"/>
  <c r="L125" i="5"/>
  <c r="K125" i="5"/>
  <c r="K135" i="5" s="1"/>
  <c r="R124" i="5"/>
  <c r="Q124" i="5"/>
  <c r="Q134" i="5" s="1"/>
  <c r="O124" i="5"/>
  <c r="N124" i="5"/>
  <c r="N134" i="5" s="1"/>
  <c r="I123" i="5"/>
  <c r="I133" i="5" s="1"/>
  <c r="H123" i="5"/>
  <c r="H133" i="5" s="1"/>
  <c r="G123" i="5"/>
  <c r="P122" i="5"/>
  <c r="M122" i="5"/>
  <c r="J122" i="5" s="1"/>
  <c r="L122" i="5"/>
  <c r="K122" i="5"/>
  <c r="J121" i="5"/>
  <c r="J120" i="5"/>
  <c r="J119" i="5"/>
  <c r="P114" i="5"/>
  <c r="O114" i="5"/>
  <c r="M114" i="5"/>
  <c r="L114" i="5"/>
  <c r="K114" i="5"/>
  <c r="J114" i="5"/>
  <c r="J113" i="5"/>
  <c r="J112" i="5"/>
  <c r="P111" i="5"/>
  <c r="M111" i="5"/>
  <c r="R106" i="5"/>
  <c r="P106" i="5"/>
  <c r="O106" i="5"/>
  <c r="M106" i="5"/>
  <c r="L106" i="5"/>
  <c r="K106" i="5"/>
  <c r="J106" i="5" s="1"/>
  <c r="J105" i="5"/>
  <c r="J104" i="5"/>
  <c r="P103" i="5"/>
  <c r="M103" i="5"/>
  <c r="L103" i="5"/>
  <c r="K103" i="5"/>
  <c r="J103" i="5"/>
  <c r="P100" i="5"/>
  <c r="M100" i="5"/>
  <c r="L100" i="5"/>
  <c r="K100" i="5"/>
  <c r="J100" i="5" s="1"/>
  <c r="J99" i="5"/>
  <c r="J98" i="5"/>
  <c r="P97" i="5"/>
  <c r="M97" i="5"/>
  <c r="L97" i="5"/>
  <c r="K97" i="5"/>
  <c r="J97" i="5"/>
  <c r="P94" i="5"/>
  <c r="O94" i="5"/>
  <c r="M94" i="5"/>
  <c r="L94" i="5"/>
  <c r="K94" i="5"/>
  <c r="J93" i="5"/>
  <c r="J92" i="5"/>
  <c r="P91" i="5"/>
  <c r="M91" i="5"/>
  <c r="L91" i="5"/>
  <c r="L124" i="5" s="1"/>
  <c r="L134" i="5" s="1"/>
  <c r="K91" i="5"/>
  <c r="K124" i="5" s="1"/>
  <c r="K134" i="5" s="1"/>
  <c r="L87" i="5"/>
  <c r="K87" i="5"/>
  <c r="J86" i="5"/>
  <c r="P85" i="5"/>
  <c r="M85" i="5"/>
  <c r="J84" i="5"/>
  <c r="P83" i="5"/>
  <c r="P124" i="5" s="1"/>
  <c r="P134" i="5" s="1"/>
  <c r="M83" i="5"/>
  <c r="P81" i="5"/>
  <c r="M81" i="5"/>
  <c r="L81" i="5"/>
  <c r="R80" i="5"/>
  <c r="R290" i="5" s="1"/>
  <c r="Q80" i="5"/>
  <c r="P80" i="5"/>
  <c r="O80" i="5"/>
  <c r="N80" i="5"/>
  <c r="M80" i="5"/>
  <c r="M290" i="5" s="1"/>
  <c r="L80" i="5"/>
  <c r="K80" i="5"/>
  <c r="R79" i="5"/>
  <c r="R81" i="5" s="1"/>
  <c r="Q79" i="5"/>
  <c r="P79" i="5"/>
  <c r="O79" i="5"/>
  <c r="O81" i="5" s="1"/>
  <c r="N79" i="5"/>
  <c r="N81" i="5" s="1"/>
  <c r="M79" i="5"/>
  <c r="L79" i="5"/>
  <c r="K79" i="5"/>
  <c r="K81" i="5" s="1"/>
  <c r="J79" i="5"/>
  <c r="R78" i="5"/>
  <c r="Q78" i="5"/>
  <c r="P78" i="5"/>
  <c r="O78" i="5"/>
  <c r="N78" i="5"/>
  <c r="M78" i="5"/>
  <c r="L78" i="5"/>
  <c r="K78" i="5"/>
  <c r="J78" i="5" s="1"/>
  <c r="I77" i="5"/>
  <c r="H77" i="5"/>
  <c r="G77" i="5"/>
  <c r="G287" i="5" s="1"/>
  <c r="M75" i="5"/>
  <c r="J75" i="5"/>
  <c r="J74" i="5"/>
  <c r="J73" i="5"/>
  <c r="J72" i="5"/>
  <c r="P70" i="5"/>
  <c r="M70" i="5"/>
  <c r="L70" i="5"/>
  <c r="J70" i="5" s="1"/>
  <c r="K70" i="5"/>
  <c r="J69" i="5"/>
  <c r="J68" i="5"/>
  <c r="J67" i="5"/>
  <c r="J66" i="5"/>
  <c r="P64" i="5"/>
  <c r="M64" i="5"/>
  <c r="L64" i="5"/>
  <c r="K64" i="5"/>
  <c r="J64" i="5"/>
  <c r="J63" i="5"/>
  <c r="J62" i="5"/>
  <c r="J61" i="5"/>
  <c r="J60" i="5"/>
  <c r="J59" i="5"/>
  <c r="P57" i="5"/>
  <c r="M57" i="5"/>
  <c r="L57" i="5"/>
  <c r="K57" i="5"/>
  <c r="J56" i="5"/>
  <c r="J55" i="5"/>
  <c r="J54" i="5"/>
  <c r="J53" i="5"/>
  <c r="P51" i="5"/>
  <c r="M51" i="5"/>
  <c r="L51" i="5"/>
  <c r="R50" i="5"/>
  <c r="Q50" i="5"/>
  <c r="Q51" i="5" s="1"/>
  <c r="P50" i="5"/>
  <c r="O50" i="5"/>
  <c r="N50" i="5"/>
  <c r="M50" i="5"/>
  <c r="J50" i="5" s="1"/>
  <c r="L50" i="5"/>
  <c r="K50" i="5"/>
  <c r="R49" i="5"/>
  <c r="Q49" i="5"/>
  <c r="Q289" i="5" s="1"/>
  <c r="P49" i="5"/>
  <c r="P289" i="5" s="1"/>
  <c r="O49" i="5"/>
  <c r="N49" i="5"/>
  <c r="N51" i="5" s="1"/>
  <c r="M49" i="5"/>
  <c r="M289" i="5" s="1"/>
  <c r="L49" i="5"/>
  <c r="L289" i="5" s="1"/>
  <c r="K49" i="5"/>
  <c r="K51" i="5" s="1"/>
  <c r="R48" i="5"/>
  <c r="R288" i="5" s="1"/>
  <c r="Q48" i="5"/>
  <c r="Q288" i="5" s="1"/>
  <c r="P48" i="5"/>
  <c r="O48" i="5"/>
  <c r="O288" i="5" s="1"/>
  <c r="N48" i="5"/>
  <c r="N288" i="5" s="1"/>
  <c r="M48" i="5"/>
  <c r="L48" i="5"/>
  <c r="K48" i="5"/>
  <c r="I47" i="5"/>
  <c r="H47" i="5"/>
  <c r="G47" i="5"/>
  <c r="P46" i="5"/>
  <c r="M46" i="5"/>
  <c r="L46" i="5"/>
  <c r="K46" i="5"/>
  <c r="J46" i="5" s="1"/>
  <c r="J45" i="5"/>
  <c r="J44" i="5"/>
  <c r="J43" i="5"/>
  <c r="P40" i="5"/>
  <c r="M40" i="5"/>
  <c r="L40" i="5"/>
  <c r="K40" i="5"/>
  <c r="J39" i="5"/>
  <c r="J38" i="5"/>
  <c r="J37" i="5"/>
  <c r="J36" i="5"/>
  <c r="P33" i="5"/>
  <c r="M33" i="5"/>
  <c r="L33" i="5"/>
  <c r="K33" i="5"/>
  <c r="J32" i="5"/>
  <c r="J31" i="5"/>
  <c r="J30" i="5"/>
  <c r="P27" i="5"/>
  <c r="M27" i="5"/>
  <c r="L27" i="5"/>
  <c r="J27" i="5" s="1"/>
  <c r="K27" i="5"/>
  <c r="J26" i="5"/>
  <c r="J25" i="5"/>
  <c r="J24" i="5"/>
  <c r="J23" i="5"/>
  <c r="P20" i="5"/>
  <c r="M20" i="5"/>
  <c r="J20" i="5" s="1"/>
  <c r="L20" i="5"/>
  <c r="K20" i="5"/>
  <c r="J19" i="5"/>
  <c r="J18" i="5"/>
  <c r="J17" i="5"/>
  <c r="P14" i="5"/>
  <c r="M14" i="5"/>
  <c r="J14" i="5" s="1"/>
  <c r="L14" i="5"/>
  <c r="K14" i="5"/>
  <c r="J13" i="5"/>
  <c r="J12" i="5"/>
  <c r="J11" i="5"/>
  <c r="R142" i="4"/>
  <c r="Q142" i="4"/>
  <c r="P142" i="4"/>
  <c r="M142" i="4"/>
  <c r="K142" i="4"/>
  <c r="J142" i="4"/>
  <c r="I142" i="4" s="1"/>
  <c r="I141" i="4"/>
  <c r="I140" i="4"/>
  <c r="I139" i="4"/>
  <c r="M136" i="4"/>
  <c r="M146" i="4" s="1"/>
  <c r="R135" i="4"/>
  <c r="R137" i="4" s="1"/>
  <c r="O135" i="4"/>
  <c r="O145" i="4" s="1"/>
  <c r="J135" i="4"/>
  <c r="Q134" i="4"/>
  <c r="Q144" i="4" s="1"/>
  <c r="R132" i="4"/>
  <c r="Q132" i="4"/>
  <c r="I132" i="4" s="1"/>
  <c r="P132" i="4"/>
  <c r="J132" i="4"/>
  <c r="I131" i="4"/>
  <c r="I130" i="4"/>
  <c r="I129" i="4"/>
  <c r="R127" i="4"/>
  <c r="Q127" i="4"/>
  <c r="N127" i="4"/>
  <c r="J127" i="4"/>
  <c r="R126" i="4"/>
  <c r="R136" i="4" s="1"/>
  <c r="R146" i="4" s="1"/>
  <c r="Q126" i="4"/>
  <c r="P126" i="4"/>
  <c r="O126" i="4"/>
  <c r="N126" i="4"/>
  <c r="N136" i="4" s="1"/>
  <c r="N146" i="4" s="1"/>
  <c r="M126" i="4"/>
  <c r="L126" i="4"/>
  <c r="L136" i="4" s="1"/>
  <c r="L146" i="4" s="1"/>
  <c r="K126" i="4"/>
  <c r="J126" i="4"/>
  <c r="R125" i="4"/>
  <c r="Q125" i="4"/>
  <c r="P125" i="4"/>
  <c r="P127" i="4" s="1"/>
  <c r="O125" i="4"/>
  <c r="O127" i="4" s="1"/>
  <c r="N125" i="4"/>
  <c r="N135" i="4" s="1"/>
  <c r="M125" i="4"/>
  <c r="L125" i="4"/>
  <c r="L127" i="4" s="1"/>
  <c r="K125" i="4"/>
  <c r="K127" i="4" s="1"/>
  <c r="J125" i="4"/>
  <c r="R124" i="4"/>
  <c r="Q124" i="4"/>
  <c r="P124" i="4"/>
  <c r="P134" i="4" s="1"/>
  <c r="P144" i="4" s="1"/>
  <c r="O124" i="4"/>
  <c r="N124" i="4"/>
  <c r="M124" i="4"/>
  <c r="L124" i="4"/>
  <c r="K124" i="4"/>
  <c r="H123" i="4"/>
  <c r="H133" i="4" s="1"/>
  <c r="H143" i="4" s="1"/>
  <c r="G123" i="4"/>
  <c r="G133" i="4" s="1"/>
  <c r="G143" i="4" s="1"/>
  <c r="F123" i="4"/>
  <c r="R122" i="4"/>
  <c r="Q122" i="4"/>
  <c r="P122" i="4"/>
  <c r="L122" i="4"/>
  <c r="K122" i="4"/>
  <c r="J122" i="4"/>
  <c r="I122" i="4"/>
  <c r="I121" i="4"/>
  <c r="I120" i="4"/>
  <c r="I119" i="4"/>
  <c r="R114" i="4"/>
  <c r="Q114" i="4"/>
  <c r="P114" i="4"/>
  <c r="M114" i="4"/>
  <c r="L114" i="4"/>
  <c r="I114" i="4" s="1"/>
  <c r="K114" i="4"/>
  <c r="J114" i="4"/>
  <c r="I113" i="4"/>
  <c r="I112" i="4"/>
  <c r="I111" i="4"/>
  <c r="I110" i="4"/>
  <c r="R105" i="4"/>
  <c r="Q105" i="4"/>
  <c r="P105" i="4"/>
  <c r="O105" i="4"/>
  <c r="N105" i="4"/>
  <c r="L105" i="4"/>
  <c r="K105" i="4"/>
  <c r="J105" i="4"/>
  <c r="I105" i="4"/>
  <c r="I104" i="4"/>
  <c r="I103" i="4"/>
  <c r="I102" i="4"/>
  <c r="I101" i="4"/>
  <c r="P100" i="4"/>
  <c r="L100" i="4"/>
  <c r="J100" i="4"/>
  <c r="J124" i="4" s="1"/>
  <c r="I100" i="4"/>
  <c r="R97" i="4"/>
  <c r="Q97" i="4"/>
  <c r="P97" i="4"/>
  <c r="O97" i="4"/>
  <c r="N97" i="4"/>
  <c r="L97" i="4"/>
  <c r="K97" i="4"/>
  <c r="J97" i="4"/>
  <c r="I97" i="4" s="1"/>
  <c r="I96" i="4"/>
  <c r="I95" i="4"/>
  <c r="I94" i="4"/>
  <c r="I125" i="4" s="1"/>
  <c r="P93" i="4"/>
  <c r="I93" i="4" s="1"/>
  <c r="R90" i="4"/>
  <c r="Q90" i="4"/>
  <c r="P90" i="4"/>
  <c r="N90" i="4"/>
  <c r="L90" i="4"/>
  <c r="K90" i="4"/>
  <c r="I90" i="4" s="1"/>
  <c r="J90" i="4"/>
  <c r="I89" i="4"/>
  <c r="I88" i="4"/>
  <c r="I87" i="4"/>
  <c r="R83" i="4"/>
  <c r="Q83" i="4"/>
  <c r="P83" i="4"/>
  <c r="L83" i="4"/>
  <c r="K83" i="4"/>
  <c r="J83" i="4"/>
  <c r="I83" i="4" s="1"/>
  <c r="I82" i="4"/>
  <c r="I81" i="4"/>
  <c r="I80" i="4"/>
  <c r="I79" i="4"/>
  <c r="P78" i="4"/>
  <c r="I78" i="4"/>
  <c r="R76" i="4"/>
  <c r="N76" i="4"/>
  <c r="M76" i="4"/>
  <c r="R75" i="4"/>
  <c r="P75" i="4"/>
  <c r="P136" i="4" s="1"/>
  <c r="P146" i="4" s="1"/>
  <c r="O75" i="4"/>
  <c r="N75" i="4"/>
  <c r="M75" i="4"/>
  <c r="L75" i="4"/>
  <c r="K75" i="4"/>
  <c r="R74" i="4"/>
  <c r="Q74" i="4"/>
  <c r="Q76" i="4" s="1"/>
  <c r="P74" i="4"/>
  <c r="P76" i="4" s="1"/>
  <c r="O74" i="4"/>
  <c r="O76" i="4" s="1"/>
  <c r="N74" i="4"/>
  <c r="M74" i="4"/>
  <c r="L74" i="4"/>
  <c r="L76" i="4" s="1"/>
  <c r="K74" i="4"/>
  <c r="K76" i="4" s="1"/>
  <c r="J74" i="4"/>
  <c r="I74" i="4"/>
  <c r="P73" i="4"/>
  <c r="O73" i="4"/>
  <c r="N73" i="4"/>
  <c r="M73" i="4"/>
  <c r="L73" i="4"/>
  <c r="L134" i="4" s="1"/>
  <c r="L144" i="4" s="1"/>
  <c r="K73" i="4"/>
  <c r="J73" i="4"/>
  <c r="H72" i="4"/>
  <c r="G72" i="4"/>
  <c r="F72" i="4"/>
  <c r="R70" i="4"/>
  <c r="Q70" i="4"/>
  <c r="P70" i="4"/>
  <c r="J70" i="4"/>
  <c r="I70" i="4" s="1"/>
  <c r="I69" i="4"/>
  <c r="I68" i="4"/>
  <c r="I67" i="4"/>
  <c r="I66" i="4"/>
  <c r="Q65" i="4"/>
  <c r="Q73" i="4" s="1"/>
  <c r="I65" i="4"/>
  <c r="R63" i="4"/>
  <c r="Q63" i="4"/>
  <c r="P63" i="4"/>
  <c r="J63" i="4"/>
  <c r="I63" i="4" s="1"/>
  <c r="I62" i="4"/>
  <c r="I61" i="4"/>
  <c r="I60" i="4"/>
  <c r="I59" i="4"/>
  <c r="R57" i="4"/>
  <c r="Q57" i="4"/>
  <c r="P57" i="4"/>
  <c r="K57" i="4"/>
  <c r="I56" i="4"/>
  <c r="I55" i="4"/>
  <c r="Q54" i="4"/>
  <c r="Q75" i="4" s="1"/>
  <c r="Q136" i="4" s="1"/>
  <c r="Q146" i="4" s="1"/>
  <c r="J54" i="4"/>
  <c r="I54" i="4"/>
  <c r="I53" i="4"/>
  <c r="I52" i="4"/>
  <c r="R51" i="4"/>
  <c r="R73" i="4" s="1"/>
  <c r="I51" i="4"/>
  <c r="I73" i="4" s="1"/>
  <c r="L49" i="4"/>
  <c r="K49" i="4"/>
  <c r="R48" i="4"/>
  <c r="Q48" i="4"/>
  <c r="P48" i="4"/>
  <c r="O48" i="4"/>
  <c r="N48" i="4"/>
  <c r="M48" i="4"/>
  <c r="L48" i="4"/>
  <c r="K48" i="4"/>
  <c r="J48" i="4"/>
  <c r="I48" i="4"/>
  <c r="R47" i="4"/>
  <c r="R49" i="4" s="1"/>
  <c r="Q47" i="4"/>
  <c r="Q49" i="4" s="1"/>
  <c r="P47" i="4"/>
  <c r="P49" i="4" s="1"/>
  <c r="O47" i="4"/>
  <c r="O49" i="4" s="1"/>
  <c r="N47" i="4"/>
  <c r="N49" i="4" s="1"/>
  <c r="M47" i="4"/>
  <c r="M49" i="4" s="1"/>
  <c r="L47" i="4"/>
  <c r="K47" i="4"/>
  <c r="K135" i="4" s="1"/>
  <c r="J47" i="4"/>
  <c r="J49" i="4" s="1"/>
  <c r="R46" i="4"/>
  <c r="Q46" i="4"/>
  <c r="P46" i="4"/>
  <c r="O46" i="4"/>
  <c r="N46" i="4"/>
  <c r="M46" i="4"/>
  <c r="M134" i="4" s="1"/>
  <c r="M144" i="4" s="1"/>
  <c r="L46" i="4"/>
  <c r="K46" i="4"/>
  <c r="J46" i="4"/>
  <c r="H45" i="4"/>
  <c r="G45" i="4"/>
  <c r="F45" i="4"/>
  <c r="R44" i="4"/>
  <c r="Q44" i="4"/>
  <c r="P44" i="4"/>
  <c r="J44" i="4"/>
  <c r="I44" i="4" s="1"/>
  <c r="I43" i="4"/>
  <c r="I42" i="4"/>
  <c r="I41" i="4"/>
  <c r="R38" i="4"/>
  <c r="Q38" i="4"/>
  <c r="P38" i="4"/>
  <c r="J38" i="4"/>
  <c r="I38" i="4" s="1"/>
  <c r="I37" i="4"/>
  <c r="I36" i="4"/>
  <c r="I35" i="4"/>
  <c r="R32" i="4"/>
  <c r="Q32" i="4"/>
  <c r="P32" i="4"/>
  <c r="K32" i="4"/>
  <c r="J32" i="4"/>
  <c r="I31" i="4"/>
  <c r="I30" i="4"/>
  <c r="I29" i="4"/>
  <c r="R26" i="4"/>
  <c r="Q26" i="4"/>
  <c r="P26" i="4"/>
  <c r="J26" i="4"/>
  <c r="I26" i="4" s="1"/>
  <c r="I25" i="4"/>
  <c r="I24" i="4"/>
  <c r="I23" i="4"/>
  <c r="R20" i="4"/>
  <c r="Q20" i="4"/>
  <c r="P20" i="4"/>
  <c r="J20" i="4"/>
  <c r="I20" i="4" s="1"/>
  <c r="I19" i="4"/>
  <c r="I18" i="4"/>
  <c r="I17" i="4"/>
  <c r="R14" i="4"/>
  <c r="Q14" i="4"/>
  <c r="P14" i="4"/>
  <c r="J14" i="4"/>
  <c r="I14" i="4" s="1"/>
  <c r="I13" i="4"/>
  <c r="I12" i="4"/>
  <c r="I47" i="4" s="1"/>
  <c r="I11" i="4"/>
  <c r="I46" i="4" s="1"/>
  <c r="M45" i="3"/>
  <c r="O28" i="13" s="1"/>
  <c r="M43" i="3"/>
  <c r="O25" i="13" s="1"/>
  <c r="M42" i="3"/>
  <c r="O24" i="13" s="1"/>
  <c r="M40" i="3"/>
  <c r="L40" i="3"/>
  <c r="K40" i="3"/>
  <c r="J40" i="3"/>
  <c r="I40" i="3"/>
  <c r="H40" i="3"/>
  <c r="G40" i="3"/>
  <c r="M36" i="3"/>
  <c r="L36" i="3"/>
  <c r="K36" i="3"/>
  <c r="J36" i="3"/>
  <c r="I36" i="3"/>
  <c r="H36" i="3"/>
  <c r="G36" i="3"/>
  <c r="L34" i="3"/>
  <c r="M34" i="3" s="1"/>
  <c r="K32" i="3"/>
  <c r="I32" i="3"/>
  <c r="H32" i="3"/>
  <c r="G32" i="3"/>
  <c r="M31" i="3"/>
  <c r="M29" i="3"/>
  <c r="M28" i="3"/>
  <c r="L26" i="3"/>
  <c r="M26" i="3" s="1"/>
  <c r="O20" i="13" s="1"/>
  <c r="K26" i="3"/>
  <c r="J26" i="3"/>
  <c r="N20" i="13" s="1"/>
  <c r="H26" i="3"/>
  <c r="G26" i="3"/>
  <c r="G16" i="3" s="1"/>
  <c r="G14" i="3" s="1"/>
  <c r="M25" i="3"/>
  <c r="M24" i="3"/>
  <c r="M23" i="3"/>
  <c r="M22" i="3"/>
  <c r="L22" i="3"/>
  <c r="M21" i="3"/>
  <c r="M20" i="3"/>
  <c r="M19" i="3"/>
  <c r="M17" i="3" s="1"/>
  <c r="M18" i="3"/>
  <c r="L17" i="3"/>
  <c r="K17" i="3"/>
  <c r="J17" i="3"/>
  <c r="N14" i="13" s="1"/>
  <c r="I17" i="3"/>
  <c r="H17" i="3"/>
  <c r="G17" i="3"/>
  <c r="K16" i="3"/>
  <c r="K14" i="3" s="1"/>
  <c r="J16" i="3"/>
  <c r="I16" i="3"/>
  <c r="I14" i="3"/>
  <c r="K10" i="3"/>
  <c r="K8" i="3" s="1"/>
  <c r="K39" i="3" s="1"/>
  <c r="K47" i="3" s="1"/>
  <c r="J10" i="3"/>
  <c r="J8" i="3" s="1"/>
  <c r="I10" i="3"/>
  <c r="H10" i="3"/>
  <c r="G10" i="3"/>
  <c r="G8" i="3" s="1"/>
  <c r="G39" i="3" s="1"/>
  <c r="G47" i="3" s="1"/>
  <c r="I8" i="3"/>
  <c r="I39" i="3" s="1"/>
  <c r="I47" i="3" s="1"/>
  <c r="H8" i="3"/>
  <c r="M70" i="2"/>
  <c r="L70" i="2"/>
  <c r="K70" i="2"/>
  <c r="J70" i="2"/>
  <c r="I70" i="2"/>
  <c r="H70" i="2"/>
  <c r="G70" i="2"/>
  <c r="M69" i="2"/>
  <c r="M68" i="2"/>
  <c r="M67" i="2"/>
  <c r="M66" i="2" s="1"/>
  <c r="H29" i="13" s="1"/>
  <c r="L66" i="2"/>
  <c r="L61" i="2" s="1"/>
  <c r="L58" i="2" s="1"/>
  <c r="K66" i="2"/>
  <c r="J66" i="2"/>
  <c r="G29" i="13" s="1"/>
  <c r="I66" i="2"/>
  <c r="H66" i="2"/>
  <c r="H61" i="2" s="1"/>
  <c r="H58" i="2" s="1"/>
  <c r="G66" i="2"/>
  <c r="M65" i="2"/>
  <c r="M64" i="2"/>
  <c r="M63" i="2"/>
  <c r="M62" i="2" s="1"/>
  <c r="H24" i="13" s="1"/>
  <c r="J63" i="2"/>
  <c r="L62" i="2"/>
  <c r="K62" i="2"/>
  <c r="K61" i="2" s="1"/>
  <c r="K58" i="2" s="1"/>
  <c r="J62" i="2"/>
  <c r="G24" i="13" s="1"/>
  <c r="G30" i="13" s="1"/>
  <c r="I62" i="2"/>
  <c r="H62" i="2"/>
  <c r="G62" i="2"/>
  <c r="G61" i="2" s="1"/>
  <c r="M61" i="2"/>
  <c r="I61" i="2"/>
  <c r="I58" i="2" s="1"/>
  <c r="M60" i="2"/>
  <c r="M59" i="2"/>
  <c r="G58" i="2"/>
  <c r="M54" i="2"/>
  <c r="L54" i="2"/>
  <c r="K54" i="2"/>
  <c r="J54" i="2"/>
  <c r="I54" i="2"/>
  <c r="H54" i="2"/>
  <c r="G54" i="2"/>
  <c r="M53" i="2"/>
  <c r="M52" i="2"/>
  <c r="H19" i="13" s="1"/>
  <c r="M51" i="2"/>
  <c r="M50" i="2"/>
  <c r="M49" i="2" s="1"/>
  <c r="L49" i="2"/>
  <c r="K49" i="2"/>
  <c r="J49" i="2"/>
  <c r="G18" i="13" s="1"/>
  <c r="I49" i="2"/>
  <c r="H49" i="2"/>
  <c r="G49" i="2"/>
  <c r="M48" i="2"/>
  <c r="M44" i="2" s="1"/>
  <c r="M47" i="2"/>
  <c r="M45" i="2"/>
  <c r="L45" i="2"/>
  <c r="L44" i="2" s="1"/>
  <c r="K45" i="2"/>
  <c r="K44" i="2" s="1"/>
  <c r="J45" i="2"/>
  <c r="G17" i="13" s="1"/>
  <c r="I45" i="2"/>
  <c r="H45" i="2"/>
  <c r="H44" i="2" s="1"/>
  <c r="G45" i="2"/>
  <c r="I44" i="2"/>
  <c r="G44" i="2"/>
  <c r="M43" i="2"/>
  <c r="J43" i="2"/>
  <c r="G12" i="13" s="1"/>
  <c r="M40" i="2"/>
  <c r="M39" i="2"/>
  <c r="L39" i="2"/>
  <c r="M38" i="2"/>
  <c r="M37" i="2"/>
  <c r="M36" i="2"/>
  <c r="M35" i="2"/>
  <c r="L34" i="2"/>
  <c r="L8" i="2" s="1"/>
  <c r="L56" i="2" s="1"/>
  <c r="K34" i="2"/>
  <c r="J34" i="2"/>
  <c r="G11" i="13" s="1"/>
  <c r="I34" i="2"/>
  <c r="H34" i="2"/>
  <c r="G34" i="2"/>
  <c r="M32" i="2"/>
  <c r="M31" i="2"/>
  <c r="M30" i="2"/>
  <c r="M29" i="2"/>
  <c r="M28" i="2"/>
  <c r="M27" i="2"/>
  <c r="M26" i="2"/>
  <c r="M25" i="2"/>
  <c r="M24" i="2"/>
  <c r="L23" i="2"/>
  <c r="L22" i="2" s="1"/>
  <c r="K23" i="2"/>
  <c r="J23" i="2"/>
  <c r="I23" i="2"/>
  <c r="H23" i="2"/>
  <c r="H22" i="2" s="1"/>
  <c r="G23" i="2"/>
  <c r="K22" i="2"/>
  <c r="J22" i="2"/>
  <c r="G10" i="13" s="1"/>
  <c r="I22" i="2"/>
  <c r="G22" i="2"/>
  <c r="M21" i="2"/>
  <c r="M20" i="2"/>
  <c r="M19" i="2"/>
  <c r="M16" i="2"/>
  <c r="M15" i="2"/>
  <c r="H15" i="2"/>
  <c r="M14" i="2"/>
  <c r="M13" i="2"/>
  <c r="M12" i="2"/>
  <c r="M11" i="2"/>
  <c r="L10" i="2"/>
  <c r="L9" i="2" s="1"/>
  <c r="K10" i="2"/>
  <c r="J10" i="2"/>
  <c r="I10" i="2"/>
  <c r="H10" i="2"/>
  <c r="G10" i="2"/>
  <c r="K9" i="2"/>
  <c r="K8" i="2" s="1"/>
  <c r="J9" i="2"/>
  <c r="G9" i="13" s="1"/>
  <c r="G15" i="13" s="1"/>
  <c r="I9" i="2"/>
  <c r="H9" i="2"/>
  <c r="H8" i="2" s="1"/>
  <c r="H56" i="2" s="1"/>
  <c r="G9" i="2"/>
  <c r="G8" i="2" s="1"/>
  <c r="G56" i="2" s="1"/>
  <c r="J8" i="2"/>
  <c r="I8" i="2"/>
  <c r="I56" i="2" s="1"/>
  <c r="I74" i="2" l="1"/>
  <c r="I57" i="2"/>
  <c r="I1077" i="7"/>
  <c r="H39" i="3"/>
  <c r="H47" i="3" s="1"/>
  <c r="G57" i="2"/>
  <c r="G74" i="2"/>
  <c r="K56" i="2"/>
  <c r="I127" i="4"/>
  <c r="K145" i="4"/>
  <c r="N145" i="4"/>
  <c r="N147" i="4" s="1"/>
  <c r="N137" i="4"/>
  <c r="N12" i="13"/>
  <c r="H74" i="2"/>
  <c r="L74" i="2"/>
  <c r="L284" i="5"/>
  <c r="O14" i="13"/>
  <c r="M16" i="3"/>
  <c r="I135" i="4"/>
  <c r="I145" i="4" s="1"/>
  <c r="M291" i="5"/>
  <c r="R300" i="5"/>
  <c r="R282" i="5"/>
  <c r="Q280" i="5"/>
  <c r="Q301" i="5"/>
  <c r="Q303" i="5" s="1"/>
  <c r="Q283" i="5"/>
  <c r="M302" i="5"/>
  <c r="K1076" i="7"/>
  <c r="K1078" i="7" s="1"/>
  <c r="K383" i="7"/>
  <c r="I382" i="7"/>
  <c r="M1065" i="7"/>
  <c r="I49" i="4"/>
  <c r="J75" i="4"/>
  <c r="J57" i="4"/>
  <c r="I57" i="4" s="1"/>
  <c r="I124" i="4"/>
  <c r="I134" i="4" s="1"/>
  <c r="I144" i="4" s="1"/>
  <c r="R134" i="4"/>
  <c r="R144" i="4" s="1"/>
  <c r="O136" i="4"/>
  <c r="O146" i="4" s="1"/>
  <c r="R145" i="4"/>
  <c r="R147" i="4" s="1"/>
  <c r="K288" i="5"/>
  <c r="J48" i="5"/>
  <c r="Q290" i="5"/>
  <c r="Q291" i="5" s="1"/>
  <c r="J111" i="5"/>
  <c r="M294" i="5"/>
  <c r="J294" i="5" s="1"/>
  <c r="P135" i="5"/>
  <c r="P137" i="5" s="1"/>
  <c r="P127" i="5"/>
  <c r="G299" i="5"/>
  <c r="G281" i="5"/>
  <c r="O300" i="5"/>
  <c r="O282" i="5"/>
  <c r="N13" i="13" s="1"/>
  <c r="M283" i="5"/>
  <c r="L66" i="6"/>
  <c r="I221" i="6"/>
  <c r="I225" i="6" s="1"/>
  <c r="M1075" i="7"/>
  <c r="N1071" i="7"/>
  <c r="N1073" i="7" s="1"/>
  <c r="N813" i="7"/>
  <c r="I813" i="7" s="1"/>
  <c r="M34" i="2"/>
  <c r="H11" i="13" s="1"/>
  <c r="J44" i="2"/>
  <c r="J56" i="2" s="1"/>
  <c r="H16" i="3"/>
  <c r="H14" i="3" s="1"/>
  <c r="L16" i="3"/>
  <c r="K134" i="4"/>
  <c r="K144" i="4" s="1"/>
  <c r="O134" i="4"/>
  <c r="O144" i="4" s="1"/>
  <c r="M135" i="4"/>
  <c r="Q135" i="4"/>
  <c r="O137" i="4"/>
  <c r="P288" i="5"/>
  <c r="O51" i="5"/>
  <c r="J51" i="5" s="1"/>
  <c r="O289" i="5"/>
  <c r="O291" i="5" s="1"/>
  <c r="J81" i="5"/>
  <c r="J80" i="5"/>
  <c r="N290" i="5"/>
  <c r="Q81" i="5"/>
  <c r="J85" i="5"/>
  <c r="M126" i="5"/>
  <c r="M136" i="5" s="1"/>
  <c r="M284" i="5" s="1"/>
  <c r="M87" i="5"/>
  <c r="J94" i="5"/>
  <c r="M127" i="5"/>
  <c r="N136" i="5"/>
  <c r="R136" i="5"/>
  <c r="O127" i="5"/>
  <c r="J135" i="5"/>
  <c r="R135" i="5"/>
  <c r="Q136" i="5"/>
  <c r="Q284" i="5" s="1"/>
  <c r="J143" i="5"/>
  <c r="J175" i="5"/>
  <c r="J215" i="5"/>
  <c r="J279" i="5"/>
  <c r="K282" i="5"/>
  <c r="R283" i="5"/>
  <c r="K289" i="5"/>
  <c r="L303" i="5"/>
  <c r="J39" i="7"/>
  <c r="I39" i="7" s="1"/>
  <c r="I37" i="7"/>
  <c r="J93" i="7"/>
  <c r="I91" i="7"/>
  <c r="I348" i="7"/>
  <c r="J1067" i="7"/>
  <c r="I1071" i="7"/>
  <c r="L1073" i="7"/>
  <c r="I1073" i="7" s="1"/>
  <c r="J693" i="8"/>
  <c r="H25" i="13"/>
  <c r="H36" i="13" s="1"/>
  <c r="M58" i="2"/>
  <c r="J136" i="4"/>
  <c r="O147" i="4"/>
  <c r="K136" i="5"/>
  <c r="K137" i="5" s="1"/>
  <c r="J126" i="5"/>
  <c r="K127" i="5"/>
  <c r="N137" i="5"/>
  <c r="K1066" i="7"/>
  <c r="K1068" i="7" s="1"/>
  <c r="J134" i="4"/>
  <c r="J144" i="4" s="1"/>
  <c r="N134" i="4"/>
  <c r="N144" i="4" s="1"/>
  <c r="K136" i="4"/>
  <c r="K146" i="4" s="1"/>
  <c r="J145" i="4"/>
  <c r="J49" i="5"/>
  <c r="R289" i="5"/>
  <c r="R291" i="5" s="1"/>
  <c r="R51" i="5"/>
  <c r="J125" i="5"/>
  <c r="L135" i="5"/>
  <c r="L137" i="5" s="1"/>
  <c r="L127" i="5"/>
  <c r="J278" i="5"/>
  <c r="N301" i="5"/>
  <c r="N283" i="5"/>
  <c r="N285" i="5" s="1"/>
  <c r="O12" i="13" s="1"/>
  <c r="N280" i="5"/>
  <c r="R280" i="5"/>
  <c r="N300" i="5"/>
  <c r="L196" i="6"/>
  <c r="L1076" i="7"/>
  <c r="L383" i="7"/>
  <c r="L1066" i="7"/>
  <c r="N1077" i="7"/>
  <c r="N1067" i="7"/>
  <c r="M1078" i="7"/>
  <c r="J691" i="8"/>
  <c r="O102" i="10"/>
  <c r="L39" i="13"/>
  <c r="M10" i="2"/>
  <c r="M23" i="2"/>
  <c r="M22" i="2" s="1"/>
  <c r="H10" i="13" s="1"/>
  <c r="H18" i="13"/>
  <c r="J61" i="2"/>
  <c r="J58" i="2" s="1"/>
  <c r="I32" i="4"/>
  <c r="F133" i="4"/>
  <c r="F143" i="4" s="1"/>
  <c r="M127" i="4"/>
  <c r="J33" i="5"/>
  <c r="J40" i="5"/>
  <c r="J57" i="5"/>
  <c r="H287" i="5"/>
  <c r="J83" i="5"/>
  <c r="J124" i="5" s="1"/>
  <c r="P290" i="5"/>
  <c r="P291" i="5" s="1"/>
  <c r="P87" i="5"/>
  <c r="J87" i="5" s="1"/>
  <c r="J91" i="5"/>
  <c r="M124" i="5"/>
  <c r="M134" i="5" s="1"/>
  <c r="M282" i="5" s="1"/>
  <c r="N11" i="13" s="1"/>
  <c r="M137" i="5"/>
  <c r="J165" i="5"/>
  <c r="J205" i="5"/>
  <c r="J242" i="5"/>
  <c r="P302" i="5"/>
  <c r="P303" i="5" s="1"/>
  <c r="P284" i="5"/>
  <c r="L11" i="3" s="1"/>
  <c r="L280" i="5"/>
  <c r="J280" i="5" s="1"/>
  <c r="N289" i="5"/>
  <c r="N291" i="5" s="1"/>
  <c r="J295" i="5"/>
  <c r="K297" i="5"/>
  <c r="O297" i="5"/>
  <c r="M301" i="5"/>
  <c r="M303" i="5" s="1"/>
  <c r="I14" i="7"/>
  <c r="J255" i="7"/>
  <c r="N255" i="7"/>
  <c r="I574" i="7"/>
  <c r="J34" i="3"/>
  <c r="N18" i="13" s="1"/>
  <c r="H12" i="13"/>
  <c r="H17" i="13"/>
  <c r="O30" i="13"/>
  <c r="I126" i="4"/>
  <c r="L135" i="4"/>
  <c r="P135" i="4"/>
  <c r="M288" i="5"/>
  <c r="I287" i="5"/>
  <c r="K290" i="5"/>
  <c r="J290" i="5" s="1"/>
  <c r="O290" i="5"/>
  <c r="H299" i="5"/>
  <c r="H281" i="5"/>
  <c r="L300" i="5"/>
  <c r="J300" i="5" s="1"/>
  <c r="L282" i="5"/>
  <c r="P300" i="5"/>
  <c r="P282" i="5"/>
  <c r="K301" i="5"/>
  <c r="K283" i="5"/>
  <c r="O301" i="5"/>
  <c r="O303" i="5" s="1"/>
  <c r="O283" i="5"/>
  <c r="O285" i="5" s="1"/>
  <c r="N302" i="5"/>
  <c r="J302" i="5" s="1"/>
  <c r="N284" i="5"/>
  <c r="R302" i="5"/>
  <c r="R303" i="5" s="1"/>
  <c r="R284" i="5"/>
  <c r="L12" i="3" s="1"/>
  <c r="M12" i="3" s="1"/>
  <c r="O18" i="13" s="1"/>
  <c r="L220" i="6"/>
  <c r="L221" i="6" s="1"/>
  <c r="L225" i="6" s="1"/>
  <c r="J220" i="6"/>
  <c r="J221" i="6" s="1"/>
  <c r="J225" i="6" s="1"/>
  <c r="I36" i="7"/>
  <c r="L39" i="7"/>
  <c r="I90" i="7"/>
  <c r="L93" i="7"/>
  <c r="I169" i="7"/>
  <c r="I170" i="7"/>
  <c r="M353" i="7"/>
  <c r="M383" i="7"/>
  <c r="L1067" i="7"/>
  <c r="N1066" i="7"/>
  <c r="N1068" i="7" s="1"/>
  <c r="L1070" i="7"/>
  <c r="I963" i="7"/>
  <c r="J1065" i="7"/>
  <c r="J1070" i="7"/>
  <c r="L700" i="8"/>
  <c r="G21" i="13"/>
  <c r="G36" i="13"/>
  <c r="L290" i="5"/>
  <c r="L291" i="5" s="1"/>
  <c r="I281" i="5"/>
  <c r="Q282" i="5"/>
  <c r="L283" i="5"/>
  <c r="L285" i="5" s="1"/>
  <c r="P283" i="5"/>
  <c r="P285" i="5" s="1"/>
  <c r="K284" i="5"/>
  <c r="O284" i="5"/>
  <c r="O280" i="5"/>
  <c r="I34" i="7"/>
  <c r="J353" i="7"/>
  <c r="N353" i="7"/>
  <c r="J383" i="7"/>
  <c r="N383" i="7"/>
  <c r="L1077" i="7"/>
  <c r="J1066" i="7"/>
  <c r="M1067" i="7"/>
  <c r="M1068" i="7" s="1"/>
  <c r="M433" i="7"/>
  <c r="L1075" i="7"/>
  <c r="I1075" i="7" s="1"/>
  <c r="I891" i="7"/>
  <c r="L1065" i="7"/>
  <c r="I993" i="7"/>
  <c r="K1065" i="7"/>
  <c r="I1072" i="7"/>
  <c r="J690" i="8"/>
  <c r="L33" i="3" s="1"/>
  <c r="J84" i="8"/>
  <c r="L84" i="8" s="1"/>
  <c r="E80" i="8" s="1"/>
  <c r="L83" i="8"/>
  <c r="K691" i="8"/>
  <c r="J700" i="8"/>
  <c r="J701" i="8" s="1"/>
  <c r="L701" i="8" s="1"/>
  <c r="I347" i="7"/>
  <c r="I351" i="7"/>
  <c r="I381" i="7"/>
  <c r="K433" i="7"/>
  <c r="I842" i="7"/>
  <c r="I925" i="7"/>
  <c r="J1076" i="7"/>
  <c r="N1076" i="7"/>
  <c r="N1078" i="7" s="1"/>
  <c r="J688" i="8"/>
  <c r="L696" i="8"/>
  <c r="L698" i="8"/>
  <c r="L82" i="8"/>
  <c r="L307" i="8"/>
  <c r="E303" i="8" s="1"/>
  <c r="L363" i="8"/>
  <c r="L461" i="8"/>
  <c r="E457" i="8" s="1"/>
  <c r="L691" i="8"/>
  <c r="L693" i="8"/>
  <c r="L689" i="8"/>
  <c r="L694" i="8"/>
  <c r="L699" i="8"/>
  <c r="I272" i="9"/>
  <c r="K272" i="9" s="1"/>
  <c r="K270" i="9"/>
  <c r="K274" i="9"/>
  <c r="O47" i="11"/>
  <c r="J208" i="12"/>
  <c r="N208" i="12"/>
  <c r="E32" i="13"/>
  <c r="E35" i="13" s="1"/>
  <c r="E31" i="13"/>
  <c r="E39" i="13" s="1"/>
  <c r="J274" i="9"/>
  <c r="J269" i="9"/>
  <c r="J35" i="3" s="1"/>
  <c r="N19" i="13" s="1"/>
  <c r="K277" i="9"/>
  <c r="J66" i="12"/>
  <c r="N66" i="12"/>
  <c r="L206" i="12"/>
  <c r="L208" i="12" s="1"/>
  <c r="F22" i="13"/>
  <c r="M22" i="13"/>
  <c r="M31" i="13" s="1"/>
  <c r="M39" i="13" s="1"/>
  <c r="E33" i="13"/>
  <c r="E34" i="13"/>
  <c r="L38" i="13"/>
  <c r="O100" i="10"/>
  <c r="O45" i="11"/>
  <c r="K66" i="12"/>
  <c r="O66" i="12"/>
  <c r="I205" i="12"/>
  <c r="P205" i="12" s="1"/>
  <c r="I206" i="12"/>
  <c r="M206" i="12"/>
  <c r="M208" i="12" s="1"/>
  <c r="F33" i="13"/>
  <c r="F34" i="13"/>
  <c r="P27" i="12"/>
  <c r="P64" i="12"/>
  <c r="P65" i="12"/>
  <c r="K275" i="9"/>
  <c r="K280" i="9"/>
  <c r="L1068" i="7" l="1"/>
  <c r="J74" i="2"/>
  <c r="J301" i="5"/>
  <c r="K303" i="5"/>
  <c r="L145" i="4"/>
  <c r="L147" i="4" s="1"/>
  <c r="L137" i="4"/>
  <c r="M33" i="3"/>
  <c r="L32" i="3"/>
  <c r="I383" i="7"/>
  <c r="O10" i="13"/>
  <c r="I1070" i="7"/>
  <c r="L10" i="3"/>
  <c r="M11" i="3"/>
  <c r="M10" i="3" s="1"/>
  <c r="N303" i="5"/>
  <c r="J127" i="5"/>
  <c r="M285" i="5"/>
  <c r="J288" i="5"/>
  <c r="E38" i="13"/>
  <c r="F32" i="13"/>
  <c r="F35" i="13" s="1"/>
  <c r="F31" i="13"/>
  <c r="J1068" i="7"/>
  <c r="I1068" i="7" s="1"/>
  <c r="I1066" i="7"/>
  <c r="I1065" i="7"/>
  <c r="H9" i="13"/>
  <c r="H15" i="13" s="1"/>
  <c r="M9" i="2"/>
  <c r="M8" i="2" s="1"/>
  <c r="M56" i="2" s="1"/>
  <c r="L1078" i="7"/>
  <c r="H30" i="13"/>
  <c r="I1067" i="7"/>
  <c r="L15" i="3" s="1"/>
  <c r="I93" i="7"/>
  <c r="K291" i="5"/>
  <c r="J291" i="5" s="1"/>
  <c r="J289" i="5"/>
  <c r="Q137" i="4"/>
  <c r="Q145" i="4"/>
  <c r="Q147" i="4" s="1"/>
  <c r="M38" i="13"/>
  <c r="Q137" i="5"/>
  <c r="J137" i="5" s="1"/>
  <c r="K57" i="2"/>
  <c r="K74" i="2"/>
  <c r="L688" i="8"/>
  <c r="J33" i="3"/>
  <c r="O11" i="13"/>
  <c r="N9" i="13"/>
  <c r="J282" i="5"/>
  <c r="Q285" i="5"/>
  <c r="K147" i="4"/>
  <c r="P66" i="12"/>
  <c r="I433" i="7"/>
  <c r="O13" i="13"/>
  <c r="I255" i="7"/>
  <c r="J297" i="5"/>
  <c r="J146" i="4"/>
  <c r="I146" i="4" s="1"/>
  <c r="I136" i="4"/>
  <c r="J134" i="5"/>
  <c r="J1078" i="7"/>
  <c r="I1076" i="7"/>
  <c r="I208" i="12"/>
  <c r="P208" i="12" s="1"/>
  <c r="P206" i="12"/>
  <c r="L690" i="8"/>
  <c r="I353" i="7"/>
  <c r="J284" i="5"/>
  <c r="L9" i="3"/>
  <c r="J283" i="5"/>
  <c r="K285" i="5"/>
  <c r="N10" i="13"/>
  <c r="P145" i="4"/>
  <c r="P147" i="4" s="1"/>
  <c r="P137" i="4"/>
  <c r="H21" i="13"/>
  <c r="G22" i="13"/>
  <c r="J147" i="4"/>
  <c r="J136" i="5"/>
  <c r="R285" i="5"/>
  <c r="R137" i="5"/>
  <c r="M137" i="4"/>
  <c r="M145" i="4"/>
  <c r="M147" i="4" s="1"/>
  <c r="K269" i="9"/>
  <c r="I75" i="4"/>
  <c r="J76" i="4"/>
  <c r="I76" i="4" s="1"/>
  <c r="J137" i="4"/>
  <c r="I137" i="4" s="1"/>
  <c r="H57" i="2"/>
  <c r="K137" i="4"/>
  <c r="I147" i="4" l="1"/>
  <c r="G31" i="13"/>
  <c r="I1078" i="7"/>
  <c r="N15" i="13"/>
  <c r="M74" i="2"/>
  <c r="N17" i="13"/>
  <c r="N21" i="13" s="1"/>
  <c r="J32" i="3"/>
  <c r="J14" i="3" s="1"/>
  <c r="J39" i="3" s="1"/>
  <c r="O17" i="13"/>
  <c r="O21" i="13" s="1"/>
  <c r="H34" i="13" s="1"/>
  <c r="M32" i="3"/>
  <c r="O9" i="13"/>
  <c r="O15" i="13" s="1"/>
  <c r="H33" i="13" s="1"/>
  <c r="J285" i="5"/>
  <c r="M9" i="3"/>
  <c r="M8" i="3" s="1"/>
  <c r="L8" i="3"/>
  <c r="L14" i="3"/>
  <c r="M15" i="3"/>
  <c r="M14" i="3" s="1"/>
  <c r="H22" i="13"/>
  <c r="F38" i="13"/>
  <c r="F39" i="13"/>
  <c r="J303" i="5"/>
  <c r="M39" i="3" l="1"/>
  <c r="M47" i="3" s="1"/>
  <c r="G34" i="13"/>
  <c r="M57" i="2"/>
  <c r="G38" i="13"/>
  <c r="G39" i="13"/>
  <c r="H31" i="13"/>
  <c r="O22" i="13"/>
  <c r="O31" i="13" s="1"/>
  <c r="O39" i="13" s="1"/>
  <c r="L39" i="3"/>
  <c r="J47" i="3"/>
  <c r="J57" i="2"/>
  <c r="N22" i="13"/>
  <c r="G33" i="13"/>
  <c r="O38" i="13" l="1"/>
  <c r="N31" i="13"/>
  <c r="G32" i="13"/>
  <c r="G35" i="13" s="1"/>
  <c r="H39" i="13"/>
  <c r="H38" i="13"/>
  <c r="H32" i="13"/>
  <c r="H35" i="13" s="1"/>
  <c r="L47" i="3"/>
  <c r="L57" i="2"/>
  <c r="N39" i="13" l="1"/>
  <c r="N38" i="13"/>
</calcChain>
</file>

<file path=xl/sharedStrings.xml><?xml version="1.0" encoding="utf-8"?>
<sst xmlns="http://schemas.openxmlformats.org/spreadsheetml/2006/main" count="4101" uniqueCount="1114">
  <si>
    <t>adatok eFt-ban</t>
  </si>
  <si>
    <t>A</t>
  </si>
  <si>
    <t>B</t>
  </si>
  <si>
    <t>Megnevezés</t>
  </si>
  <si>
    <t>Összesen</t>
  </si>
  <si>
    <t>TOP_Plusz-6.1.4-23--VE-2024-00001 Aktív turizmus fejlesztése a Bakony térségben</t>
  </si>
  <si>
    <t>Közhatalmi bevételek</t>
  </si>
  <si>
    <t>Iparűzési adó</t>
  </si>
  <si>
    <t>MKSZ Kézilabdacsarnok 2024. évi közüzemi díjak finanszírozása</t>
  </si>
  <si>
    <t>Önkormányzati Intézmények működési célú átvett pénzeszközök</t>
  </si>
  <si>
    <t>Eötvös Károly Könyvtár</t>
  </si>
  <si>
    <t>Egészségügyi kiegészítő pótlék (2024. október hó - 2024. november hó)</t>
  </si>
  <si>
    <t>Humanitárius katasztrófa miatt érkező menekültek elhelyezési költségei</t>
  </si>
  <si>
    <t>Kitüntetések</t>
  </si>
  <si>
    <t>Eseti rendezvények</t>
  </si>
  <si>
    <t>átcsoportosítás konferálás és hangosítás költségeire</t>
  </si>
  <si>
    <t>Városi rendezvények</t>
  </si>
  <si>
    <t>Országos Mentőszolgálat</t>
  </si>
  <si>
    <t>Polgármesteri keret</t>
  </si>
  <si>
    <t>Téli Gyárkert 2024</t>
  </si>
  <si>
    <t>Kittenberger K. Növény- és Vadaspark Nonprofit Kft. működéséhez hozzájárulás</t>
  </si>
  <si>
    <t>Parkolók üzemeltetési költsége</t>
  </si>
  <si>
    <t>Csereerdő telepítés - Márkó-Bánd kerékpárút</t>
  </si>
  <si>
    <t>Fenntartható humán fejlesztések (ESZA)</t>
  </si>
  <si>
    <t>P+R parkolók megvalósíthatósági tanulmány</t>
  </si>
  <si>
    <t>EKF 2024 kísérőprogramjai és utókommunikációja</t>
  </si>
  <si>
    <t>Dubniczay-palota (Vár u. 29.) homlokzat és nyílászáró felújítás</t>
  </si>
  <si>
    <t>Mártírok úti parkolóház építése</t>
  </si>
  <si>
    <t>Veszprém Aréna-Veszprém Sportuszoda közötti út építése</t>
  </si>
  <si>
    <t>Kék infrastruktúra</t>
  </si>
  <si>
    <t>Belterületi útfejlesztés</t>
  </si>
  <si>
    <t>Agóra Veszprém Kulturális Központ - Agóra tantermek kialakítása</t>
  </si>
  <si>
    <t>Infrastruktúra fejlesztési feladatokhoz kapcsolódó kiadások</t>
  </si>
  <si>
    <t>Kemecse utcában meglévő gyalogátkelő átalakítása</t>
  </si>
  <si>
    <t>Zirci utca gyalogátkelő tervezés</t>
  </si>
  <si>
    <t>Keleti Sportterület víz- és környezetrendezési hatástanulmány</t>
  </si>
  <si>
    <t>Nyugati fejlesztési terv víz- és környezetrendezés hatástanulmány</t>
  </si>
  <si>
    <t>Veszprémi Ringató és Csillag óvodák klímabeszerzése</t>
  </si>
  <si>
    <t>Városháza "A" épület nyílászáró csere</t>
  </si>
  <si>
    <t>Önkormányzati ingatlan energetikai célú felújítása</t>
  </si>
  <si>
    <t>Működési költségvetési kiadások</t>
  </si>
  <si>
    <t>Veszprémi Vadvirág Körzeti Óvoda</t>
  </si>
  <si>
    <t>Veszprémi Bóbita Körzeti Óvoda</t>
  </si>
  <si>
    <t>Veszprémi Csillag Úti Körzeti Óvoda</t>
  </si>
  <si>
    <t>Veszprémi Ringató Körzeti Óvoda</t>
  </si>
  <si>
    <t>Veszprémi Kastélykert Körzeti Óvoda</t>
  </si>
  <si>
    <t>Veszprémi Bölcsődei és Egészségügyi Alapellátási Integrált Intézmény</t>
  </si>
  <si>
    <t>Göllesz Viktor Fogyatékos Személyek Nappali Intézménye</t>
  </si>
  <si>
    <t>Veszprémi Családsegítő és Gyermekjóléti Integrált Intézmény</t>
  </si>
  <si>
    <t>Humanitárius katasztrófa miatt érkező menekültek ellátási (élelmezési) költségei</t>
  </si>
  <si>
    <t>Agóra Veszprém Kulturális Központ</t>
  </si>
  <si>
    <t>Művészetek Háza Veszprém Művelődési Ház és Kiállítóhely</t>
  </si>
  <si>
    <t>Laczkó Dezső Múzeum</t>
  </si>
  <si>
    <t>Kabóca Bábszínház</t>
  </si>
  <si>
    <t>Veszprémi Petőfi Színház</t>
  </si>
  <si>
    <t>Veszprémi Intézményi Szolgáltató Szervezet</t>
  </si>
  <si>
    <t>Beruházási kiadások</t>
  </si>
  <si>
    <t>átcsoportosítás önkormányzati lebonyolítású klímaberuházásokra</t>
  </si>
  <si>
    <t>Hársfa Tagóvoda</t>
  </si>
  <si>
    <t>Napsugár Bölcsőde</t>
  </si>
  <si>
    <t>Kisértékű tárgyi eszközök beszerzése (konyhai és szakmai eszközök)</t>
  </si>
  <si>
    <t>Udvari játék (Kisház kispaddal, pulttal)</t>
  </si>
  <si>
    <t>Hóvirág Bölcsőde</t>
  </si>
  <si>
    <t>Kisértékű tárgyi eszközök beszerzése (konyhai és szakmai eszközök, napvitorla)</t>
  </si>
  <si>
    <t>Udvari játék ("Játszótér - Little Tikes")</t>
  </si>
  <si>
    <t>Módszertani Bölcsőde</t>
  </si>
  <si>
    <t>Burgonyakoptató</t>
  </si>
  <si>
    <t>2 db udvari babaház</t>
  </si>
  <si>
    <t>Aprófalvi Bölcsőde</t>
  </si>
  <si>
    <t>Udvari fajáték (Bambini vonat - gőzös)</t>
  </si>
  <si>
    <t>Gyulafirátóti Bölcsőde</t>
  </si>
  <si>
    <t>Kisértékű tárgyi eszközök beszerzése (mobiltelefonok, irodabútor)</t>
  </si>
  <si>
    <t xml:space="preserve">Számítógép </t>
  </si>
  <si>
    <t>Könyvtári könyvek, egyéb doc. (CD, DVD stb.) jogszabályi előírás szerint</t>
  </si>
  <si>
    <t>Amerikai Kuckó (számítástechnikai eszközök, könyvek, hősugárzó, polc, asztal, szék, árnyékolóeszköz, szőnyeg, paraván)</t>
  </si>
  <si>
    <t>Üvegművészeti műtárgy vásárlása támogatásból</t>
  </si>
  <si>
    <t>Restaurátor eszközök megvásárlása támogatásból</t>
  </si>
  <si>
    <t>Kisértékű tárgyi eszközök beszerzése (porszívó, hűtőszekrény, kávéfőző, gőzállomás jelmezek kezelésére, nyári gumi, létra, fellépő, zászlók és zászlótartók, hangszerek előadáshoz)</t>
  </si>
  <si>
    <t>Színháztechnikai berendezések (pályázathoz kapcsolódó 110e Ft.)</t>
  </si>
  <si>
    <t>Arculati elemek</t>
  </si>
  <si>
    <t>Épület felirat</t>
  </si>
  <si>
    <t>Faültetés</t>
  </si>
  <si>
    <t>Adventi programok - fűtőpanelek, technikai eszközök</t>
  </si>
  <si>
    <t>Tárgyi eszköz beszerzés</t>
  </si>
  <si>
    <t>Honlap akadálymentesítés</t>
  </si>
  <si>
    <t>Mozgatható rámpa</t>
  </si>
  <si>
    <t>Hangtechnikai eszközök (Sennheiser SK 500 Mikroport zsebadó 10 db., DPA 4061 Microport kapszula 8 db., URSA strap Mikroport öv 19 db.)</t>
  </si>
  <si>
    <t>Gépkocsibeszerzések</t>
  </si>
  <si>
    <t>5 személyes személygépkocsi vásárlás</t>
  </si>
  <si>
    <t>7 személyes kisbusz vásárlás</t>
  </si>
  <si>
    <t>Office irodai programcsomag 22 db</t>
  </si>
  <si>
    <t>Céltartalékok</t>
  </si>
  <si>
    <t>Általános tartalék</t>
  </si>
  <si>
    <t>Finanszírozási kiadások</t>
  </si>
  <si>
    <t>Belföldi értékpapír vásárlása</t>
  </si>
  <si>
    <t>1. melléklet az 5/2024. (II.29.) önkormányzati rendelethez</t>
  </si>
  <si>
    <t>Veszprém Megyei Jogú Város Önkormányzatának</t>
  </si>
  <si>
    <t>2024. évi költségvetési bevételei</t>
  </si>
  <si>
    <t>C</t>
  </si>
  <si>
    <t>D</t>
  </si>
  <si>
    <t>E</t>
  </si>
  <si>
    <t>F</t>
  </si>
  <si>
    <t>G</t>
  </si>
  <si>
    <t>H</t>
  </si>
  <si>
    <t>I</t>
  </si>
  <si>
    <t>J</t>
  </si>
  <si>
    <t>K</t>
  </si>
  <si>
    <t>L</t>
  </si>
  <si>
    <t>Cím</t>
  </si>
  <si>
    <t>Alcím</t>
  </si>
  <si>
    <t xml:space="preserve">Előir. csop. </t>
  </si>
  <si>
    <t>Kie-melt előir.</t>
  </si>
  <si>
    <t>2022. évi              tény</t>
  </si>
  <si>
    <t>2023. évi eredeti előirányzat</t>
  </si>
  <si>
    <t>2023. évi tény</t>
  </si>
  <si>
    <t>2024. évi eredeti előirányzat</t>
  </si>
  <si>
    <t>2024. évi módosított előirányzat 5</t>
  </si>
  <si>
    <t>Módosítás</t>
  </si>
  <si>
    <t>2024. évi módosított előirányzat 6</t>
  </si>
  <si>
    <t>Működési költségvetési bevételek</t>
  </si>
  <si>
    <t>Működési célú támogatások Áht-on belülről</t>
  </si>
  <si>
    <t>Önkormányzatok működési támogatásai</t>
  </si>
  <si>
    <t>Helyi önkormányzatok működésének általános támogatása</t>
  </si>
  <si>
    <t>Települési önkormányzatok egyes köznevelési feladatainak támogatása</t>
  </si>
  <si>
    <t>Települési önkormányzatok egyes szociális és gyermekjóléti feladatainak támogatása</t>
  </si>
  <si>
    <t>Települési önkormányzatok gyermekétkeztetési feladatainak támogatása</t>
  </si>
  <si>
    <t>Települési önkormányzatok kulturális feladatainak támogatása</t>
  </si>
  <si>
    <t>Működési célú költségvetési támogatások és kiegészítő támogatások</t>
  </si>
  <si>
    <t>10 000 lakos feletti önkormányzatok energiaáremelkedés miatti támogatás</t>
  </si>
  <si>
    <t>Elszámolásból származó bevételek</t>
  </si>
  <si>
    <t>Egyéb működési célú támogatások bevételei</t>
  </si>
  <si>
    <t>ebből: Társadalombizt. Alapból származó támogatás</t>
  </si>
  <si>
    <t>1-17</t>
  </si>
  <si>
    <t>Önkormányzati Intézmények  működési célú támogatások Áht-on belülről</t>
  </si>
  <si>
    <t>Adók</t>
  </si>
  <si>
    <t>Építményadó</t>
  </si>
  <si>
    <t>Idegenforgalmi adó</t>
  </si>
  <si>
    <t>Kommunális adó</t>
  </si>
  <si>
    <t>Telekadó</t>
  </si>
  <si>
    <t>Egyéb pótlékok, bírságok</t>
  </si>
  <si>
    <t>Egyéb közhatalmi bevételek (bírságok, igazgatási szolgáltatási díjak)</t>
  </si>
  <si>
    <t>Környezetvédelmi Alap bevételei</t>
  </si>
  <si>
    <t>Fakivágási kompenzáció bevételei</t>
  </si>
  <si>
    <t>Polgármesteri Hivatal közhatalmi bevételei</t>
  </si>
  <si>
    <t>Működési bevételek</t>
  </si>
  <si>
    <t>Szolgáltatások, közvetített szolgáltatások ellenértéke</t>
  </si>
  <si>
    <t>Tulajdonosi bevételek</t>
  </si>
  <si>
    <t>ÁFA bevételek és visszatérülések</t>
  </si>
  <si>
    <t xml:space="preserve">Egyéb működési bevételek </t>
  </si>
  <si>
    <t>Önkormányzati Intézmények működési bevételek</t>
  </si>
  <si>
    <t>Működési célú átvett pénzeszközök</t>
  </si>
  <si>
    <t xml:space="preserve">           Menekültek megsegítésére nyújtott adomány</t>
  </si>
  <si>
    <t xml:space="preserve">           Környezetvédelmi Alap bevételei</t>
  </si>
  <si>
    <t>Felhalmozási költségvetési bevételek</t>
  </si>
  <si>
    <t>Felhalmozási célú támogatások Áht-on belülről</t>
  </si>
  <si>
    <t>Felhalmozási célú önkormányzati támogatások</t>
  </si>
  <si>
    <t>Egyéb felhalmozási célú támogatások bevételei</t>
  </si>
  <si>
    <t>Önkormányzati Intézmények felhalmozási célú támogatások Áht-on belülről</t>
  </si>
  <si>
    <t>Felhalmozási bevételek</t>
  </si>
  <si>
    <t>Ingatlanok értékesítése</t>
  </si>
  <si>
    <t>Önkormányzati Intézmények felhalmozási bevételei</t>
  </si>
  <si>
    <t>Felhalmozási célú átvett pénzeszközök</t>
  </si>
  <si>
    <t>Önkormányzati Intézmények felhalmozási célú átvett pénzeszközök</t>
  </si>
  <si>
    <t>Lakásalap</t>
  </si>
  <si>
    <t>Felhalmozási célú átvett pénzeszközök (kölcsönök visszatérülése)</t>
  </si>
  <si>
    <t>Költségvetési bevételek összesen</t>
  </si>
  <si>
    <t>Költségvetési egyenleg összege</t>
  </si>
  <si>
    <t>Finanszírozási bevételek</t>
  </si>
  <si>
    <t>Államháztartáson belüli megelőlegezések</t>
  </si>
  <si>
    <t>Belföldi értékpapír beváltása, értékesítése</t>
  </si>
  <si>
    <t>Költségvetési hiány belső finanszírozására szolgáló bevételek</t>
  </si>
  <si>
    <t>Működési célú költségvetési maradvány igénybevétele</t>
  </si>
  <si>
    <t>1-16</t>
  </si>
  <si>
    <t>Intézmények</t>
  </si>
  <si>
    <t>VMJV Polgármesteri Hivatala</t>
  </si>
  <si>
    <t>VMJV Önkormányzata</t>
  </si>
  <si>
    <t>Felhalmozási célú költségvetési maradvány igénybevétele</t>
  </si>
  <si>
    <t>17</t>
  </si>
  <si>
    <t>Költségvetési hiány külső finanszírozására szolgáló bevételek</t>
  </si>
  <si>
    <t>Beruházási hitelfelvétel</t>
  </si>
  <si>
    <t>Előző évi hitelszerződéseken alapuló felvétel</t>
  </si>
  <si>
    <t>Bevételi főösszeg</t>
  </si>
  <si>
    <t>2. melléklet az 5/2024. (II.29.) önkormányzati rendelethez</t>
  </si>
  <si>
    <t>2024. évi költségvetési kiadásai</t>
  </si>
  <si>
    <t xml:space="preserve">Cím  </t>
  </si>
  <si>
    <t xml:space="preserve">Kie-melt előir. </t>
  </si>
  <si>
    <t>Intézményi költségvetési kiadások</t>
  </si>
  <si>
    <t>Felhalmozási költségvetési kiadások</t>
  </si>
  <si>
    <t>Egyéb felhalmozási célú kiadások</t>
  </si>
  <si>
    <t>Felújítási kiadások</t>
  </si>
  <si>
    <t>18</t>
  </si>
  <si>
    <t>Működési célú céltartalékok</t>
  </si>
  <si>
    <t xml:space="preserve"> - Intézményi felmentési idő, jub.jut., végkielégítés és működési kiadások</t>
  </si>
  <si>
    <t xml:space="preserve"> - Választókerületi keret</t>
  </si>
  <si>
    <t xml:space="preserve"> - Működési kiadásokra képzett céltartalék </t>
  </si>
  <si>
    <t xml:space="preserve"> - Adóbevételekkel szembeni kötelezettség</t>
  </si>
  <si>
    <t xml:space="preserve"> - Közüzemi költségekre képzett céltartalék</t>
  </si>
  <si>
    <t xml:space="preserve"> - Környezetvédelmi Alap</t>
  </si>
  <si>
    <t xml:space="preserve"> - Zöldfelületek minőségi megőrzésének kiadásaira (fakivágási kompenzáció)</t>
  </si>
  <si>
    <t xml:space="preserve"> - Településrendezési szerződésből befolyt összeg</t>
  </si>
  <si>
    <t>Felhalmozási célú céltartalékok</t>
  </si>
  <si>
    <t xml:space="preserve"> - Projekt kiadásokhoz kapcsolódó céltartalék</t>
  </si>
  <si>
    <t xml:space="preserve"> - Beruházási kiadásokra képzett céltartalék/lakásalap                     </t>
  </si>
  <si>
    <t xml:space="preserve"> - Beruházási kiadásokra képzett céltartalék</t>
  </si>
  <si>
    <t xml:space="preserve"> - Víziközmű fejlesztés</t>
  </si>
  <si>
    <t>Lakásalap kiadása</t>
  </si>
  <si>
    <t>Költségvetési kiadások összesen</t>
  </si>
  <si>
    <t>Működési finanszírozási kiadások</t>
  </si>
  <si>
    <t>Államháztartáson belüli megelőlegezések visszafizetése</t>
  </si>
  <si>
    <t>Felhalmozási finanszírozási kiadások</t>
  </si>
  <si>
    <t xml:space="preserve"> - Hiteltörlesztés</t>
  </si>
  <si>
    <t xml:space="preserve"> - Lakásalap hiteltörlesztése</t>
  </si>
  <si>
    <t>Kiadási főösszeg</t>
  </si>
  <si>
    <t>3. melléklet az 5/2024. (II.29.) önkormányzati rendelethez</t>
  </si>
  <si>
    <t>Veszprém Megyei Jogú Város Önkormányzata Intézményei</t>
  </si>
  <si>
    <t>M</t>
  </si>
  <si>
    <t>N</t>
  </si>
  <si>
    <t>O</t>
  </si>
  <si>
    <t>P</t>
  </si>
  <si>
    <t>2022. évi tény</t>
  </si>
  <si>
    <t>2024. évi bevételi előirányzat</t>
  </si>
  <si>
    <t>Előző évi  költségvetési maradvány</t>
  </si>
  <si>
    <t>Irányító szervtől kapott támogatás</t>
  </si>
  <si>
    <t>Működési célú támogatás Áht-on belülről</t>
  </si>
  <si>
    <t>Működési célú átvett pénzeszköz</t>
  </si>
  <si>
    <t>Felhalmozási bevétel</t>
  </si>
  <si>
    <t>Felhalmozási célú támogatás Áht.-on belülről</t>
  </si>
  <si>
    <t>Felhalmozási célú átvett pénzeszköz</t>
  </si>
  <si>
    <r>
      <rPr>
        <i/>
        <u/>
        <sz val="10"/>
        <rFont val="Palatino Linotype"/>
        <family val="1"/>
        <charset val="238"/>
      </rPr>
      <t>Ebből</t>
    </r>
    <r>
      <rPr>
        <i/>
        <sz val="10"/>
        <rFont val="Palatino Linotype"/>
        <family val="1"/>
        <charset val="238"/>
      </rPr>
      <t>: költségvetési támogatás</t>
    </r>
  </si>
  <si>
    <t>(Csillagvár Waldorf Tagóvoda, Vadvirág Óvoda)</t>
  </si>
  <si>
    <t>eredeti előirányzat</t>
  </si>
  <si>
    <t>módosított előirányzat 5</t>
  </si>
  <si>
    <t xml:space="preserve">módosítás- </t>
  </si>
  <si>
    <t>módosított előirányzat 6</t>
  </si>
  <si>
    <t xml:space="preserve">Veszprémi Bóbita Körzeti Óvoda </t>
  </si>
  <si>
    <t>(Hársfa Tagóvoda, Bóbita Óvoda)</t>
  </si>
  <si>
    <t>(Ringató Óvoda, Erdei Tagóvoda, Kuckó Tagóvoda)</t>
  </si>
  <si>
    <t>módosítás- átcsoportosítás önkormányzati lebonyolítású klímaberuházásokra</t>
  </si>
  <si>
    <t>Veszprémi Egry úti Körzeti Óvoda</t>
  </si>
  <si>
    <t>(Egry ltp. Óvoda, Nárcisz Tagóvoda)</t>
  </si>
  <si>
    <t>módosítás- Német Nemzetiségi Önkormányzat támogatása</t>
  </si>
  <si>
    <t>Veszprémi Csillag úti Körzeti Óvoda</t>
  </si>
  <si>
    <t>(Csillag úti Óvoda, Cholnoky ltp. Óvoda)</t>
  </si>
  <si>
    <t>(Kastélykert Óvoda, Ficánka Óvoda)</t>
  </si>
  <si>
    <t>Óvodák összesen:</t>
  </si>
  <si>
    <t>módosítás-</t>
  </si>
  <si>
    <t>módosítás- Szociális ágazati összevont pótlék (2024. október hó - 2024. november hó)</t>
  </si>
  <si>
    <t>Kórháznak továbbszámlázott rezsi bevétele</t>
  </si>
  <si>
    <t>NEAK finanszírozás</t>
  </si>
  <si>
    <t>Szakképzési hozzájárulás</t>
  </si>
  <si>
    <t>Slachta Margit Nemzeti Szociálpolitikai Intézet - fejlesztő foglalkoztatás támogatása</t>
  </si>
  <si>
    <t>bevételi többlet</t>
  </si>
  <si>
    <r>
      <rPr>
        <b/>
        <sz val="10"/>
        <rFont val="Palatino Linotype"/>
        <family val="1"/>
        <charset val="238"/>
      </rPr>
      <t xml:space="preserve">TOP – 7.1.1-16-H-ESZA-2019-01192 </t>
    </r>
    <r>
      <rPr>
        <sz val="10"/>
        <rFont val="Palatino Linotype"/>
        <family val="1"/>
        <charset val="238"/>
      </rPr>
      <t>A családra mint a társadalom alapegységére építő komplex programok</t>
    </r>
  </si>
  <si>
    <t>Egészségügyi és szociális intézmények összesen:</t>
  </si>
  <si>
    <t xml:space="preserve">Agóra Veszprém Kulturális Központ </t>
  </si>
  <si>
    <t>módosítás- bevételi többlet</t>
  </si>
  <si>
    <t>Forrás átadás önkormányzati beruházási feladatokra - tantermek kialakítása</t>
  </si>
  <si>
    <r>
      <rPr>
        <b/>
        <sz val="10"/>
        <rFont val="Palatino Linotype"/>
        <family val="1"/>
        <charset val="238"/>
      </rPr>
      <t>TOP – 6.9.2 -16-VP1-2018-00001</t>
    </r>
    <r>
      <rPr>
        <sz val="10"/>
        <rFont val="Palatino Linotype"/>
        <family val="1"/>
        <charset val="238"/>
      </rPr>
      <t xml:space="preserve"> Közösségfejlesztés Veszprém város településrészein</t>
    </r>
  </si>
  <si>
    <r>
      <rPr>
        <b/>
        <sz val="10"/>
        <rFont val="Palatino Linotype"/>
        <family val="1"/>
        <charset val="238"/>
      </rPr>
      <t>TOP – 7.1.1-16-H-ESZA-2019-01202</t>
    </r>
    <r>
      <rPr>
        <sz val="10"/>
        <rFont val="Palatino Linotype"/>
        <family val="1"/>
        <charset val="238"/>
      </rPr>
      <t xml:space="preserve"> "Élmény, közösség, tudás" családi programok az Agórával</t>
    </r>
  </si>
  <si>
    <t>módosítás- NKA pályázati támogatások, EKF pályázati támogatás elszámolás</t>
  </si>
  <si>
    <r>
      <rPr>
        <b/>
        <sz val="10"/>
        <rFont val="Palatino Linotype"/>
        <family val="1"/>
        <charset val="238"/>
      </rPr>
      <t xml:space="preserve">TOP-7.1.1-16-H-ESZA-2020-01437 </t>
    </r>
    <r>
      <rPr>
        <sz val="10"/>
        <rFont val="Palatino Linotype"/>
        <family val="1"/>
        <charset val="238"/>
      </rPr>
      <t>HangSzín/zene-kép-alkotás</t>
    </r>
  </si>
  <si>
    <t>módosítás- NKA pályázati támogatások (OKN, helyismereti tábor, restaurálás)</t>
  </si>
  <si>
    <t>Amerikai Kuckó támogatása</t>
  </si>
  <si>
    <t>módosítás- áfa visszatérülés</t>
  </si>
  <si>
    <t>Bándi Önkormányzat, Német Nemzetiségi Önkormányzat támogatása Essegvár ásatáshoz</t>
  </si>
  <si>
    <t>LDM Múzeumi Alapítvány támogatása rendezvényre</t>
  </si>
  <si>
    <t>ERASMUS+ Program</t>
  </si>
  <si>
    <r>
      <rPr>
        <b/>
        <sz val="10"/>
        <rFont val="Palatino Linotype"/>
        <family val="1"/>
        <charset val="238"/>
      </rPr>
      <t xml:space="preserve">TOP-7.1.1-16-H-ESZA-202-01419 </t>
    </r>
    <r>
      <rPr>
        <sz val="10"/>
        <rFont val="Palatino Linotype"/>
        <family val="1"/>
        <charset val="238"/>
      </rPr>
      <t>Veszprém Vár múltjának interaktív bemutatása</t>
    </r>
  </si>
  <si>
    <t>Népi építészeti Program - Bakonyi Ház megújítása</t>
  </si>
  <si>
    <t>módosítás- jegy és bérletbevétel</t>
  </si>
  <si>
    <t>gépkocsi értékesítés</t>
  </si>
  <si>
    <t>Közcélú és közhasznú foglalkoztatás</t>
  </si>
  <si>
    <r>
      <rPr>
        <b/>
        <sz val="10"/>
        <rFont val="Palatino Linotype"/>
        <family val="1"/>
        <charset val="238"/>
      </rPr>
      <t xml:space="preserve">TOP-7.1.1-16-H-ESZA-2020-01214 </t>
    </r>
    <r>
      <rPr>
        <sz val="10"/>
        <rFont val="Palatino Linotype"/>
        <family val="1"/>
        <charset val="238"/>
      </rPr>
      <t>A város mint otthon és óriási játszótér (Kult.-műv.i kapacitások fejl. a Kabóca Bábszínházban)</t>
    </r>
  </si>
  <si>
    <t>módosítás- bevételi többlet, NKA pályázati támogatások</t>
  </si>
  <si>
    <t>Kulturális és közművelődési intézmények összesen:</t>
  </si>
  <si>
    <t>INTÉZMÉNYEK ÖSSZESEN:</t>
  </si>
  <si>
    <t>VMJV Polgármesteri Hivatal által ellátott kötelező és önként vállalt feladatok</t>
  </si>
  <si>
    <t>módosítás-  átcsoportosítás önkormányzati feladatokról</t>
  </si>
  <si>
    <t>MINDÖSSZESEN:</t>
  </si>
  <si>
    <t>4. melléklet az 5/2024. (II.29.) önkormányzati rendelethez</t>
  </si>
  <si>
    <t>Feladatellátás jellege*</t>
  </si>
  <si>
    <t>2024. évi kiadási előirányzat</t>
  </si>
  <si>
    <t>Személyi juttatások</t>
  </si>
  <si>
    <t>Munk.a. terh. jár. és szoc.hj.adó</t>
  </si>
  <si>
    <t>Dologi kiadások</t>
  </si>
  <si>
    <t>Ellátottak pénzbeli juttatásai</t>
  </si>
  <si>
    <t>Egyéb működési kiadások</t>
  </si>
  <si>
    <t>módosítás- átcsoportosítás</t>
  </si>
  <si>
    <t>módosítás- Német Nemzetiségi Önkormányzat támogatása, valamint egyéb átcsoportosítás</t>
  </si>
  <si>
    <t>bevételi többlet, egyéb átcsoportosítás</t>
  </si>
  <si>
    <t>átcsoportosítás</t>
  </si>
  <si>
    <t>bevételi többletből</t>
  </si>
  <si>
    <r>
      <rPr>
        <b/>
        <sz val="10"/>
        <rFont val="Palatino Linotype"/>
        <family val="1"/>
        <charset val="238"/>
      </rPr>
      <t>TOP-7-1-16H-ESZA-2019-01192</t>
    </r>
    <r>
      <rPr>
        <sz val="10"/>
        <rFont val="Palatino Linotype"/>
        <family val="1"/>
        <charset val="238"/>
      </rPr>
      <t xml:space="preserve"> A családra mint a társadalom alapegységére építő komplex programok</t>
    </r>
  </si>
  <si>
    <t>módosítás- bevételi többletből</t>
  </si>
  <si>
    <r>
      <rPr>
        <b/>
        <sz val="10"/>
        <rFont val="Palatino Linotype"/>
        <family val="1"/>
        <charset val="238"/>
      </rPr>
      <t xml:space="preserve">TOP-7.1.1-16-H-ESZA-2019-01202 </t>
    </r>
    <r>
      <rPr>
        <sz val="10"/>
        <rFont val="Palatino Linotype"/>
        <family val="1"/>
        <charset val="238"/>
      </rPr>
      <t>"Élmény, közösség, tudás" családi programok az Agórával</t>
    </r>
  </si>
  <si>
    <t xml:space="preserve">módosítás- áfa visszatérülésből, támogatásokból </t>
  </si>
  <si>
    <t>NK</t>
  </si>
  <si>
    <t>módosítás- bevételi többletből, egyéb átcsoportosítás</t>
  </si>
  <si>
    <t>Igazgatási tevékenység</t>
  </si>
  <si>
    <t>ebből: - Európa Kulturális Főváros XX. ütem</t>
  </si>
  <si>
    <t>Gondnokság</t>
  </si>
  <si>
    <t>módosítás- átcsoportosítás önkormányzati feladatokról</t>
  </si>
  <si>
    <t>Informatikai kiadások</t>
  </si>
  <si>
    <t>Európa Kulturális Fővárosa XXXIV. ütem</t>
  </si>
  <si>
    <t>Európa Kulturális Fővárosa XLIII. ütem</t>
  </si>
  <si>
    <t>TOP Plusz 1.3-1-21_VEI_2022-00002 Veszprém város fenntartható városfejlesztési stratégiái</t>
  </si>
  <si>
    <t>Európa Kulturális Fővárosa XLIV. ütem</t>
  </si>
  <si>
    <t>Európa Kulturális Fővárosa XLV. ütem</t>
  </si>
  <si>
    <t>Európa Kulturális Fővárosa XLVII. ütem</t>
  </si>
  <si>
    <t>Európa Kulturális Fővárosa XLIX. ütem</t>
  </si>
  <si>
    <t>Európa Kulturális Fővárosa LVIII. ütem</t>
  </si>
  <si>
    <t>Európa Kulturális Fővárosa LIV. ütem</t>
  </si>
  <si>
    <t>Európa Kulturális Fővárosa LI. ütem</t>
  </si>
  <si>
    <t>Európa Kulturális Fővárosa LXII. ütem</t>
  </si>
  <si>
    <t>Urbact fenntartható városfejlesztési hálózat IV. "BiodiverCity" - városi biológiai sokféleség megőrzése, minőségi támogatása és fejlesztése - dologi kiadások</t>
  </si>
  <si>
    <t>Urbact fenntartható városfejlesztési hálózat IV. "NextGen Youth Work" - ifjúságszakmai fejlesztések a fiatalok bevonásának és a digitalizáció előnyeinek tudatosítás és kihasználása az ifjúsági munkások körében - dologi kiadások</t>
  </si>
  <si>
    <t>Európa Kulturális Fővárosa LXIV. ütem</t>
  </si>
  <si>
    <t>2024. évi európai parlamenti, helyi önkormányzati és nemzetiségi önkormányzati választások lebonyolítása</t>
  </si>
  <si>
    <t>Interreg Danube NONA</t>
  </si>
  <si>
    <t>Interreg Europa RROXIMITIES</t>
  </si>
  <si>
    <t>EKF 2024 kísérőproramjai és utókommunikációja</t>
  </si>
  <si>
    <t>Európa Kulturális Fővárosa V. ütem</t>
  </si>
  <si>
    <t>Ister DTP Interreg Projekt</t>
  </si>
  <si>
    <t>Népszámlálás 2022.</t>
  </si>
  <si>
    <t xml:space="preserve">Európai Fenntartható Városfejlesztési Hálózat "Global Goals for Cities" Urbact III. </t>
  </si>
  <si>
    <t>Európa Kulturális Fővárosa VIII. ütem</t>
  </si>
  <si>
    <t>Európa Kulturális Fővárosa XII. ütem</t>
  </si>
  <si>
    <t>Európa Kulturális Fővárosa XIII. ütem</t>
  </si>
  <si>
    <t>Európa Kulturális Fővárosa XIV. ütem</t>
  </si>
  <si>
    <t>2022. évi Országgyűlési képviselők választása és népszavazás</t>
  </si>
  <si>
    <t>Európa Kulturális Fővárosa XV. ütem</t>
  </si>
  <si>
    <t>Európa Kulturális Fővárosa XVI. ütem</t>
  </si>
  <si>
    <t>Európa Kulturális Fővárosa XVII. ütem</t>
  </si>
  <si>
    <t>Európa Kulturális Fővárosa XVIII. ütem</t>
  </si>
  <si>
    <t>Európa Kulturális Fővárosa XIX. ütem</t>
  </si>
  <si>
    <t>Európa Kulturális Fővárosa XXI. ütem</t>
  </si>
  <si>
    <t>Európa Kulturális Fővárosa XXIII. ütem</t>
  </si>
  <si>
    <t>Európa Kulturális Fővárosa XXV. ütem</t>
  </si>
  <si>
    <t>Európa Kulturális Fővárosa XXVII. ütem</t>
  </si>
  <si>
    <t>Európa Kulturális Fővárosa XXVIII. ütem</t>
  </si>
  <si>
    <t>Európa Kulturális Fővárosa XXIX. ütem</t>
  </si>
  <si>
    <t>Európa Kulturális Fővárosa XXX. ütem</t>
  </si>
  <si>
    <t>Európa Kulturális Fővárosa XXXVI. ütem</t>
  </si>
  <si>
    <t>Európa Kulturális Fővárosa XXXVIII. ütem</t>
  </si>
  <si>
    <t>Európa Kulturális Fővárosa XL ütem</t>
  </si>
  <si>
    <t>Európa Kulturális Fővárosa XLII. ütem</t>
  </si>
  <si>
    <t>Európa Kulturális Fővárosa XLVI. ütem</t>
  </si>
  <si>
    <t>Európa Kulturális Fővárosa XLVIII. ütem</t>
  </si>
  <si>
    <t>Európa Kulturális Fővárosa LVII. ütem</t>
  </si>
  <si>
    <t>Európa Kulturális Fővárosa LII. ütem</t>
  </si>
  <si>
    <t>Európa Kulturális Fővárosa XXXIII. ütem</t>
  </si>
  <si>
    <t>Európa Kulturális Fővárosa L. ütem</t>
  </si>
  <si>
    <t>VMJV Polgármesteri Hivatal összesen:</t>
  </si>
  <si>
    <t>Ebből:</t>
  </si>
  <si>
    <t>Önkormányzati kötelező feladatokat ellátó intézmények összesen</t>
  </si>
  <si>
    <t>Önkormányzat által önként vállalt feladatokat ellátó intézmények összesen</t>
  </si>
  <si>
    <t>VMJV Polgármesteri Hivatal által ellátott kötelező és államigazgatási feladatok összesen</t>
  </si>
  <si>
    <t>* Feladatellátás jellege:</t>
  </si>
  <si>
    <t>K= Magyarország helyi önkormányzatairól szóló 2011. évi CLXXXIX. törvény 13. § (1) bekezdése szerinti kötelező feladatok</t>
  </si>
  <si>
    <t>NK= Önkormányzat által önként vállalt feladatok</t>
  </si>
  <si>
    <t>5. melléklet az 5/2024. (II.29.) önkormányzati rendelethez</t>
  </si>
  <si>
    <t>2024. évi felhalmozási költségvetési kiadásainak előirányzata</t>
  </si>
  <si>
    <t>Feladatellátás jellege</t>
  </si>
  <si>
    <t>2022. évi           tény</t>
  </si>
  <si>
    <t>2023. évi     tény</t>
  </si>
  <si>
    <t>2024. évi  eredeti előirányzat</t>
  </si>
  <si>
    <t>Kisértékű tárgyi eszközök beszerzése (szőnyegek, laptopok, mobil és vonalas telefonkészülékek, hordozható magnók, NAS adatvédelmi informatikai rendszer)</t>
  </si>
  <si>
    <t>Játszótéri gumiszőnyeg</t>
  </si>
  <si>
    <t>Csillagvár Waldorf Tagóvoda</t>
  </si>
  <si>
    <t>Kisértékű tárgyi eszközök beszerzése (létra, mobiltelefon, NAS adatvédelmi informatikai rendszer)</t>
  </si>
  <si>
    <t>Napvitorla tartozékokkal</t>
  </si>
  <si>
    <t>Karos napvédő ablakra</t>
  </si>
  <si>
    <t>Kisértékű tárgyi eszközök beszerzése (szőnyeg, gyerekasztal, gyerekszék, gyerekfektető és tartó, bútor csoportszobákba, fűnyíró, ütvefúró, fejlesztő játékok, lombfújó, szegélynyíró, tornatermi felszerelések, ütéscsillapító burkolat, informatikai eszközök íróasztal, irodai székek, laptop, projektor, karnis szúnyogháló, tálcakocsi, TV, gurulós TV tartó állvány, függöny, rozsdamentes szekrény, függőmappa tároló szekrény, mikrohullámú sütő, salgó polc, vákuumozó, akkumulátoros ceruzahegyező, mobiltelefon, mikroport, JBL Partybox hangfal)</t>
  </si>
  <si>
    <t>2.vk. Támogatása - Veszprémi Bóbita Körzeti Óvoda - gyermek homokozók árnyékolásának megvalósítása, bejáratok fölé előtetők szerelése</t>
  </si>
  <si>
    <t>Kisértékű tárgyi eszközök beszerzése (gyerekasztal, gyerekszék, bútor csoportszobába, szőnyeg, karnis, szalagfüggöny, fejlesztő játékok, informatikai eszközök, irodai székek, tornaszobai felszerelések, lombfújó, szőnyeg, textilroló, íróasztal, saválló asztal, festményszárító állvány, szegélynyíró, rozsdamentes munkaasztal, vákuumozó, személymérleg, konyhai mérleg, akkumulátoros ceruzahegyező, konyhai mérleg, személy mérleg, partybox hangfal, mikrofon)</t>
  </si>
  <si>
    <t>10.vk. Hársfa Tagóvoda támogatása - focipálya felújítás (műfűvezés)</t>
  </si>
  <si>
    <t>Focipálya műfűvezés</t>
  </si>
  <si>
    <t>Kisértékű tárgyi eszközök beszerzése (Krumplikoptató, tornatermi eszközök, laminálógép, botmixer, szeletelőgép, irodabútorok, iratmegsemmisítő, tornatermi eszközök, játékok, konyhai eszközök, kávéfőző,)</t>
  </si>
  <si>
    <t>Informatikai eszközök (számítógép, switch, laptop)</t>
  </si>
  <si>
    <t>Klíma berendezések</t>
  </si>
  <si>
    <t>Digitális fejlesztő játék</t>
  </si>
  <si>
    <t xml:space="preserve"> Erdei és Kuckó Tagóvoda</t>
  </si>
  <si>
    <t>Kisértékű tárgyi eszközök beszerzése (konyhai eszközök, tornatermi eszközök, játékok)</t>
  </si>
  <si>
    <t>Kisértékű tárgyi eszközök beszerzése (bútorok, konyhai eszközök)</t>
  </si>
  <si>
    <t>Informatikai eszközök</t>
  </si>
  <si>
    <t>Fűnyíró</t>
  </si>
  <si>
    <t>Robot porszívó</t>
  </si>
  <si>
    <t>Ruha állvány</t>
  </si>
  <si>
    <t>JBL hangszóró</t>
  </si>
  <si>
    <t>Nárcisz Tagóvoda</t>
  </si>
  <si>
    <t>Kisértékű tárgyi eszközök beszerzése (irodai szék, szőnyeg, telefon, ruhaszárító, mozgásfejlesztő játékok)</t>
  </si>
  <si>
    <t>Udvari játéktároló</t>
  </si>
  <si>
    <t>Kisértékű tárgyi eszközök beszerzése (hűtőszekrény)</t>
  </si>
  <si>
    <t>Informatikai eszközök beszerzése (szünetmentes táp, multifunkcionális nyomtató, Wifi csatlakozási pont UNIFI UapAclr)</t>
  </si>
  <si>
    <t>Beépített szekrénysor</t>
  </si>
  <si>
    <t>Hűtő-Fűtő klímaberendezések</t>
  </si>
  <si>
    <t>Bútorok beszerzése (gyermekasztalok, gyermekszékek, beépített szekrénysor, fotelek, szakmai eszközök, játékok csoportok részére)</t>
  </si>
  <si>
    <t>Cholnoky Jenő Ltp. Tagóvoda</t>
  </si>
  <si>
    <t xml:space="preserve">Kisértékű tárgyi eszközök beszerzése </t>
  </si>
  <si>
    <t>Informatikai eszközök beszerzése (NAXCH hálózati adattároló, Wifi csatlakozási pont UNIFI UapAclr, Switch)</t>
  </si>
  <si>
    <t>Kisértékű tárgyi eszközök beszerzése  (mobiltelefonok, spirálozó, többfunkciós robotgép, szeletelőgép, kapaszkodó, nyomtató, irodai székek, szünetmentes tápegységek, tornagerenda, fűkasza, szekrények, polcok, mikruhullámú sütők, logopédiai tükör)</t>
  </si>
  <si>
    <t>Ünnepi viselet rendezvényekre</t>
  </si>
  <si>
    <t>Laptopok (ovikréta)</t>
  </si>
  <si>
    <t>Ficánka Tagóvoda</t>
  </si>
  <si>
    <t>Kisértékű tárgyi eszközök beszerzése (szünetmentes tápegység)</t>
  </si>
  <si>
    <t>Ponyvás pergola teraszfedéshez</t>
  </si>
  <si>
    <t>Laptop (ovikréta)</t>
  </si>
  <si>
    <t>Wifi rendszer kiépítése</t>
  </si>
  <si>
    <t>8.vk. Hóvirág Bölcsőde számára száraz-nedves porszívó és porzsákok beszerzésére</t>
  </si>
  <si>
    <t>Vackor Bölcsőde</t>
  </si>
  <si>
    <t>3 db. Udvari fajáték (kisvonat)</t>
  </si>
  <si>
    <t>Eü. Alapellátás</t>
  </si>
  <si>
    <t>Iskolavédőnők, iskolaorvosok, háziorvosi praxisok</t>
  </si>
  <si>
    <t xml:space="preserve">Szűrőaudiométer </t>
  </si>
  <si>
    <t>Nyomtató</t>
  </si>
  <si>
    <t xml:space="preserve">Forgószék </t>
  </si>
  <si>
    <t>Visus tábla (Kettesy-féle)</t>
  </si>
  <si>
    <t>Kis asztal székekkel váróba</t>
  </si>
  <si>
    <t>Kártyaolvasó</t>
  </si>
  <si>
    <t>Hűtőszekrény</t>
  </si>
  <si>
    <t xml:space="preserve">Mosható szék betegek részére </t>
  </si>
  <si>
    <t>Kisértékű tárgyi eszközök beszerzése (szakmai eszközök, bútorok, hulladékgyűjtő)</t>
  </si>
  <si>
    <t>15. sz. háziorvosi körzetbe bútorzat és informatikai eszközök, valamint Komakút téri fogorvosi rendelőkbe fogászati gépek beszerzése</t>
  </si>
  <si>
    <t xml:space="preserve">Halle u. 5. Dr. Steinhof Gábor </t>
  </si>
  <si>
    <t xml:space="preserve">4 üléses várótermi pad </t>
  </si>
  <si>
    <t xml:space="preserve">Cserhát ltp 1. Dr. Mészáros Adél </t>
  </si>
  <si>
    <t>Mosható szék, betegek részére</t>
  </si>
  <si>
    <t xml:space="preserve"> Március 15. u. Dr. Mántó István</t>
  </si>
  <si>
    <t>Orvosi íróasztal</t>
  </si>
  <si>
    <t>Nővér íróasztal</t>
  </si>
  <si>
    <t>Forgószék</t>
  </si>
  <si>
    <t>Kartoték szekrény 2x5 fiókos</t>
  </si>
  <si>
    <t>Kisértékű tárgyi eszközök beszerzése (Irodabútorok)</t>
  </si>
  <si>
    <t>Kisértékű tárgyi eszköz vásárlás Pápai út 37.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</si>
  <si>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Kisértékű tárgyi eszköz vásárlás Mikszáth Kálmán u. 13.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</si>
  <si>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Kisértékű tárgyi eszköz vásárlás Rózsa u. 48.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</si>
  <si>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Új tűzjelző rendszer kiépítése a Mikszáth u. 13. székhelyen</t>
  </si>
  <si>
    <t xml:space="preserve">Néptánc pályázati támogatás (mikrofon), NKA </t>
  </si>
  <si>
    <t>Kültéri hangosító rendszer</t>
  </si>
  <si>
    <t>1.vk. Kádártai Faluház támogatása - ping-pong asztal és csocsó asztal beszerzése</t>
  </si>
  <si>
    <r>
      <rPr>
        <b/>
        <sz val="10"/>
        <rFont val="Palatino Linotype"/>
        <family val="1"/>
        <charset val="238"/>
      </rPr>
      <t>TOP – 6.9.2 -16-VP1-2018-0000</t>
    </r>
    <r>
      <rPr>
        <sz val="10"/>
        <rFont val="Palatino Linotype"/>
        <family val="1"/>
        <charset val="238"/>
      </rPr>
      <t>1 Közösségfejlesztés Veszprém város településrészein</t>
    </r>
  </si>
  <si>
    <t>Veszprém Balaton 2023 Zrt. - EKF - II. Jutas Piknik pályázati támogatás (babzsákfotelek, öltözősátrak, router)</t>
  </si>
  <si>
    <t>Veszprém Balaton 2023 Zrt. - EKF Turisztikai Látogatóbarát Pályázat (hulladékgyűjtő, televízió, tablet, gyermek és családsegítő eszközök, kiállítási eszközök, zöld sarok kiállítás eszközök)</t>
  </si>
  <si>
    <t>Veszprém Balaton 2023 Zrt. - EKF támogatás - Jutas piknik III. eszköz</t>
  </si>
  <si>
    <t>Veszprém Balaton 2023. Zrt. - EKF támogatás - Nemzetiségi fesztivál -DCI gép, Gizella óriásbábok, fényfüzér</t>
  </si>
  <si>
    <t>Néptánc pályázati támogatás (projektor)</t>
  </si>
  <si>
    <t>Tárgyi eszközök beszerzése (mosó és szárítógép, íróasztal, szekrény)</t>
  </si>
  <si>
    <r>
      <rPr>
        <b/>
        <sz val="10"/>
        <rFont val="Palatino Linotype"/>
        <family val="1"/>
        <charset val="238"/>
      </rPr>
      <t>TOP-7.1.1-16-H-ESZA-2020-01437</t>
    </r>
    <r>
      <rPr>
        <sz val="10"/>
        <rFont val="Palatino Linotype"/>
        <family val="1"/>
        <charset val="238"/>
      </rPr>
      <t xml:space="preserve"> HangSzín/zene-kép-alkotás</t>
    </r>
  </si>
  <si>
    <t>,</t>
  </si>
  <si>
    <t>Veszprém Balaton 2023 Zrt. - EKF támogatás (Simoga projekt)</t>
  </si>
  <si>
    <t>Veszprém Balaton 2023 Zrt. - EKF támogatás (Fixir projekt)</t>
  </si>
  <si>
    <t>Informatikai eszközök beszerzése (monitor, router, switch, notebook, asztali számítógép)</t>
  </si>
  <si>
    <t>Veszprém Balaton 2023 Zrt. - EKF támogatás (8x8 projekt)</t>
  </si>
  <si>
    <t>Magyar Turisztikai Szövetség Alapítvány támogatása (TV-k, kivetítők, telefonok)</t>
  </si>
  <si>
    <t>R. Kiss Lenke plasztikái</t>
  </si>
  <si>
    <t>Auer Ház berendezése, bebútorozása</t>
  </si>
  <si>
    <t>Telegdi Balázs Wrapped Forms X. című műalkotás megvásárlása</t>
  </si>
  <si>
    <t>Szövőkeret - NKA pályázati támogatásból</t>
  </si>
  <si>
    <t>Megyei Könyvtár kistelepülési könyvtári és közművelődési célú kiegészítő állami támogatás (informatikai, tárgyi eszközök, könyvtári dokumentumok)</t>
  </si>
  <si>
    <t>Országos Dokumentumellátó Rendszer eszközbeszerzés (könyvtári könyvek beszerzése)</t>
  </si>
  <si>
    <t>Informatikai eszközök beszerzése (számítógép, laptop, szkenner, RFID olvasó könyvtárosi munkaállomás)</t>
  </si>
  <si>
    <t>Tárgyi eszköz beszerzés (irodai forgószék, könyvtárosi munkaállomás, porszívó, vonalkód leolvasó, lamináló, vaku, hangfal, polc, fogas. Létra, kerékpártároló, polc, lapvágó, diavetítő, hangfal, állvány, térképszekrény)</t>
  </si>
  <si>
    <t>Informatikai eszközbeszerzés érdekeltségnövelő támogatásból</t>
  </si>
  <si>
    <r>
      <rPr>
        <b/>
        <sz val="10"/>
        <rFont val="Palatino Linotype"/>
        <family val="1"/>
        <charset val="238"/>
      </rPr>
      <t xml:space="preserve">TOP – 6.9.2 -16-VP1-2018-00001 </t>
    </r>
    <r>
      <rPr>
        <sz val="10"/>
        <rFont val="Palatino Linotype"/>
        <family val="1"/>
        <charset val="238"/>
      </rPr>
      <t>Közösségfejlesztés Veszprém város településrészein</t>
    </r>
  </si>
  <si>
    <t>Veszprém Balaton 2023 Zrt. -Radio Freguency Identification rendszer - eszközbeszerzés</t>
  </si>
  <si>
    <t>Veszprém Balaton 2023 Zrt. pályázat - család- és látogatóbarát eszközbeszerzés</t>
  </si>
  <si>
    <t>SIP2 szolgáltatás Aleph integrált rendszer kiegészítés</t>
  </si>
  <si>
    <t>Veszprém Balaton 2023 Zrt. Pályázat - Lovagterem pályázat</t>
  </si>
  <si>
    <t>Tárgyi eszközök beszerzése (homokfúvó kompresszor elektromos bekötés kiépítése, esztergapad másoló berendezéssel, ipari biztonsági porelszívó, fényképezőgép, laborbútorok)</t>
  </si>
  <si>
    <t>Számítástechnikai eszközök beszerzése, grafikai program csomag</t>
  </si>
  <si>
    <t>Kisértékű tárgyi eszközök beszerzése</t>
  </si>
  <si>
    <t>Veszprém Balaton 2023 Zrt. Támogatás - látogatóbarát eszközök beszerzése</t>
  </si>
  <si>
    <t>Veszprém Balaton 2023 Zrt. Támogatás - Egry József 140 III. ütem eszközök beszerzése</t>
  </si>
  <si>
    <t>Sétány fogadótér bútorzata</t>
  </si>
  <si>
    <t>Veszprém Balaton 2023 Zrt. Támogatás - "Emlékgép" Állandó kiállítás (vitrinek, bútorok, hardver eszközök, fényképezőgép, Szamizdat hagyaték, kisértékű restaurátor eszközök, jogdíjak, közlési díjak)</t>
  </si>
  <si>
    <t>Ablakcsere a szakkönyvtárban</t>
  </si>
  <si>
    <t>Kovácsműhely megvásárlása támogatásból</t>
  </si>
  <si>
    <t>Kazáncsere a Török Ignác u. 7. sz. alatti Igazgatási épületben</t>
  </si>
  <si>
    <t>Vízbekötés tervezéssel, engedélyeztetéssel és kivitelezéssel Felsőörsi raktárbázison</t>
  </si>
  <si>
    <t>Nyilvános illemhely QR kód olvasós forgókapu</t>
  </si>
  <si>
    <t>Pásztorművészeti tárgyak vásárlása támogatásból</t>
  </si>
  <si>
    <t>Kiállítási paravánok képakasztóval</t>
  </si>
  <si>
    <t>Tárgyi eszközök beszerzése (pályázathoz kapcsolódó)</t>
  </si>
  <si>
    <t>Deák utca épület átalakítás</t>
  </si>
  <si>
    <t>Pénztárgép</t>
  </si>
  <si>
    <t>Kabóca logó</t>
  </si>
  <si>
    <t>Gépkocsi beszerzés</t>
  </si>
  <si>
    <t>Tárgyi eszköz beszerzés (szerszámvásárlás, számítástechnikai eszközök beszerzése :merevlemez, dokkoló, képstabilizátor, Microsoft Office, Apple táblagép+pencil+tok, kulcstartó szekrény, lámpa, pendrive, hűtőszekrény, navigáció, bojler, notebook akkumulátor, futószőnyeg, sarokcsiszoló, árnyékoló, irodai szék)</t>
  </si>
  <si>
    <t>EMT-TE-2023-1307 pályázat - intézményi eszközfejlesztés</t>
  </si>
  <si>
    <t>NAS - tárhely bővítése</t>
  </si>
  <si>
    <t>Világosítótár/vetítővászon</t>
  </si>
  <si>
    <t>Bakodi-Benczédi emlékpad</t>
  </si>
  <si>
    <t>Klímaberendezés</t>
  </si>
  <si>
    <t>Veszprém Petőfi Színház hőközpont átépítése, épületfelügyelet átprogramozása</t>
  </si>
  <si>
    <t>Szerver csere</t>
  </si>
  <si>
    <t>Informatikai eszközök (RAM-ok) tárhely bővítésre</t>
  </si>
  <si>
    <t>INTÉZMÉNYEK BERUHÁZÁSI KIADÁSAI ÖSSZESEN:</t>
  </si>
  <si>
    <t>Világítótestek részleges cseréje</t>
  </si>
  <si>
    <t>Tűzjelző rendszer megvalósítás</t>
  </si>
  <si>
    <t>Polcrendszer bővítés</t>
  </si>
  <si>
    <t>Beléptető rendszer kialakítás</t>
  </si>
  <si>
    <t>Gépkocsi gumiabroncs beszerzés</t>
  </si>
  <si>
    <t>Bútorok beszerzése</t>
  </si>
  <si>
    <t xml:space="preserve">Kisértékű tárgyi eszköz beszerzések </t>
  </si>
  <si>
    <t>Leltározási program beszerzés</t>
  </si>
  <si>
    <t>Telefonalközpont beszerzések</t>
  </si>
  <si>
    <t>Kis házasságkötő terem - klímaberendezés</t>
  </si>
  <si>
    <t>Gépkocsi nyomkövető rendszer</t>
  </si>
  <si>
    <t>Telefonbeszerzések</t>
  </si>
  <si>
    <t>Képzőművészeti alkotások vásárlása</t>
  </si>
  <si>
    <t>Informatika</t>
  </si>
  <si>
    <t>Igazgatás</t>
  </si>
  <si>
    <t>Tárgyi eszköz beszerzés (szavazófülke)</t>
  </si>
  <si>
    <t>VMJV  Polgármesteri Hivatal beruházási kiadásai összesen:</t>
  </si>
  <si>
    <t>BERUHÁZÁSI KIADÁSOK MINDÖSSZESEN:</t>
  </si>
  <si>
    <t>EKF, NKA pályázatban fel nem használt támogatási előleg visszafizetése</t>
  </si>
  <si>
    <t>FELHALMOZÁSI KIADÁSOK MINDÖSSZESEN</t>
  </si>
  <si>
    <t>6. melléklet az 5/2024. (II.29.) önkormányzati rendelethez</t>
  </si>
  <si>
    <t>Veszprém Megyei Jogú Város Önkormányzata</t>
  </si>
  <si>
    <t>Önkormányzati feladatok és egyéb kötelezettségek 2024. évi működési költségvetési kiadásai</t>
  </si>
  <si>
    <t>2024. évi előirányzat</t>
  </si>
  <si>
    <t>Önkormányzati működési kiadások</t>
  </si>
  <si>
    <t>Nemzeti ünnepek kiadásaira</t>
  </si>
  <si>
    <t>Közművelődési szolgált.</t>
  </si>
  <si>
    <t>Nemzetközi kapcsolatok</t>
  </si>
  <si>
    <t>Marketing tevékenység, marketing stratégia</t>
  </si>
  <si>
    <t>Programiroda - városi nagyrendezvények</t>
  </si>
  <si>
    <t>ebből: - Magyar Kultúra Napja</t>
  </si>
  <si>
    <t xml:space="preserve">          - Nemzeti ünnep - Március 15.</t>
  </si>
  <si>
    <t xml:space="preserve">          - Magyar Költészet Napja</t>
  </si>
  <si>
    <t xml:space="preserve">          - Városi Gyereknap</t>
  </si>
  <si>
    <t xml:space="preserve">          - Nemzeti ünnep - Augusztus 20.</t>
  </si>
  <si>
    <t xml:space="preserve">          - Szent Mihály napi búcsú</t>
  </si>
  <si>
    <t xml:space="preserve">          - Nemzeti ünnep - Október 23</t>
  </si>
  <si>
    <t xml:space="preserve">          - Városi Szilveszter</t>
  </si>
  <si>
    <t xml:space="preserve">          - Kenyér lelke fesztivál</t>
  </si>
  <si>
    <t xml:space="preserve">          - Majális</t>
  </si>
  <si>
    <t>Városi kiemelt fesztiválok</t>
  </si>
  <si>
    <t>ebből: - VeszprémFest</t>
  </si>
  <si>
    <t xml:space="preserve">          - Gizella Napok</t>
  </si>
  <si>
    <t xml:space="preserve">          - Tánc Fesztivál </t>
  </si>
  <si>
    <t xml:space="preserve">          - Veszprémi Utcazene Fesztivál</t>
  </si>
  <si>
    <t xml:space="preserve">          - Auer Hegedűfesztivál</t>
  </si>
  <si>
    <t xml:space="preserve">          - Magyar Mozgógép Fesztivál</t>
  </si>
  <si>
    <t xml:space="preserve">          - Bakony Expo</t>
  </si>
  <si>
    <t xml:space="preserve">          - Kabóciádé</t>
  </si>
  <si>
    <t xml:space="preserve">          - Rátonyi Róbert Operettfesztivál</t>
  </si>
  <si>
    <t xml:space="preserve">          - Lélektől Lélekig</t>
  </si>
  <si>
    <t xml:space="preserve">          - Gyárkert Fesztivál </t>
  </si>
  <si>
    <t>Magyar Kórusok találkozója</t>
  </si>
  <si>
    <t>módosítás-  átcsoportosítás konferálás és hangosítás költségeire</t>
  </si>
  <si>
    <t>Köztéri szobrok, emléktáblák, lektorátus</t>
  </si>
  <si>
    <t>Kiadványok, folyóiratok támogatása</t>
  </si>
  <si>
    <t>ebből:  -Vár Ucca Műhely támogatása</t>
  </si>
  <si>
    <t xml:space="preserve">         - Városi Szemle folyóirat kiadása - Veszprémi Szemle Várostörténeti Közhasznú Alapítvány</t>
  </si>
  <si>
    <t xml:space="preserve">          - Erős Hit, Erős Akarat c. kötet kiadásának támogatása (Veszprémi Szemle Várostörténeti KHA)</t>
  </si>
  <si>
    <t xml:space="preserve">          - Szeglethy György kötet kiadásának támogatása (Veszprémi Szemle Várostörténeti KHA)</t>
  </si>
  <si>
    <t xml:space="preserve">          - Comitatus Társadalomkutató Egyesület - Comitatus Önkormányzati Szemle</t>
  </si>
  <si>
    <t xml:space="preserve">          - Ex Symposion Alapítvány</t>
  </si>
  <si>
    <t xml:space="preserve">          - Brusznyai Árpád évfordulós kötet kiadása</t>
  </si>
  <si>
    <t xml:space="preserve">          - Veszprémi Portré Szabad Sajtó Kulturális és KHE</t>
  </si>
  <si>
    <t xml:space="preserve">          - Veszprémi Várostörténeti Monográfia előkészítése</t>
  </si>
  <si>
    <t xml:space="preserve">          - Tóth József - Tóth Józsi egy diszkós kalandjai a Bakony Művektől Barbadosig című könyv támogatása</t>
  </si>
  <si>
    <t xml:space="preserve">          - Darcsi István - Veszprém város sporttörténete</t>
  </si>
  <si>
    <t xml:space="preserve">          - Senior Kisokos</t>
  </si>
  <si>
    <t xml:space="preserve">          - Négy évszak a Bakonyban</t>
  </si>
  <si>
    <t>Közösség Kádártáért Egyesület</t>
  </si>
  <si>
    <t>Virágzó Veszprém Egyesület</t>
  </si>
  <si>
    <t>Élhetőbb Rátótért Egyesület</t>
  </si>
  <si>
    <t>Brusznyai Árpád Alapítvány támogatása</t>
  </si>
  <si>
    <t>Méz Rádió támogatása</t>
  </si>
  <si>
    <t>Kiemelt művészeti együttesek támogatása</t>
  </si>
  <si>
    <t>ebből: - Mendelssohn Kamarazenekar</t>
  </si>
  <si>
    <t xml:space="preserve"> - Veszprém Város Vegyeskara</t>
  </si>
  <si>
    <t xml:space="preserve"> - Veszprémi Táncegyüttesért Alapítvány</t>
  </si>
  <si>
    <t xml:space="preserve"> - Liszt F. Kórus</t>
  </si>
  <si>
    <t xml:space="preserve"> - Gizella Kórus/Dowland Alapítvány</t>
  </si>
  <si>
    <t xml:space="preserve"> - Gárdonyi Zoltán Zenekarért Alapítvány</t>
  </si>
  <si>
    <t>Gerence Hagyományőrző Néptáncegyüttes támogatása</t>
  </si>
  <si>
    <t>Filharmónia koncertek támogatása</t>
  </si>
  <si>
    <t>SÉD folyóirat költségei</t>
  </si>
  <si>
    <t>Kulturális kínálat bővítés</t>
  </si>
  <si>
    <t>Oktatási intézmények támogatása</t>
  </si>
  <si>
    <t>Pannon Várszínház támogatás</t>
  </si>
  <si>
    <t>M.J.V.SZ. tám. Kárpátalja megsegítésére</t>
  </si>
  <si>
    <t>UNESCO Zene városa</t>
  </si>
  <si>
    <t>Európa Ifjúsági Fővárosa 2024 pályázat benyújtása</t>
  </si>
  <si>
    <t>Sport és Élsport</t>
  </si>
  <si>
    <t>Sportpálya fenntartás, ill. fenntartói tám.</t>
  </si>
  <si>
    <t>Sportcélok és feladatok (sportigazgatás)</t>
  </si>
  <si>
    <t>Stadion üzemeltetése</t>
  </si>
  <si>
    <t>Szabadidő- és Diáksport</t>
  </si>
  <si>
    <t>Városi lap kiadásai</t>
  </si>
  <si>
    <t>Városi civil keret</t>
  </si>
  <si>
    <t xml:space="preserve"> ebből : - Nyugdíjas szervezetek számára pályázati keret</t>
  </si>
  <si>
    <t xml:space="preserve">            - Pályázati keret</t>
  </si>
  <si>
    <t xml:space="preserve">            - Nyugdíjas találkozó</t>
  </si>
  <si>
    <t xml:space="preserve">            - Civil irodai szolgáltatások, civil ház</t>
  </si>
  <si>
    <t xml:space="preserve">            - Civil nap költségei</t>
  </si>
  <si>
    <t>Városi ifjúsági keret</t>
  </si>
  <si>
    <t>ebből:  - Lélektér Alapítvány</t>
  </si>
  <si>
    <t xml:space="preserve">           - Fiatalok napja rendezvény</t>
  </si>
  <si>
    <t xml:space="preserve">           - Tanulmányi ösztöndíj</t>
  </si>
  <si>
    <t xml:space="preserve">           - Ifjúsági koncepció megvalósításának végrehajtása</t>
  </si>
  <si>
    <t xml:space="preserve">           - Ifjúsági kötelező feladatok ellátása</t>
  </si>
  <si>
    <t xml:space="preserve"> - "Otthon - Veszprémben"- önálló lakhatást, letelepedést elősegítő és helyi munkavállalást ösztönző támogatás (Veszprémi Ifjúsági Közalapítvány)</t>
  </si>
  <si>
    <t xml:space="preserve">           - Veszprémi újszülöttek támogatása (Veszprémi Ifjúsági Közalapítvány)</t>
  </si>
  <si>
    <t>Állatmenhelyek támogatása</t>
  </si>
  <si>
    <t>Rendszeres gyermekvédelmi kedvezmény/pénzbeli ellátás</t>
  </si>
  <si>
    <t>Lakbértámogatás</t>
  </si>
  <si>
    <t>Szünidei gyermekétkeztetés</t>
  </si>
  <si>
    <t>Települési támogatások</t>
  </si>
  <si>
    <t>ebből:  - Rendkívüli támogatás</t>
  </si>
  <si>
    <t xml:space="preserve">          - Vészhelyzeti támogatás (krízis segély)</t>
  </si>
  <si>
    <t xml:space="preserve">          - Beiskolázási támogatás</t>
  </si>
  <si>
    <t xml:space="preserve">          - Lakásfenntartási támogatás </t>
  </si>
  <si>
    <t xml:space="preserve">          - Albérleti támogatás</t>
  </si>
  <si>
    <t xml:space="preserve">          - Temetési támogatás</t>
  </si>
  <si>
    <t xml:space="preserve">          - Térítési díj</t>
  </si>
  <si>
    <t xml:space="preserve">          - Gyógyszertámogatás</t>
  </si>
  <si>
    <t xml:space="preserve">         - Adósságcsökkentési támogatás</t>
  </si>
  <si>
    <t xml:space="preserve">         - Szünidei gyermekétkeztetés</t>
  </si>
  <si>
    <t xml:space="preserve">         - Letelepedési támogatás</t>
  </si>
  <si>
    <t>Köztemetés</t>
  </si>
  <si>
    <t xml:space="preserve">Közcélú és közhasznú foglalkoztatás </t>
  </si>
  <si>
    <t>Nyári diákmunka</t>
  </si>
  <si>
    <t>Települési szilárdhulladék szállítás ártámogatás</t>
  </si>
  <si>
    <t>Egészségügyi feladatok ellátását szolgáló ingatlanrész bérleti díja és rezsiköltségek</t>
  </si>
  <si>
    <t>Szenvedélybetegek ellátásának működési kiadásaihoz támogatás</t>
  </si>
  <si>
    <t>Máltai Szeretetszolgálatnak pénzeszköz átadás (ellátási szerződés)</t>
  </si>
  <si>
    <t>Veszprémi Kistérség Többcélú Társulásának pénzeszköz átadás (Egyesített Szoc.Int.)</t>
  </si>
  <si>
    <t xml:space="preserve">Központi orvosi ügyelet </t>
  </si>
  <si>
    <t>Fogorvosi körzeteknek működési hozzájárulás</t>
  </si>
  <si>
    <t>Fogorvosi körzetek részére pályázati alap</t>
  </si>
  <si>
    <t>Lelkisegély szolgálat</t>
  </si>
  <si>
    <t>Nevelési szolgáltatás</t>
  </si>
  <si>
    <t>Hittudományi Főiskola támogatása</t>
  </si>
  <si>
    <t>Pszichiátriai betegek nappali ellátás ("Horgony" Pszichiátriai Betegekért Közhasznú Alapítvány)</t>
  </si>
  <si>
    <t>Foglalkoztatás eü. szolg.</t>
  </si>
  <si>
    <t>Munkavédelmi feladatok</t>
  </si>
  <si>
    <t>Közbeszerzési eljárások költségei</t>
  </si>
  <si>
    <t xml:space="preserve">Önkormányzat igazgatási tevékenysége </t>
  </si>
  <si>
    <t>Német Nemzetiségi Önk. helyiségének bérleti díja</t>
  </si>
  <si>
    <t>Igazgatás - Állam felé befizetési kötelezettség</t>
  </si>
  <si>
    <t>ÁFA befizetés</t>
  </si>
  <si>
    <t>Kamatkiadások</t>
  </si>
  <si>
    <t>Szolidaritási hozzájárulás</t>
  </si>
  <si>
    <t>Városi Közbiztonság Keret</t>
  </si>
  <si>
    <t>Városi TV közszolgálati műsorok támogatása</t>
  </si>
  <si>
    <t xml:space="preserve">Peres ügyek, kártérítési díjak </t>
  </si>
  <si>
    <t>Jutasi úti műfüves pálya fenntartása (LUC)</t>
  </si>
  <si>
    <t>Swing-Swing Kft. szolgáltatás vásárlás</t>
  </si>
  <si>
    <t>TDM Irodától szolgáltatás vásárlása</t>
  </si>
  <si>
    <t>Programiroda Kft. - kulturális, művészeti rendezvények támogatása</t>
  </si>
  <si>
    <t>Vagyongazdálkodással és ingatlanhasznosítással összefüggő fel. (földhivatali eljárások, vagyonértékelés)</t>
  </si>
  <si>
    <t xml:space="preserve">Helikoni Ünnepségek Keszthelyen </t>
  </si>
  <si>
    <t>Tanórán kívüli tevékenység támogatása</t>
  </si>
  <si>
    <t>Településfejlesztési feladatok</t>
  </si>
  <si>
    <t>Hatósági engedélyek beszerzése, hatályban tartása</t>
  </si>
  <si>
    <t>Közutak, hidak fenntartása</t>
  </si>
  <si>
    <t>Nem lakáscélú helyiségek üzemeltetési költségei</t>
  </si>
  <si>
    <t>Közüzemi Zrt. jutaléka</t>
  </si>
  <si>
    <t>V-Busz Veszprémi Közlekedési Kft.</t>
  </si>
  <si>
    <t>Szolgáltatás vásárlás (közszolgáltatási feladatok I.)</t>
  </si>
  <si>
    <t>V-Bike közbringa rendszer üzemeltetése (közszolgáltatási feladatok II.)</t>
  </si>
  <si>
    <t>Volánbusz Zrt. szolgáltató részére elővárosi és regionális járatokon történő helyi személyszállítási közszolgáltatási feladatok ellátásához hozzájárulás</t>
  </si>
  <si>
    <t>VESZOL - Veszprém, Pápai u. 37. sz. munkásszálló működetési feladatai</t>
  </si>
  <si>
    <t>VKSZ Zrt. által ellátott városüzemeltetési feladatok</t>
  </si>
  <si>
    <t>Parkfenntartás</t>
  </si>
  <si>
    <t>Egyéb városüzemeltetési feladatok</t>
  </si>
  <si>
    <t>Köztisztasági feladatok</t>
  </si>
  <si>
    <t>Temetők üzemeltetésével kapcsolatos feladatok</t>
  </si>
  <si>
    <t>Városi fenntarthatósággal összefüggő feladatok ellátása</t>
  </si>
  <si>
    <t>VKSZ Zrt. által ellátott intézményüzemeltetési feladatok</t>
  </si>
  <si>
    <t>Intézményi karbantartási költségek</t>
  </si>
  <si>
    <t>Intézményi működtetők költsége</t>
  </si>
  <si>
    <t>Intézményi közüzemi költségek</t>
  </si>
  <si>
    <t>Rekultivációt megelőző telephely fenntartási költség</t>
  </si>
  <si>
    <t>Aluljárók csapadékvíz átemelőinek üzemeltetése</t>
  </si>
  <si>
    <t>Szökőkutak, ivókutak szolgáltatási díjai</t>
  </si>
  <si>
    <t>Városgazdálkodási szolgáltatás</t>
  </si>
  <si>
    <t>Közvilágítás</t>
  </si>
  <si>
    <t>Közműalagút működtetése</t>
  </si>
  <si>
    <t>Környezetvédelmi feladat (Városüzemeltetés feladatai)</t>
  </si>
  <si>
    <t>Környezetvédelmi feladat (Közigazgatási Iroda feladatai)</t>
  </si>
  <si>
    <t>Bérlakások üzemeltetési költségei</t>
  </si>
  <si>
    <t>Kolostorok és kertek működtetése</t>
  </si>
  <si>
    <t>Csapadékcsatornák üzemeltetési szolgáltatásai</t>
  </si>
  <si>
    <t>Bérleményekkel, haszonbérletekkel kapcsolatos feladatok</t>
  </si>
  <si>
    <t>DAT térképfrissítés, földkönyv, közműnyilvántartás, GPS</t>
  </si>
  <si>
    <t>Közterület-felügyelet</t>
  </si>
  <si>
    <t>Ebrendészeti feladatok</t>
  </si>
  <si>
    <t>módosítás- parkolás üzemeltetés bevétele</t>
  </si>
  <si>
    <t>Nemzetiségi önkormányzatok kiadásai:</t>
  </si>
  <si>
    <t xml:space="preserve"> ebből: - Roma Nemzetiségi Önkormányzat</t>
  </si>
  <si>
    <t>- Német Nemzetiségi Önkormányzat</t>
  </si>
  <si>
    <t>- Örmény Nemzetiségi Önkormányzat</t>
  </si>
  <si>
    <t>- Lengyel Nemzetiségi Önkormányzat</t>
  </si>
  <si>
    <t>- Ukrán Nemzetiségi Önkormányzat</t>
  </si>
  <si>
    <t>TOP orvosi rendelők felújításához tartozó költöztetési munkák</t>
  </si>
  <si>
    <t>Felújításra kerülő bölcsődék költöztetési, eszközszállítási feladatai</t>
  </si>
  <si>
    <t>Beruházásokhoz kapcsolódó költöztetési feladatok</t>
  </si>
  <si>
    <t>ELENA projekt előkészítési feladatokra konzorciumi hozzájárulás</t>
  </si>
  <si>
    <t>Beruházások közműdíjai</t>
  </si>
  <si>
    <t>Beruházásokhoz kapcsolódó energetikai tanúsítvány</t>
  </si>
  <si>
    <t>Handball Team Zrt. szolgáltatás vásárlás</t>
  </si>
  <si>
    <t>Összmagyar Sport és Kulturális Találkozó</t>
  </si>
  <si>
    <t>Epipen injekció biztosítása gyermekjóléti, köznevelési intézményekben és házi gyermekorvosi rendelőkben</t>
  </si>
  <si>
    <t>Beruházásokhoz kapcsolódó ingatlanrendezési feladatok</t>
  </si>
  <si>
    <t>Pápai u.-Jutasi út belső krt mellékkötelezettségek</t>
  </si>
  <si>
    <t>Koronavírus védekezés költségeire és gazdasági hatásának enyhítésére</t>
  </si>
  <si>
    <t>módosítás- támogatási igény szerint</t>
  </si>
  <si>
    <t>Hetman Jan Tarnowski Alapítvány (Lengyelország) - Ukrajnából menekülni kényszerülők megsegítése</t>
  </si>
  <si>
    <t>Hulladékelszállítás, gyomtalanítás</t>
  </si>
  <si>
    <t>Regőczi István Alapítvány - Covid árvák megsegítésének támogatása</t>
  </si>
  <si>
    <t>Választókerületi keretek</t>
  </si>
  <si>
    <t>Veszprém-Gyulafirátót Pásztor utca feletti csapadékvíz elöntés védekezés és kárelhárítás költségeire</t>
  </si>
  <si>
    <t>Helyi Esélyegyenlőségi Program felülvizsgálata</t>
  </si>
  <si>
    <t>Sportmarketing</t>
  </si>
  <si>
    <t>Veszprém monográfia tárhely</t>
  </si>
  <si>
    <t>Lakossági LED csere program</t>
  </si>
  <si>
    <t>Úszás oktatás</t>
  </si>
  <si>
    <t>Keresztény Értelmiségek támogatása</t>
  </si>
  <si>
    <t>Szabad-Sajtó Kulturális és Ifjúsági Közhasznú Egyesület</t>
  </si>
  <si>
    <t>Veszprémi Rendőrkapitányság támogatása</t>
  </si>
  <si>
    <t>Nobel program támogatása</t>
  </si>
  <si>
    <t>Diabetes Világnap</t>
  </si>
  <si>
    <t>Hulladékkezelés költsége</t>
  </si>
  <si>
    <t>módosítás- teljesítési jegyzőkönyv alapján kiszámlázott bevétel</t>
  </si>
  <si>
    <t>Ipari és gyártási szakirányú pályaorientációs foglalkozások tartása</t>
  </si>
  <si>
    <t>Swing-Swing Kft. - Családika program</t>
  </si>
  <si>
    <t>Magyar Lélek Alapítvány támogatása</t>
  </si>
  <si>
    <t>Alkohol és Drogsegély Ambulancia Napsugár Klub</t>
  </si>
  <si>
    <t>Jutasi 100 emlékprogram</t>
  </si>
  <si>
    <t>Brusznyai Árpád születésének 100. évfordulója</t>
  </si>
  <si>
    <t>Szeglethy György születésének 170. évfordulója</t>
  </si>
  <si>
    <t>"Digitális élményközpontok hálózatának kialakítása és központi minőségbiztosítása" projekt üzemeltetési költsége</t>
  </si>
  <si>
    <t>"Kapaszkodó" Mentálhigiénés Egyesület támogatása</t>
  </si>
  <si>
    <t>Pegazus Színház Közhasznú Nonprofit Kft. támogatása</t>
  </si>
  <si>
    <t>Szent Imre Alapítvány támogatása</t>
  </si>
  <si>
    <t>Építész Kiállítás 2024 támogatása</t>
  </si>
  <si>
    <t xml:space="preserve">2027. évi Tájékozódási Futó Világbajnokság </t>
  </si>
  <si>
    <t>Csizmadia kerámiák restaurálása és elhelyezése</t>
  </si>
  <si>
    <t>Önkormányzati épületek energiahatékonysági vizsgálata</t>
  </si>
  <si>
    <t>Pannon Kultúrklub támogatása</t>
  </si>
  <si>
    <t>Otthonra találni a művészetben projekt támogatása</t>
  </si>
  <si>
    <t>Veszprém - Rovaniemi testvérvárosi kapcsolat 50 éves jubileumi támogatása</t>
  </si>
  <si>
    <t>European Urban Initiative, „TOPIC 2: Technology in cities” pályázat benyújtása</t>
  </si>
  <si>
    <t>XXVI. Magyar Ingatlanfejlesztési Nívódíj pályázat részvételi díja</t>
  </si>
  <si>
    <t>Szilágyi Táncegyüttes Alapítvány támogatása</t>
  </si>
  <si>
    <t>AutiSpektrum Egyesület támogatása</t>
  </si>
  <si>
    <t>Agyhártyagyulladás elleni védőoltás középiskolai tanulmányait adott évben megkezdő gyermekek részére</t>
  </si>
  <si>
    <t>Sportrégió pályázat regisztrációs díja</t>
  </si>
  <si>
    <t>Minerva Tanulási Alapítvány támogatása</t>
  </si>
  <si>
    <t>Szeretfilmsúdió Egyesület támogatása</t>
  </si>
  <si>
    <t>Orlandó Egyesület támogatása</t>
  </si>
  <si>
    <t>Adventi programok</t>
  </si>
  <si>
    <t>Pannon Egyetem támogatása</t>
  </si>
  <si>
    <t>Sportrégió pályázat</t>
  </si>
  <si>
    <t>módosítás- pályázat szakmai előkészítése, koordinációja, pályázatírás</t>
  </si>
  <si>
    <t>Ebből: Önkormányzat által ellátott kötelező feladatok összesen:</t>
  </si>
  <si>
    <t>Ebből: Önkormányzat által ellátott önként vállalt feladatok összesen:</t>
  </si>
  <si>
    <t>7. melléklet az 5/2024. (II.29.) önkormányzati rendelethez</t>
  </si>
  <si>
    <t>2024. évi beruházási és egyéb felhalmozási célú kiadások előirányzata</t>
  </si>
  <si>
    <t>Teljes költség</t>
  </si>
  <si>
    <t>Teljesítés                      2022.          12.31.-ig</t>
  </si>
  <si>
    <t>2023. évi              tény</t>
  </si>
  <si>
    <t>2024. év utáni javaslat</t>
  </si>
  <si>
    <t>Önkormányzati beruházási kiadások</t>
  </si>
  <si>
    <t>Önkormányzati érdekeket érintő településrendezési eszközök módosítása</t>
  </si>
  <si>
    <t>Településképi Arculati Kézikönyv és Településképi rendelet módosítása</t>
  </si>
  <si>
    <t>Helyi védett épületek bejegyzése</t>
  </si>
  <si>
    <t>Programiroda Kft. törzstőke emelés</t>
  </si>
  <si>
    <t xml:space="preserve">Programiroda Kft. tőketartalékba helyezés </t>
  </si>
  <si>
    <t>Veszprém - Balaton 2023 Zrt. törzstőke emelés</t>
  </si>
  <si>
    <t>Veszprém - Balaton 2023 Zrt. tőketartalékba helyezés</t>
  </si>
  <si>
    <t>Ingatlanrendezési ügyek (kisajátítások, más célú haszn.,humuszvédelmi terv, erdővédelmi járulék)</t>
  </si>
  <si>
    <t>Veszprém 0393/1 hrsz-ú ingatlanon tervezett Állatvédelmi Kompetenciaközpont megépítése érdekében szükséges, szabályozási tervben foglalt út funkciójú ingatlan kisajátítás</t>
  </si>
  <si>
    <t>Állatkerti bekötőút kiviteli terv</t>
  </si>
  <si>
    <t>GFT szennyvíz felújítás-pótlás: FI- 2014-379 Veszprém Ördögárok utca, szennyvízcsatorna rekonstrukciója (396 fm NA300)</t>
  </si>
  <si>
    <t xml:space="preserve">GFT szennyvíz felújítás-pótlás: FI-2022-2273 Veszprém szennyvíztisztító telep, Csigaszivattyúk pótlása </t>
  </si>
  <si>
    <t>GFT szennyvíz felújítás-pótlás: FI-2022-2274 Veszprém szennyvíztisztító telep, Folyamatirányító rendszer rekonstrukciója</t>
  </si>
  <si>
    <t>VESZOL - Veszprém, Pápai u. 37. sz. munkásszálló működetési feladatai – eszközpótlások (konyhai eszközök, felszerelések, bútorok, mosógép, szárítógép, párnák, matracok, takarók, monitor, ágyneműk, mikrohullámú sütő)</t>
  </si>
  <si>
    <t>Fixre telepített sebességmérő (traffipax) - Gyulafirátótra</t>
  </si>
  <si>
    <t xml:space="preserve"> - ebből: 1. vk. Veszprém-Gyulafirátót Római Katolikus Templom (Nepomuki Szent János-templom elemi károk elhárításához javasolt összeg)</t>
  </si>
  <si>
    <t xml:space="preserve">            2. vk. 4 db kutyaürülék-gyűjtő edény beszerzése és kihelyezése</t>
  </si>
  <si>
    <t xml:space="preserve">            2. vk. 1 db Urban pad beszerzése és kihelyezése a Haszkovó utca 25. közelében</t>
  </si>
  <si>
    <t xml:space="preserve">           4. vk. 3 db Urban 6 pad beszerzése és telepítése</t>
  </si>
  <si>
    <t xml:space="preserve">           4. vk. 2 db Konstruktív köztéri asztal+padok beszerzése és telepítése</t>
  </si>
  <si>
    <t xml:space="preserve">           4. vk. Szemétgyűjtők kihelyezése 3 db</t>
  </si>
  <si>
    <t xml:space="preserve">           4. vk. 16 db beton virágvályú beszerzése+földdel feltöltés, telepítés</t>
  </si>
  <si>
    <t xml:space="preserve">          6. vk. Játszóeszköz, utcabútor beszerzés és telepítés (3 db Kártyaasztal beszerzése, műfű telepítéssel és műanyag ágyas szegéllyel)</t>
  </si>
  <si>
    <t xml:space="preserve">        11.vk. Harmat utca-Dózsa György utca sarkán lévő 2D-3D alkotás körüli zöldterület rendezése (föld elterítése, füvesítés, fizikai korlátok)</t>
  </si>
  <si>
    <t xml:space="preserve">        11.vk. 2 db Közterületi pad elhelyezése (régi cseréje) - Kiskőrösi utca, kavicsfogú álteknős szobor mellett</t>
  </si>
  <si>
    <t xml:space="preserve">      1.vk. Kádártai utcanévtáblák beszerzése</t>
  </si>
  <si>
    <t xml:space="preserve">      1.vk. Kádárta Faluház sportpálya pad</t>
  </si>
  <si>
    <t xml:space="preserve">      1.vk. Játszótér - járdaépítés</t>
  </si>
  <si>
    <t xml:space="preserve">       2.vk.  6 db. "Tiszántúli" szemétgyűjtő beszerzése és kihelyezése</t>
  </si>
  <si>
    <t xml:space="preserve">       2.vk.  Veszprémi Deák Ferenc Általános Iskola (2db. Kültéri IP kamera konzollal, acél feszítős UTP kábellel, 1 db. Homokozó kialakítása és egy homokozó felújítása, sporteszközök)</t>
  </si>
  <si>
    <t xml:space="preserve">       2.vk.  VKTT Egyesített Szociális Intézmény I. sz. Idősek Otthonában kerti bútor beszerzése</t>
  </si>
  <si>
    <t xml:space="preserve">       4.vk.  Utcai kutyaürülék tároló 3 db.</t>
  </si>
  <si>
    <t xml:space="preserve">       4.vk.  Gyalogátkelőhely kialakítás - Aradi vértanú/Haszkovó utcák kereszteződésében </t>
  </si>
  <si>
    <t xml:space="preserve">       4.vk.  Kültéri pingpong asztal + telepítés 2 db.</t>
  </si>
  <si>
    <t xml:space="preserve">       4.vk.  Sakk asztal 2 paddal</t>
  </si>
  <si>
    <t xml:space="preserve">       4.vk.  Beton virágládák 10 db.</t>
  </si>
  <si>
    <t xml:space="preserve">       4.vk.  Szemetes kültéri 4.db.</t>
  </si>
  <si>
    <t xml:space="preserve">       4.vk.  Kültéri kártyaasztal 1 db.</t>
  </si>
  <si>
    <t xml:space="preserve">       6.vk. Képviselői fa ültetése</t>
  </si>
  <si>
    <t xml:space="preserve">        8.vk. Kemence telepítése Szabadságpusztára</t>
  </si>
  <si>
    <t xml:space="preserve">        8.vk. Faültetés</t>
  </si>
  <si>
    <t xml:space="preserve">        11.vk. Malomkő utca 3. önkormányzati tulajdonú ingatlan elektromos hálózatfejlesztése</t>
  </si>
  <si>
    <t xml:space="preserve">       7.vk Ady Endre utca 77. szám alatti játszótér fészekhintája alatti ütéscsillapító gumilap telepítése</t>
  </si>
  <si>
    <t>Tirat Carmel utca kisajátítás</t>
  </si>
  <si>
    <t>Erdőtelepítés</t>
  </si>
  <si>
    <t>V-Busz Kft. - autóbusz vásárlás beruházási hitel tőketörlesztése</t>
  </si>
  <si>
    <t>Lakossági vízbekötés</t>
  </si>
  <si>
    <t>TOP PLUSZ pályázat előkésztés</t>
  </si>
  <si>
    <t>Városgazdálkodás - Füredi úti megrongált kamera cseréje, Aradi vértanuk Körgyűrű kamera cseréje</t>
  </si>
  <si>
    <t>Közvilágítás bővítések (tervezés, kivitelezés) 2011. évi CLXXXIX. Törvény</t>
  </si>
  <si>
    <t>Korlátok lépcső mellé</t>
  </si>
  <si>
    <t>Közkifolyók létesítése, mérősítése</t>
  </si>
  <si>
    <t>Wartha Vince utcai stadion szabadtéri futókör és focipályát elválasztó háló és kerítés, valamint futballpálya felújítás</t>
  </si>
  <si>
    <t>Jutasi út - Kopácsy József utca kereszteződésében körforgalmi csomópont kiviteli tervdokumentáció elkészítése</t>
  </si>
  <si>
    <t>Vilonyai utcában meglévő párhuzamos parkolók átépítése</t>
  </si>
  <si>
    <t>Gyulafirátót É-i mentesítő záportározó tervezése, engedélyezése</t>
  </si>
  <si>
    <t>Török Ignác utcában lévő parkoló csapadékvíz elvezetésének megoldása (tervezés, engedélyezés, kivitelezés)</t>
  </si>
  <si>
    <t>Görgey Artúr utcában párhuzamos parkolóállások kialakítása Gábor Áron és Aradi Vértanúk útja között, tervezés és engedélyezés</t>
  </si>
  <si>
    <t>Diósy Márton utcában parkolók (Klapka) terv korszerűségi felülvizsgálat, engedélyezés, kivitelezés</t>
  </si>
  <si>
    <t>Csikász Imre utca 2. szám előtt 4-5 db. parkoló kialakítása</t>
  </si>
  <si>
    <t>GFT ivóvíz felújítás-pótlás: FI-2014-28 Veszprém Hársfa utca, Ivóvízvezeték rekonstrukció I. ütem az Őrház utca - Petőfi Sándor utca közötti szakaszon (220 fm NA80 ac)</t>
  </si>
  <si>
    <t>Tüzér utcában járda építés és gyalogátkelőhely kialakítása</t>
  </si>
  <si>
    <t>Veszprém települési és turisztikai kártya</t>
  </si>
  <si>
    <t>Őszi kertészeti feladatok</t>
  </si>
  <si>
    <t>Katolikus Szeretetszolgálat támogatása (Korai Fejlesztőközpont kialakítására a Cholnoky forfa épületben)</t>
  </si>
  <si>
    <t>Közvilágítás korszerűsítés (Haszkovó utca 39. déli oldala, Haszkovó utca 27. Gábor Áron utca 4. irányába</t>
  </si>
  <si>
    <t>GFT szennyvíz beruházás: Veszprém szennyvíztisztító telep, szennyvízfogadó állomás kialakítása</t>
  </si>
  <si>
    <t>Ördögárok u. 5. intézményi fakivágások, pótlások</t>
  </si>
  <si>
    <t>Gyulafirátót településrészen meglévő játszótérhez járda tervezése, engedélyezése</t>
  </si>
  <si>
    <t>Márkó Bánd kerékpárút - kamerák felszerelése</t>
  </si>
  <si>
    <t>Wass Albert szobor elhelyezése közterületen</t>
  </si>
  <si>
    <t>Millenniumi Emlékmű új helyszínen történő felállítása</t>
  </si>
  <si>
    <t xml:space="preserve">Okoszebrák kialakítása </t>
  </si>
  <si>
    <t>Veszprém, Ibolya utcában járda kialakításának tervezés, hatósági ügyintézés</t>
  </si>
  <si>
    <t>Zirci utcai temetőnél gyalogos járdafelület kialakítás tervezés, hatósági jóváhagyás</t>
  </si>
  <si>
    <t>Szabadság tér közmű- és útrekonstrukció</t>
  </si>
  <si>
    <t>Szeglethy portré - Somogyi Győző festőművész olajportréja</t>
  </si>
  <si>
    <t>Rab Mária forráshoz fahíd építése</t>
  </si>
  <si>
    <t>Önkormányzat és a Magyar Állam által kötött integrációs megállapodás alapján víziközmű fejlesztésre fel nem használt forrás</t>
  </si>
  <si>
    <t xml:space="preserve">Ingatlanvásárlás Kádártai úti buszforduló </t>
  </si>
  <si>
    <t>Pálfy Gusztáv két kisplasztikájának megvásárlása (Boldog Gizella királyné, Szent István király)</t>
  </si>
  <si>
    <t>Veszprém 8713/2 hrsz.-ú – természetben a Veszprém Sportuszoda és az Aréna között található – ingatlanból kialakuló 10.958 m² nagyságú „kivett beépítetlen terület” megnevezésű ingatlan elidegenítése</t>
  </si>
  <si>
    <t xml:space="preserve">Szán utca - Méhes  u. csapadékvíz elvezetés (útrek. előtt) I. ütem: Cs-1-0-0 </t>
  </si>
  <si>
    <t xml:space="preserve">Kalmár tér parkoló építések </t>
  </si>
  <si>
    <t>Veszprém, Batthyány Lajos utca parkoló tervezés</t>
  </si>
  <si>
    <t>Veszprém-Gyulafirátót buszforduló, lépcső, rámpa</t>
  </si>
  <si>
    <t>Veszprém-Gyulafirátót Északi fejlesztési terv úthálózat fejlesztés tervezés</t>
  </si>
  <si>
    <t xml:space="preserve">Buszmegállók kialakításának tervezése </t>
  </si>
  <si>
    <t>Bakony Társasház belső gáz és központifűtés rendszer felújítása, valamint villamos hálózat felújításának tervezési munkái</t>
  </si>
  <si>
    <t>Fejlesztések előkészítő munkái</t>
  </si>
  <si>
    <t>Művészetek Háza Veszprém épületeinek felújítása (tetőhéjalás javítás, homlokzat felújítás, nyílászáró csere)</t>
  </si>
  <si>
    <t>VKTT Egyesített Szociális Intézmény 2. sz. Idősek Otthona (Völgyikút u. 2.) lift korszerűsítése (csere)</t>
  </si>
  <si>
    <t xml:space="preserve">Ördögárok utca 4. szám alatti épület lapostető részleges felújítás </t>
  </si>
  <si>
    <t>Sólyi utca parkoló kialakítása</t>
  </si>
  <si>
    <t>Útkataszter I. ütem</t>
  </si>
  <si>
    <t>Támfalkataszter elkészítése</t>
  </si>
  <si>
    <t xml:space="preserve">Térfigyelő rendszer fejlesztése </t>
  </si>
  <si>
    <t xml:space="preserve">Önkormányzati telephelyek okosmérősítése, távfelügyelet </t>
  </si>
  <si>
    <t>Adventi dekoráció beszerzése</t>
  </si>
  <si>
    <t>Energetikai korszerűsítés tervezése</t>
  </si>
  <si>
    <t>Ívókút telepítése</t>
  </si>
  <si>
    <t>V-Busz Kft. - jegykiadó automata beszerzése, Kereszt u. 9. alatti ügyfélszolgálati iroda bútorzata, berendezésének felújítása, különjárati autóbusz beszerzése</t>
  </si>
  <si>
    <t>Köztéri szobrok, emléktáblák, lektorátus - ENN Uibo szobor</t>
  </si>
  <si>
    <t>Kapcsolat' 96 Mentálhigiénés Egyesület támogatása - berendezés megújítása</t>
  </si>
  <si>
    <t>Takácskerti sportpálya fejlesztés és zöldterület rendezés</t>
  </si>
  <si>
    <t>Városrész közlekedési koncepció elkészítése</t>
  </si>
  <si>
    <t>Rendőrségnek gépjármű beszerzés</t>
  </si>
  <si>
    <t>Helikopter emlékmű - telekvásárlás</t>
  </si>
  <si>
    <t>Bérlőkijelölési jog vásárlása (Magyar Máltai Szeretetszolgálattól)</t>
  </si>
  <si>
    <t>DAT térképfrissítés, földkönyv, közműnyilvántartás, GPS - GPS-hez szükséges vezérlőegység és szoftver, szintező műszer</t>
  </si>
  <si>
    <t>Szabadságpusztai kemence</t>
  </si>
  <si>
    <t>Kutyaházak beszerzése (Ebrendészeti feladatok)</t>
  </si>
  <si>
    <t>Magasnyomású ipari gőztisztító (Ebrendészeti feladatok)</t>
  </si>
  <si>
    <t>Veszprém 2030 Műszaki Infrastruktúra Fejlesztő Kft. - törzstőke emelés</t>
  </si>
  <si>
    <t>Veszprém 2030 Műszaki Infrastruktúra Fejlesztő Kft. - tőketartalékba helyezés</t>
  </si>
  <si>
    <t>Szennyvízhálózat rekonstrukció Március 15. u. 5. sz. alatti ingatlanon (Jendrassik-Venesz Techinkum)</t>
  </si>
  <si>
    <t>Oktatási intézmények felhalmozási támogatása</t>
  </si>
  <si>
    <t>Veszprém 4086/87 hrsz.-ú ingatlan egy része tulajdonjogának adásvétel jogcímén történő megvásárlása</t>
  </si>
  <si>
    <t>Mentálhigiénés nappali ellátás kiépítése a Török Ignác utcai idősellátó egységhez kapcsolódóan és a Hóvirág utcai idősellátás korszerűsítése, demens nappali mentálhigiénés ellátás feltételrendszerének kialakításával</t>
  </si>
  <si>
    <t>Új nappali foglalkoztató létesítése fogyatékkal élő felnőttek számára a Kőhíd utcában</t>
  </si>
  <si>
    <t>Jutasi út-Kopácsi utca, Jutasi út-Bagolyvári út körforgalom</t>
  </si>
  <si>
    <t>Veszprém, Uszoda átalakítása Futsal csarnokká - koncepcióterv készítése</t>
  </si>
  <si>
    <t>Városi közbiztonsági keret - a közbiztonság megerősítése érdekében a helyi lakóközösségek részére nyújtott önkormányzati támogatás (kamerarendszerek létesítése vagy korszerűsítése)</t>
  </si>
  <si>
    <t>Deák Ferenc u. 13. számú ingatlan energetikai fejlesztése</t>
  </si>
  <si>
    <t>Egyetemváros területén járda tervezés</t>
  </si>
  <si>
    <t>Szél utca gyalogátkelő tervezés</t>
  </si>
  <si>
    <t>Stadion utca 3-5 számú épületeknél parkoló tervezés</t>
  </si>
  <si>
    <t>Ady Endre utcában parkoló átalakításának tervezése</t>
  </si>
  <si>
    <t>Veszprém Ibolya utcában járda kialakítása</t>
  </si>
  <si>
    <t>Felnőtt háziorvosi rendelők akadálymentesítése</t>
  </si>
  <si>
    <t>Görgey Artúr utca kutyafuttató közvilágítás bővítése</t>
  </si>
  <si>
    <t>Zirci utcai temetőnél járda és lépcső építése</t>
  </si>
  <si>
    <t>Veszprém Vármegyei Mentőszervezet 04 Alapítvány támogatása - székek vásárlása</t>
  </si>
  <si>
    <t>8. melléklet az 5/2024. (II.29.) önkormányzati rendelethez</t>
  </si>
  <si>
    <t>2024. évi felújítási kiadások előirányzata</t>
  </si>
  <si>
    <t>Önkormányzati felújítási kiadások</t>
  </si>
  <si>
    <t>Védett sírok felújítása az Alsóvárosi temetőben</t>
  </si>
  <si>
    <t>Szociális bérlakás felújítások</t>
  </si>
  <si>
    <t>Önkormányzati bérlakások felújítása</t>
  </si>
  <si>
    <t>Közterületi játszóeszközök felújítása (78/2003 GKM rendelet)</t>
  </si>
  <si>
    <t>Vízrendezési feladatok, árkok felújítása</t>
  </si>
  <si>
    <t>Köztéri padok felújítása</t>
  </si>
  <si>
    <t>Labdapályák és sporteszközök felújítása</t>
  </si>
  <si>
    <t>Kertészeti felújítások, őszi fásítás tervezése és kivitelezése</t>
  </si>
  <si>
    <t>Kossuth u. locsolórendszer felújítása</t>
  </si>
  <si>
    <t>Fortuna szobor felújítása</t>
  </si>
  <si>
    <t>Boglárka utca véderdő rekultivációja</t>
  </si>
  <si>
    <t>Stadion Sportcsarnok - beázás elhárításának költségei</t>
  </si>
  <si>
    <t>Vásárcsarnok lift felújítás</t>
  </si>
  <si>
    <t>Köztéri műalkotások rekonstrukciója</t>
  </si>
  <si>
    <t>Földutak és nagyfelületű útfelújítások</t>
  </si>
  <si>
    <t>A Veszprém 2364/42 hrsz.-alatti Jutasi úti sporttelep (Teniszcentrum) villamos hálózatának a felújítása</t>
  </si>
  <si>
    <t>Cholnoky Jenő Tagóvoda</t>
  </si>
  <si>
    <t>2 csoport gyermekmosdó-öltöző felújítása</t>
  </si>
  <si>
    <t>Elkorhadt nyílászárók cseréje</t>
  </si>
  <si>
    <t>Főzőkonyha melegvíz ellátása átalakítása, villamos hálózat szabványosítása</t>
  </si>
  <si>
    <t>Veszprémi Bölcsődei és Eü.Alapell. Integrált Int.</t>
  </si>
  <si>
    <t>Cserhát ltp. 1. Dr. Magyar Benigna</t>
  </si>
  <si>
    <t>2 db. Légkondicionáló cseréje</t>
  </si>
  <si>
    <t>Nyílászáró csere 2 helyiségben</t>
  </si>
  <si>
    <t>Veszprém Március 15. utca 4/C szám alatt található fogorvosi rendelő felújítása</t>
  </si>
  <si>
    <t>Nyílászáró csere folyosón</t>
  </si>
  <si>
    <t>1. pavilon fürdőszoba - átadó - csoportszobák felújítás</t>
  </si>
  <si>
    <t>Udvar rendezés, parkosítás</t>
  </si>
  <si>
    <t>Aprófalvi Bölcsőde (Lóczy u.22.)</t>
  </si>
  <si>
    <t>1 db pavilonban átadó-vizesblokk egység felújítása</t>
  </si>
  <si>
    <t>Veszprémi Családseg. és Gyermekjóléti Integrált Int.</t>
  </si>
  <si>
    <t>Pápai út 37. női fürdőszoba komplett felújítása</t>
  </si>
  <si>
    <t>Pápai út 37. Nyílászáró csere</t>
  </si>
  <si>
    <t xml:space="preserve">Pápai út 37. lakószobák padlóburkolat cseréje </t>
  </si>
  <si>
    <t>Mikszáth Kálmán u. 13. épület külső főfalainak víztelenítése</t>
  </si>
  <si>
    <t>Tűzjelző rendszer felújítása</t>
  </si>
  <si>
    <t>Kádártai Faluház</t>
  </si>
  <si>
    <t>Fal- és tetőbeázás megszüntetése (utcafront felöli fal, AM mosdó)</t>
  </si>
  <si>
    <t>Gyulafirátóti Művelődési Ház</t>
  </si>
  <si>
    <t>Kazán csere</t>
  </si>
  <si>
    <t>Gyulafirátóti Művelődési Ház felújítása</t>
  </si>
  <si>
    <t>Fűtési rendszer felújítása</t>
  </si>
  <si>
    <t>Dózsa Könyvtár melléképület felújítása</t>
  </si>
  <si>
    <t>Dubniczay-palota (Vár u. 29.)</t>
  </si>
  <si>
    <t>Fűtésrendszer korszerűsítése</t>
  </si>
  <si>
    <t>Modern képtár külső homlokzati festés</t>
  </si>
  <si>
    <t>Felsőörsi raktárbázis tetőjavítás</t>
  </si>
  <si>
    <t>Felsőörsi raktárbázis nyílászáró csere</t>
  </si>
  <si>
    <t>VKTT Egyesített Szociális Intézmény</t>
  </si>
  <si>
    <t>1. sz. Idősek Otthona (Török I. u. 10.)</t>
  </si>
  <si>
    <t>A főzőkonyha folyosó, lépcsőház repedéseinek statikai felülvizsgálata, javítás</t>
  </si>
  <si>
    <t>A főzőkonyha folyosó, lépcsőház repedések kiváltó ok megszüntetése, kivitelezés II. ütem</t>
  </si>
  <si>
    <t>Betegszobákban lévő fürdőszoba zuhanyzó akadálymentesítése</t>
  </si>
  <si>
    <t>1.vk. Kádárta séd, sérült mederszegély (Orvosi rendelő előtt)</t>
  </si>
  <si>
    <t>Konténer felújítása (Ebrendészeti feladatok)</t>
  </si>
  <si>
    <t>Kerítés felújítása (Ebrendészeti feladatok)</t>
  </si>
  <si>
    <t>Gyulafirátót Posta u. 15. külső nyílászáró csere</t>
  </si>
  <si>
    <t>Polgármesteri Hivatal - C épület felújítása</t>
  </si>
  <si>
    <t>9. melléklet az 5/2024. (II.29.) önkormányzati rendelethez</t>
  </si>
  <si>
    <t>Európai Uniós forrásból finanszírozott támogatással megvalósuló programok, projektek 2024. évi költségvetési kiadásainak előirányzata</t>
  </si>
  <si>
    <t>Teljes költség**</t>
  </si>
  <si>
    <t>Teljesítés                      2022.          12.31.-ig**</t>
  </si>
  <si>
    <t>2023. évi              tény**</t>
  </si>
  <si>
    <t>Működési költségvetési                                                                         kiadások</t>
  </si>
  <si>
    <t>Munk.a. terh. Jár. És szoc.hj.adó</t>
  </si>
  <si>
    <t>Egyéb működési célú kiadások</t>
  </si>
  <si>
    <t>TOP-6.4.1-16-VP1-17-00001 Szabadságpuszta településrész és Felsőörs Község közötti kerékpárút beruházása</t>
  </si>
  <si>
    <t>TOP-6.4.1-16-VP1-2018-00002 Márkó-Bánd települések irányába kerékpárút építése</t>
  </si>
  <si>
    <t>TOP-6.3.4.1-16 Kerékpárút és kerékpárforgalmi létesítmények építése Veszprém-Gyulafirátót</t>
  </si>
  <si>
    <t>GINOP - 7.1.9-17-2018-00023 Veszprém kulturális turisztikai kínálatának fejlesztése</t>
  </si>
  <si>
    <t>601835-CITIZ-1-2018-1-HU-CITIZ-NT Reveal YouropEaN Cultural Heritage/Tárd fel európai kulturális örökségedet (ENriCH)</t>
  </si>
  <si>
    <t>TOP-7.1.1-16-H-ERFA-2019-00372 Barátságparki csalánkert</t>
  </si>
  <si>
    <t>Erasmus+ Hangadó pályázat - Veszprém Ifjúsági Koncepciójának megújítása</t>
  </si>
  <si>
    <t>Urbact fenntartható városfejlesztési hálózat IV. "BiodiverCity" - városi biológiai sokféleség megőrzése, minőségi támogatása és fejlesztése</t>
  </si>
  <si>
    <t>Urbact fenntartható városfejlesztési hálózat IV. "NextGen Youth Work" - ifjúságszakmai fejlesztések a fiatalok bevonásának és a digitalizáció előnyeinek tudatosítás és kihasználása az ifjúsági munkások körében</t>
  </si>
  <si>
    <t>Driving Urban Transition SUMODO</t>
  </si>
  <si>
    <t>Interreg Central Access2CE</t>
  </si>
  <si>
    <t>Erasmus+ Ifjúsági részvételi tevékenységek</t>
  </si>
  <si>
    <t>** Az intézményeknél kimutatott adatokat is tartalmazza</t>
  </si>
  <si>
    <t>10. melléklet az 5/2024. (II.29.) önkormányzati rendelethez</t>
  </si>
  <si>
    <t>Modern Városok Program és más hazai finanszírozásból megvalósuló feladatok 2024. évi költségvetési kiadásainak előirányzata</t>
  </si>
  <si>
    <t>2023. évi              várható**</t>
  </si>
  <si>
    <t>Veszprémi Petőfi Színház komplex fejlesztése</t>
  </si>
  <si>
    <t>Veszprémi új Városi Jégcsarnok építése</t>
  </si>
  <si>
    <t>Veszprém belterületi közúthálózat fejlesztési céljainak és kapcsolódó tereinek megvalósítása (támogatás és önerő)</t>
  </si>
  <si>
    <t>Modern Városok Program keretében megvalósuló veszprémi belterületi közúthálózat fejlesztése projekt során az építési engedélyhez nem kötött felújítások, rekonstrukciók előkészítéséhez kapcsolódó beruházás lebonyolítói tevékenység ellátása a lakóutak és fő közlekedési utak tekintetében</t>
  </si>
  <si>
    <t>Karbonsemleges Veszprém 2030. c. stratégia elkészítése</t>
  </si>
  <si>
    <t>Kutyafuttató park kialakítása</t>
  </si>
  <si>
    <t>**Az intézményeknél kimutatott adatokat is tartalmazza</t>
  </si>
  <si>
    <t>11. melléklet az 5/2024. (II.29) önkormányzati rendelethez</t>
  </si>
  <si>
    <t>Európa Kulturális Fővárosa program 2024. évi költségvetési kiadásainak előirányzata</t>
  </si>
  <si>
    <t>Működési kiadások</t>
  </si>
  <si>
    <t>Halle utcai parkoló</t>
  </si>
  <si>
    <t>Séd-völgyi futókör</t>
  </si>
  <si>
    <t>Játszóterek</t>
  </si>
  <si>
    <t>Mocorgó Játszótér felújítása</t>
  </si>
  <si>
    <t>XV. ütem összesen</t>
  </si>
  <si>
    <t>Európa Kulturális Fővárosa 2023 beruházások előkészítése (önerő)</t>
  </si>
  <si>
    <t>Digitális Kiállítótér a volt Városi Művelődési Központban (Dimitrov) I. ütem</t>
  </si>
  <si>
    <t xml:space="preserve">Európa Kulturális Fővárosa </t>
  </si>
  <si>
    <t>Welcome Veszprém - turisztikai szolgáltatások fejlesztése</t>
  </si>
  <si>
    <t>Könyvkiadás, operatív és turisztikai koordinációs feladatok, terjesztés, turisztikai marketing feladatok, tanulmányok</t>
  </si>
  <si>
    <t>Veszprémi Turisztikai Egyesület EKF program támogatása</t>
  </si>
  <si>
    <t>Táblarendszer fejlesztése és információs térkép, installációk, Séd-völgyi kerékpárút kitáblázása</t>
  </si>
  <si>
    <t>Kioszk, QR kód leolvasó és Audio-guide</t>
  </si>
  <si>
    <t>E-bike töltő és szervizközpontok</t>
  </si>
  <si>
    <t>Köz-WC és ivókutak</t>
  </si>
  <si>
    <t>Köztéri infrastruktúra fejlesztése, szobrok téliesítése</t>
  </si>
  <si>
    <t>Millenniumi emlékmű projektelőkészítési és lebonyolítási feladatok</t>
  </si>
  <si>
    <t>Európa Kulturális Fővárosa XXXVII. ütem</t>
  </si>
  <si>
    <t>Pontszerű telekommunikációs fejlesztések Veszprém belvárosában</t>
  </si>
  <si>
    <t>VMJV Kulturális tartalomfejlesztés 2023.</t>
  </si>
  <si>
    <t>Veszprémi Várbörtön felújítása</t>
  </si>
  <si>
    <t>VMJV Kulturális tartalomfejlesztés 2023. 2. csomag</t>
  </si>
  <si>
    <t>Rézsűs játszótér részleges átalakítása és felújítása</t>
  </si>
  <si>
    <t>Digitális Múzeum kialakítása a volt Dimitrov Művelődési Központ épületében</t>
  </si>
  <si>
    <t>Kiskuti csárda felújítása</t>
  </si>
  <si>
    <t>Parkolók létesítése a Csikász és Csermák utcában</t>
  </si>
  <si>
    <t>Veszprémben élő és Veszprémbe látogató gyermekek nevelésének és biztonságos közlekedésének elősegítése az EKF évében</t>
  </si>
  <si>
    <t>Európa Kulturális Fővárosa LIII. ütem</t>
  </si>
  <si>
    <t>Várfalsétány kialakítása</t>
  </si>
  <si>
    <t>VMJV Kulturális tartalomfejlesztés 3. csomag</t>
  </si>
  <si>
    <t>Európa Kulturális Fővárosa LVI. ütem</t>
  </si>
  <si>
    <t>Jutasi út 32. ingatlan bontása és tereprendezése, Jutasi út 30. ingatlanon kutya- és utasváró létesítése</t>
  </si>
  <si>
    <t>Nagy Sándor szoborfejek kihelyezése a Püspökkertben</t>
  </si>
  <si>
    <t>Városrészi zászlók gyártása és kihelyezése, játszóterek fejlesztése</t>
  </si>
  <si>
    <t>Európa Kulturális Fővárosa LIX. ütem</t>
  </si>
  <si>
    <t>Dubniczay-palota részleges felújítása, átalakítása</t>
  </si>
  <si>
    <t>Európa Kulturális Fővárosa LXI. ütem</t>
  </si>
  <si>
    <t>Botlatókövek és sétafesztivál</t>
  </si>
  <si>
    <t>Közösség terek és közterületek fejlesztése Veszprémben</t>
  </si>
  <si>
    <t>"Ember A Rács Mögött" kiállítás megvalósítása</t>
  </si>
  <si>
    <t>Európa Kulturális Fővárosa LXIII. ütem</t>
  </si>
  <si>
    <t>Glass Art NOW! @ The Venice Glass Week 2023</t>
  </si>
  <si>
    <t>Csermák lépcső felújítása</t>
  </si>
  <si>
    <t>Veszprémi Városháza rendezvénytermeinek és kapcsolódó kiszolgáló helységeinek felújítása</t>
  </si>
  <si>
    <t>Európa Kulturális Fővárosa</t>
  </si>
  <si>
    <t>12. melléklet az 5/2024. (II.29) önkormányzati rendelethez</t>
  </si>
  <si>
    <t>VESZPRÉM MEGYEI JOGÚ VÁROS ÖNKORMÁNYZATÁNAK MŰKÖDÉSI ÉS FELHALMOZÁSI</t>
  </si>
  <si>
    <t>KÖLTSÉGVETÉSI BEVÉTELEI ÉS KIADÁSAI 2024. ÉVBEN</t>
  </si>
  <si>
    <t>Előirányzat csoport / Kiemelt előirányzat neve</t>
  </si>
  <si>
    <t>2023. évi        tény</t>
  </si>
  <si>
    <t>2024. évi   eredeti előirányzat</t>
  </si>
  <si>
    <t>MŰKÖDÉSI KÖLTSÉGVETÉSI BEVÉTELEK</t>
  </si>
  <si>
    <t>MŰKÖDÉSI KÖLTSÉGVETÉSI KIADÁSOK</t>
  </si>
  <si>
    <t>Működési célú támogatások államháztartáson belülről</t>
  </si>
  <si>
    <t>Munkaadókat terhelő járulékok és szociális hozzájárulási adó</t>
  </si>
  <si>
    <t>Egyéb működési célú kiadások (tartalékok nélkül)</t>
  </si>
  <si>
    <t>Működési célú tartalékok</t>
  </si>
  <si>
    <t>Működési költségvetési bevételek összesen</t>
  </si>
  <si>
    <t>Működési költségvetési kiadások összesen</t>
  </si>
  <si>
    <t>FELHALMOZÁSI KÖLTSÉGVETÉSI BEVÉTELEK</t>
  </si>
  <si>
    <t>FELHALMOZÁSI KÖLTSÉGVETÉSI KIADÁSOK</t>
  </si>
  <si>
    <t>Felhalmozási célú támogatások államháztartáson belülről</t>
  </si>
  <si>
    <t>Felhalmozási célú tartalékok</t>
  </si>
  <si>
    <t>Felhalmozási költségvetési bevételek összesen</t>
  </si>
  <si>
    <t>Felhalmozási költségvetési kiadások összesen</t>
  </si>
  <si>
    <t>MŰKÖDÉSI FINANSZÍROZÁSI BEVÉTELEK</t>
  </si>
  <si>
    <t>MŰKÖDÉSI FINANSZÍROZÁSI KIADÁSOK</t>
  </si>
  <si>
    <t>Költségvetési maradvány</t>
  </si>
  <si>
    <t>Belföldi értékpapírok beváltása, értékesítése</t>
  </si>
  <si>
    <t>FELHALMOZÁSI FINANSZÍROZÁSI BEVÉTELEK</t>
  </si>
  <si>
    <t>FELHALMOZÁSI FINANSZÍROZÁSI KIADÁSOK</t>
  </si>
  <si>
    <t>Hosszú lejáratú hitel felvétele</t>
  </si>
  <si>
    <t>Hosszú lejáratú hitel tőkeösszegének törlesztése</t>
  </si>
  <si>
    <t>Finanszírozási bevételek összesen</t>
  </si>
  <si>
    <t>Finanszírozási kiadások összesen</t>
  </si>
  <si>
    <t>ÖSSZES BEVÉTEL</t>
  </si>
  <si>
    <t>ÖSSZES KIADÁS</t>
  </si>
  <si>
    <t>ebből működési:</t>
  </si>
  <si>
    <t>ebből felhalmozási:</t>
  </si>
  <si>
    <t>Finanszírozási kiadásokkal korrigált hiány összege</t>
  </si>
  <si>
    <t>Hiány finanszírozása belső finanszírozásra szolgáló költségvetési bevétel összegével</t>
  </si>
  <si>
    <t>Hiány finanszírozása külső finanszírozásra szolgáló költségvetési bevétel összegével</t>
  </si>
  <si>
    <t>Működési bevételek aránya %-ban</t>
  </si>
  <si>
    <t>Működési kiadások aránya %-ban</t>
  </si>
  <si>
    <t>Felhalmozási bevételek aránya %-ban</t>
  </si>
  <si>
    <t>Felhalmozási kiadások aránya %-ban</t>
  </si>
  <si>
    <t xml:space="preserve"> </t>
  </si>
  <si>
    <t>13. melléklet az 5/2024. (II.29.) önkormányzati rendelethez</t>
  </si>
  <si>
    <t>KIMUTATÁS</t>
  </si>
  <si>
    <t>a 2024. évi engedélyezett létszámról</t>
  </si>
  <si>
    <t>2024. évi engedélyezett létszám</t>
  </si>
  <si>
    <t>Megjegyzés</t>
  </si>
  <si>
    <t>szeptember 1-től 1 fő asszisztens, 1 fő felnőtt háziorvos, valamint gyermekorvos, fogorvos jogviszonyváltozásból adódóan 0,5 fő, szeptember 1 től (-1) fő iskolaorvos, 2025. január 1-től 1 fő háziorvosi asszisztens</t>
  </si>
  <si>
    <t>2024. március 1-től 1 fő,  2024. július 1-től december 31-ig 1 fő</t>
  </si>
  <si>
    <t xml:space="preserve">Kabóca Bábszínház </t>
  </si>
  <si>
    <t>2024. március 1-től 6 fő</t>
  </si>
  <si>
    <t>Intézmények összesen:</t>
  </si>
  <si>
    <t>Polgármester, Alpolgármesterek</t>
  </si>
  <si>
    <t>Közfoglalkoztatottak és diákmunkások létszáma</t>
  </si>
  <si>
    <t>ebből:</t>
  </si>
  <si>
    <t>TOP PLUSZ tervezés</t>
  </si>
  <si>
    <t>módosítás- SWIETELSKY Kft. - egyezségi megállapodás szertinti pótmunka költsége</t>
  </si>
  <si>
    <t>Általános iskolák rekonstrukciós munkái</t>
  </si>
  <si>
    <t>módosítás- SWIETELSKY Magyarország Kft. - egyezségi megállapodás szerint követelés csökkenés, átcsoportosítás Veszprém belterületi hálózatfejlesztés feladatokra</t>
  </si>
  <si>
    <t>1. melléklet a 2024. évi költségvetésről szóló 5/2024. (II.29.) önkormányzati rendelet módosításáról szóló 31/2024. (XII.12.) önkormányzati rendelethez</t>
  </si>
  <si>
    <t>2. melléklet a 2024. évi költségvetésről szóló 5/2024. (II.29.) önkormányzati rendelet módosításáról szóló 31/2024. (XII.12.) önkormányzati rendelethez</t>
  </si>
  <si>
    <t>3. melléklet a 2024. évi költségvetésről szóló 5/2024. (II.29.) önkormányzati rendelet módosításáról szóló 31/2024. (XII.12.) önkormányzati rendelethez</t>
  </si>
  <si>
    <t>4. melléklet a 2024. évi költségvetésről szóló 5/2024. (II.29.) önkormányzati rendelet módosításáról szóló 31/2024. (XII.12.) önkormányzati rendelethez</t>
  </si>
  <si>
    <t>5. melléklet a 2024. évi költségvetésről szóló 5/2024. (II.29.) önkormányzati rendelet módosításáról szóló 31/2024. (XII.12.) önkormányzati rendelethez</t>
  </si>
  <si>
    <t>6. melléklet a 2024. évi költségvetésről szóló 5/2024. (II.29.) önkormányzati rendelet módosításáról szóló 31/2024. (XII.12.) önkormányzati rendelethez</t>
  </si>
  <si>
    <t>7. melléklet a 2024. évi költségvetésről szóló 5/2024. (II.29.) önkormányzati rendelet módosításáról szóló 31/2024. (XII.12.) önkormányzati rendelethez</t>
  </si>
  <si>
    <t>8. melléklet a 2024. évi költségvetésről szóló 5/2024. (II.29) önkormányzati rendelet módosításáról szóló 31/2024. (XII.12.) önkormányzati rendelethez</t>
  </si>
  <si>
    <t>9. melléklet a 2024. évi költségvetésről szóló 5/2024. (II.29.) önkormányzati rendelet módosításáról szóló 31/2024. (XII.12.) önkormányzati rendelethez</t>
  </si>
  <si>
    <t>10. melléklet a 2024. évi költségvetésről szóló 5/2024. (II.29.) önkormányzati rendelet módosításáról szóló 31/2024. (XII.12.) önkormányzati rendelethez</t>
  </si>
  <si>
    <t>11. melléklet a 2024. évi költségvetésről szóló 5/2024. (II.29.) önkormányzati rendelet módosításáról szóló 31/2024. (XII.12.) önkormányzati rendelethez</t>
  </si>
  <si>
    <t>12. melléklet a 2024. évi költségvetésről szóló 5/2024. (II.29.) önkormányzati rendelet módosításáról szóló 31/2024. (XII.12.) önkormányzati rendelethez</t>
  </si>
  <si>
    <t>13. melléklet a 2024. évi költségvetésről szóló 5/2024. (II.29.) önkormányzati rendelet módosításáról szóló 31/2024. (XII.12.) önkormányzati rendelethez</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</si>
</sst>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F_t_-;\-* #,##0.00\ _F_t_-;_-* \-??\ _F_t_-;_-@_-"/>
    <numFmt numFmtId="165" formatCode="0.0%"/>
    <numFmt numFmtId="166" formatCode="0.000"/>
  </numFmts>
  <fonts count="47" x14ac:knownFonts="1">
    <font>
      <sz val="10"/>
      <name val="Arial CE"/>
      <charset val="238"/>
    </font>
    <font>
      <sz val="11"/>
      <color rgb="FF000000"/>
      <name val="Calibri"/>
      <family val="2"/>
      <charset val="238"/>
    </font>
    <font>
      <sz val="10"/>
      <name val="Arial"/>
      <family val="2"/>
      <charset val="238"/>
    </font>
    <font>
      <sz val="8"/>
      <name val="Arial CE"/>
      <charset val="238"/>
    </font>
    <font>
      <sz val="12"/>
      <name val="Times New Roman"/>
      <family val="1"/>
      <charset val="238"/>
    </font>
    <font>
      <sz val="11"/>
      <name val="Palatino Linotype"/>
      <family val="1"/>
      <charset val="238"/>
    </font>
    <font>
      <b/>
      <sz val="11"/>
      <name val="Palatino Linotype"/>
      <family val="1"/>
      <charset val="238"/>
    </font>
    <font>
      <b/>
      <i/>
      <sz val="11"/>
      <name val="Palatino Linotype"/>
      <family val="1"/>
      <charset val="238"/>
    </font>
    <font>
      <b/>
      <i/>
      <sz val="10"/>
      <name val="Palatino Linotype"/>
      <family val="1"/>
      <charset val="238"/>
    </font>
    <font>
      <i/>
      <sz val="11"/>
      <name val="Palatino Linotype"/>
      <family val="1"/>
      <charset val="238"/>
    </font>
    <font>
      <b/>
      <u/>
      <sz val="11"/>
      <name val="Palatino Linotype"/>
      <family val="1"/>
      <charset val="238"/>
    </font>
    <font>
      <sz val="9"/>
      <name val="Palatino Linotype"/>
      <family val="1"/>
      <charset val="238"/>
    </font>
    <font>
      <sz val="10"/>
      <name val="Palatino Linotype"/>
      <family val="1"/>
      <charset val="238"/>
    </font>
    <font>
      <i/>
      <sz val="10"/>
      <name val="Palatino Linotype"/>
      <family val="1"/>
      <charset val="238"/>
    </font>
    <font>
      <i/>
      <sz val="9"/>
      <name val="Palatino Linotype"/>
      <family val="1"/>
      <charset val="238"/>
    </font>
    <font>
      <b/>
      <sz val="9"/>
      <name val="Palatino Linotype"/>
      <family val="1"/>
      <charset val="238"/>
    </font>
    <font>
      <sz val="9"/>
      <name val="Arial CE"/>
      <charset val="238"/>
    </font>
    <font>
      <i/>
      <sz val="10"/>
      <name val="Arial CE"/>
      <charset val="238"/>
    </font>
    <font>
      <sz val="11"/>
      <name val="Arial CE"/>
      <charset val="238"/>
    </font>
    <font>
      <b/>
      <sz val="10"/>
      <name val="Palatino Linotype"/>
      <family val="1"/>
      <charset val="238"/>
    </font>
    <font>
      <i/>
      <u/>
      <sz val="10"/>
      <name val="Palatino Linotype"/>
      <family val="1"/>
      <charset val="238"/>
    </font>
    <font>
      <b/>
      <sz val="10"/>
      <color rgb="FF632523"/>
      <name val="Palatino Linotype"/>
      <family val="1"/>
      <charset val="238"/>
    </font>
    <font>
      <b/>
      <i/>
      <sz val="10"/>
      <color rgb="FF632523"/>
      <name val="Palatino Linotype"/>
      <family val="1"/>
      <charset val="238"/>
    </font>
    <font>
      <b/>
      <sz val="10"/>
      <color rgb="FF632523"/>
      <name val="Arial CE"/>
      <charset val="238"/>
    </font>
    <font>
      <b/>
      <i/>
      <sz val="10"/>
      <color rgb="FF632523"/>
      <name val="Arial CE"/>
      <charset val="238"/>
    </font>
    <font>
      <sz val="10"/>
      <color rgb="FF632523"/>
      <name val="Palatino Linotype"/>
      <family val="1"/>
      <charset val="238"/>
    </font>
    <font>
      <i/>
      <sz val="10"/>
      <color rgb="FF632523"/>
      <name val="Palatino Linotype"/>
      <family val="1"/>
      <charset val="238"/>
    </font>
    <font>
      <b/>
      <u/>
      <sz val="10"/>
      <name val="Palatino Linotype"/>
      <family val="1"/>
      <charset val="238"/>
    </font>
    <font>
      <u/>
      <sz val="10"/>
      <name val="Palatino Linotype"/>
      <family val="1"/>
      <charset val="238"/>
    </font>
    <font>
      <sz val="10"/>
      <color rgb="FFFF0000"/>
      <name val="Palatino Linotype"/>
      <family val="1"/>
      <charset val="238"/>
    </font>
    <font>
      <sz val="7"/>
      <name val="Palatino Linotype"/>
      <family val="1"/>
      <charset val="238"/>
    </font>
    <font>
      <b/>
      <sz val="11"/>
      <color rgb="FF632523"/>
      <name val="Palatino Linotype"/>
      <family val="1"/>
      <charset val="238"/>
    </font>
    <font>
      <b/>
      <i/>
      <sz val="11"/>
      <color rgb="FF632523"/>
      <name val="Palatino Linotype"/>
      <family val="1"/>
      <charset val="238"/>
    </font>
    <font>
      <sz val="11"/>
      <color rgb="FF632523"/>
      <name val="Palatino Linotype"/>
      <family val="1"/>
      <charset val="238"/>
    </font>
    <font>
      <b/>
      <sz val="10"/>
      <color rgb="FF984807"/>
      <name val="Palatino Linotype"/>
      <family val="1"/>
      <charset val="238"/>
    </font>
    <font>
      <sz val="11"/>
      <color rgb="FF000000"/>
      <name val="Palatino Linotype"/>
      <family val="1"/>
      <charset val="238"/>
    </font>
    <font>
      <sz val="12"/>
      <name val="Palatino Linotype"/>
      <family val="1"/>
      <charset val="238"/>
    </font>
    <font>
      <b/>
      <u/>
      <sz val="11"/>
      <color rgb="FF000000"/>
      <name val="Palatino Linotype"/>
      <family val="1"/>
      <charset val="238"/>
    </font>
    <font>
      <b/>
      <i/>
      <u/>
      <sz val="11"/>
      <color rgb="FF000000"/>
      <name val="Palatino Linotype"/>
      <family val="1"/>
      <charset val="238"/>
    </font>
    <font>
      <b/>
      <i/>
      <sz val="11"/>
      <color rgb="FF000000"/>
      <name val="Palatino Linotype"/>
      <family val="1"/>
      <charset val="238"/>
    </font>
    <font>
      <b/>
      <sz val="10"/>
      <name val="Arial CE"/>
      <charset val="238"/>
    </font>
    <font>
      <b/>
      <sz val="11"/>
      <color rgb="FF800000"/>
      <name val="Palatino Linotype"/>
      <family val="1"/>
      <charset val="238"/>
    </font>
    <font>
      <sz val="11"/>
      <color rgb="FFFF0000"/>
      <name val="Palatino Linotype"/>
      <family val="1"/>
      <charset val="238"/>
    </font>
    <font>
      <b/>
      <u/>
      <sz val="12"/>
      <name val="Palatino Linotype"/>
      <family val="1"/>
      <charset val="238"/>
    </font>
    <font>
      <sz val="11"/>
      <color rgb="FF800000"/>
      <name val="Palatino Linotype"/>
      <family val="1"/>
      <charset val="238"/>
    </font>
    <font>
      <sz val="10.5"/>
      <name val="Palatino Linotype"/>
      <family val="1"/>
      <charset val="238"/>
    </font>
    <font>
      <sz val="10"/>
      <name val="Arial CE"/>
      <charset val="238"/>
    </font>
  </fonts>
  <fills count="3">
    <fill>
      <patternFill patternType="none"/>
    </fill>
    <fill>
      <patternFill patternType="gray125"/>
    </fill>
    <fill>
      <patternFill patternType="solid">
        <fgColor rgb="FFDCE6F2"/>
        <bgColor rgb="FFCCFFFF"/>
      </patternFill>
    </fill>
  </fills>
  <borders count="231">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right/>
      <top/>
      <bottom style="thin">
        <color auto="1"/>
      </bottom>
      <diagonal/>
    </border>
    <border>
      <left/>
      <right style="medium">
        <color auto="1"/>
      </right>
      <top style="medium">
        <color auto="1"/>
      </top>
      <bottom style="medium">
        <color auto="1"/>
      </bottom>
      <diagonal/>
    </border>
    <border>
      <left/>
      <right/>
      <top style="thin">
        <color auto="1"/>
      </top>
      <bottom style="double">
        <color auto="1"/>
      </bottom>
      <diagonal/>
    </border>
    <border>
      <left/>
      <right/>
      <top style="double">
        <color auto="1"/>
      </top>
      <bottom/>
      <diagonal/>
    </border>
    <border>
      <left/>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double">
        <color auto="1"/>
      </left>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double">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diagonal/>
    </border>
    <border>
      <left style="double">
        <color auto="1"/>
      </left>
      <right/>
      <top/>
      <bottom/>
      <diagonal/>
    </border>
    <border>
      <left/>
      <right style="medium">
        <color auto="1"/>
      </right>
      <top/>
      <bottom/>
      <diagonal/>
    </border>
    <border>
      <left style="double">
        <color auto="1"/>
      </left>
      <right/>
      <top/>
      <bottom style="thin">
        <color auto="1"/>
      </bottom>
      <diagonal/>
    </border>
    <border>
      <left style="medium">
        <color auto="1"/>
      </left>
      <right/>
      <top style="thin">
        <color auto="1"/>
      </top>
      <bottom style="thin">
        <color auto="1"/>
      </bottom>
      <diagonal/>
    </border>
    <border>
      <left/>
      <right style="double">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double">
        <color auto="1"/>
      </left>
      <right/>
      <top style="thin">
        <color auto="1"/>
      </top>
      <bottom style="thin">
        <color auto="1"/>
      </bottom>
      <diagonal/>
    </border>
    <border>
      <left style="medium">
        <color auto="1"/>
      </left>
      <right/>
      <top style="thin">
        <color auto="1"/>
      </top>
      <bottom style="double">
        <color auto="1"/>
      </bottom>
      <diagonal/>
    </border>
    <border>
      <left style="double">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style="double">
        <color auto="1"/>
      </left>
      <right/>
      <top style="double">
        <color auto="1"/>
      </top>
      <bottom style="medium">
        <color auto="1"/>
      </bottom>
      <diagonal/>
    </border>
    <border>
      <left/>
      <right style="medium">
        <color auto="1"/>
      </right>
      <top style="double">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double">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double">
        <color auto="1"/>
      </right>
      <top style="medium">
        <color auto="1"/>
      </top>
      <bottom style="medium">
        <color auto="1"/>
      </bottom>
      <diagonal/>
    </border>
    <border>
      <left style="double">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double">
        <color auto="1"/>
      </right>
      <top/>
      <bottom style="hair">
        <color auto="1"/>
      </bottom>
      <diagonal/>
    </border>
    <border>
      <left style="hair">
        <color auto="1"/>
      </left>
      <right style="medium">
        <color auto="1"/>
      </right>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double">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double">
        <color auto="1"/>
      </bottom>
      <diagonal/>
    </border>
    <border>
      <left style="hair">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right style="hair">
        <color auto="1"/>
      </right>
      <top style="double">
        <color auto="1"/>
      </top>
      <bottom style="hair">
        <color auto="1"/>
      </bottom>
      <diagonal/>
    </border>
    <border>
      <left style="hair">
        <color auto="1"/>
      </left>
      <right style="medium">
        <color auto="1"/>
      </right>
      <top style="double">
        <color auto="1"/>
      </top>
      <bottom style="hair">
        <color auto="1"/>
      </bottom>
      <diagonal/>
    </border>
    <border>
      <left style="hair">
        <color auto="1"/>
      </left>
      <right style="hair">
        <color auto="1"/>
      </right>
      <top style="hair">
        <color auto="1"/>
      </top>
      <bottom/>
      <diagonal/>
    </border>
    <border>
      <left/>
      <right/>
      <top style="hair">
        <color auto="1"/>
      </top>
      <bottom/>
      <diagonal/>
    </border>
    <border>
      <left style="hair">
        <color auto="1"/>
      </left>
      <right style="double">
        <color auto="1"/>
      </right>
      <top style="hair">
        <color auto="1"/>
      </top>
      <bottom/>
      <diagonal/>
    </border>
    <border>
      <left/>
      <right style="hair">
        <color auto="1"/>
      </right>
      <top style="hair">
        <color auto="1"/>
      </top>
      <bottom/>
      <diagonal/>
    </border>
    <border>
      <left style="hair">
        <color auto="1"/>
      </left>
      <right style="medium">
        <color auto="1"/>
      </right>
      <top style="hair">
        <color auto="1"/>
      </top>
      <bottom/>
      <diagonal/>
    </border>
    <border>
      <left style="hair">
        <color auto="1"/>
      </left>
      <right style="hair">
        <color auto="1"/>
      </right>
      <top/>
      <bottom style="double">
        <color auto="1"/>
      </bottom>
      <diagonal/>
    </border>
    <border>
      <left/>
      <right/>
      <top/>
      <bottom style="double">
        <color auto="1"/>
      </bottom>
      <diagonal/>
    </border>
    <border>
      <left style="hair">
        <color auto="1"/>
      </left>
      <right style="double">
        <color auto="1"/>
      </right>
      <top/>
      <bottom style="double">
        <color auto="1"/>
      </bottom>
      <diagonal/>
    </border>
    <border>
      <left style="double">
        <color auto="1"/>
      </left>
      <right style="hair">
        <color auto="1"/>
      </right>
      <top/>
      <bottom style="double">
        <color auto="1"/>
      </bottom>
      <diagonal/>
    </border>
    <border>
      <left style="hair">
        <color auto="1"/>
      </left>
      <right style="medium">
        <color auto="1"/>
      </right>
      <top/>
      <bottom style="double">
        <color auto="1"/>
      </bottom>
      <diagonal/>
    </border>
    <border>
      <left/>
      <right style="medium">
        <color auto="1"/>
      </right>
      <top style="hair">
        <color auto="1"/>
      </top>
      <bottom style="hair">
        <color auto="1"/>
      </bottom>
      <diagonal/>
    </border>
    <border>
      <left style="hair">
        <color auto="1"/>
      </left>
      <right/>
      <top style="hair">
        <color auto="1"/>
      </top>
      <bottom/>
      <diagonal/>
    </border>
    <border>
      <left style="hair">
        <color auto="1"/>
      </left>
      <right/>
      <top style="hair">
        <color auto="1"/>
      </top>
      <bottom style="double">
        <color auto="1"/>
      </bottom>
      <diagonal/>
    </border>
    <border>
      <left style="hair">
        <color auto="1"/>
      </left>
      <right style="double">
        <color auto="1"/>
      </right>
      <top style="hair">
        <color auto="1"/>
      </top>
      <bottom style="double">
        <color auto="1"/>
      </bottom>
      <diagonal/>
    </border>
    <border>
      <left style="hair">
        <color auto="1"/>
      </left>
      <right style="medium">
        <color auto="1"/>
      </right>
      <top style="hair">
        <color auto="1"/>
      </top>
      <bottom style="double">
        <color auto="1"/>
      </bottom>
      <diagonal/>
    </border>
    <border>
      <left style="hair">
        <color auto="1"/>
      </left>
      <right style="hair">
        <color auto="1"/>
      </right>
      <top/>
      <bottom/>
      <diagonal/>
    </border>
    <border>
      <left style="hair">
        <color auto="1"/>
      </left>
      <right style="double">
        <color auto="1"/>
      </right>
      <top/>
      <bottom/>
      <diagonal/>
    </border>
    <border>
      <left style="hair">
        <color auto="1"/>
      </left>
      <right style="medium">
        <color auto="1"/>
      </right>
      <top/>
      <bottom/>
      <diagonal/>
    </border>
    <border>
      <left/>
      <right/>
      <top style="hair">
        <color auto="1"/>
      </top>
      <bottom style="double">
        <color auto="1"/>
      </bottom>
      <diagonal/>
    </border>
    <border>
      <left style="hair">
        <color auto="1"/>
      </left>
      <right style="hair">
        <color auto="1"/>
      </right>
      <top style="hair">
        <color auto="1"/>
      </top>
      <bottom style="medium">
        <color auto="1"/>
      </bottom>
      <diagonal/>
    </border>
    <border>
      <left style="double">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double">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bottom/>
      <diagonal/>
    </border>
    <border>
      <left style="hair">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style="medium">
        <color auto="1"/>
      </left>
      <right style="hair">
        <color auto="1"/>
      </right>
      <top style="hair">
        <color auto="1"/>
      </top>
      <bottom/>
      <diagonal/>
    </border>
    <border>
      <left style="medium">
        <color auto="1"/>
      </left>
      <right/>
      <top style="hair">
        <color auto="1"/>
      </top>
      <bottom/>
      <diagonal/>
    </border>
    <border>
      <left style="medium">
        <color auto="1"/>
      </left>
      <right/>
      <top style="hair">
        <color auto="1"/>
      </top>
      <bottom style="hair">
        <color auto="1"/>
      </bottom>
      <diagonal/>
    </border>
    <border>
      <left style="hair">
        <color auto="1"/>
      </left>
      <right style="hair">
        <color auto="1"/>
      </right>
      <top/>
      <bottom style="medium">
        <color auto="1"/>
      </bottom>
      <diagonal/>
    </border>
    <border>
      <left style="double">
        <color auto="1"/>
      </left>
      <right style="hair">
        <color auto="1"/>
      </right>
      <top/>
      <bottom style="medium">
        <color auto="1"/>
      </bottom>
      <diagonal/>
    </border>
    <border>
      <left style="medium">
        <color auto="1"/>
      </left>
      <right style="hair">
        <color auto="1"/>
      </right>
      <top style="hair">
        <color auto="1"/>
      </top>
      <bottom style="medium">
        <color auto="1"/>
      </bottom>
      <diagonal/>
    </border>
    <border>
      <left style="hair">
        <color auto="1"/>
      </left>
      <right/>
      <top/>
      <bottom style="medium">
        <color auto="1"/>
      </bottom>
      <diagonal/>
    </border>
    <border>
      <left style="hair">
        <color auto="1"/>
      </left>
      <right style="medium">
        <color auto="1"/>
      </right>
      <top style="hair">
        <color auto="1"/>
      </top>
      <bottom style="medium">
        <color auto="1"/>
      </bottom>
      <diagonal/>
    </border>
    <border>
      <left style="double">
        <color auto="1"/>
      </left>
      <right style="hair">
        <color auto="1"/>
      </right>
      <top/>
      <bottom style="hair">
        <color auto="1"/>
      </bottom>
      <diagonal/>
    </border>
    <border>
      <left style="double">
        <color auto="1"/>
      </left>
      <right style="hair">
        <color auto="1"/>
      </right>
      <top style="hair">
        <color auto="1"/>
      </top>
      <bottom style="hair">
        <color auto="1"/>
      </bottom>
      <diagonal/>
    </border>
    <border>
      <left style="hair">
        <color auto="1"/>
      </left>
      <right/>
      <top style="double">
        <color auto="1"/>
      </top>
      <bottom style="hair">
        <color auto="1"/>
      </bottom>
      <diagonal/>
    </border>
    <border>
      <left style="double">
        <color auto="1"/>
      </left>
      <right style="hair">
        <color auto="1"/>
      </right>
      <top style="double">
        <color auto="1"/>
      </top>
      <bottom style="hair">
        <color auto="1"/>
      </bottom>
      <diagonal/>
    </border>
    <border>
      <left style="double">
        <color auto="1"/>
      </left>
      <right style="hair">
        <color auto="1"/>
      </right>
      <top style="hair">
        <color auto="1"/>
      </top>
      <bottom/>
      <diagonal/>
    </border>
    <border>
      <left/>
      <right style="hair">
        <color auto="1"/>
      </right>
      <top style="hair">
        <color auto="1"/>
      </top>
      <bottom style="double">
        <color auto="1"/>
      </bottom>
      <diagonal/>
    </border>
    <border>
      <left style="double">
        <color auto="1"/>
      </left>
      <right style="hair">
        <color auto="1"/>
      </right>
      <top style="hair">
        <color auto="1"/>
      </top>
      <bottom style="double">
        <color auto="1"/>
      </bottom>
      <diagonal/>
    </border>
    <border>
      <left style="hair">
        <color auto="1"/>
      </left>
      <right style="double">
        <color auto="1"/>
      </right>
      <top style="hair">
        <color auto="1"/>
      </top>
      <bottom style="medium">
        <color auto="1"/>
      </bottom>
      <diagonal/>
    </border>
    <border>
      <left/>
      <right style="hair">
        <color auto="1"/>
      </right>
      <top/>
      <bottom/>
      <diagonal/>
    </border>
    <border>
      <left style="hair">
        <color auto="1"/>
      </left>
      <right/>
      <top/>
      <bottom/>
      <diagonal/>
    </border>
    <border>
      <left style="double">
        <color auto="1"/>
      </left>
      <right style="hair">
        <color auto="1"/>
      </right>
      <top style="medium">
        <color auto="1"/>
      </top>
      <bottom style="hair">
        <color auto="1"/>
      </bottom>
      <diagonal/>
    </border>
    <border>
      <left style="medium">
        <color auto="1"/>
      </left>
      <right/>
      <top/>
      <bottom style="hair">
        <color auto="1"/>
      </bottom>
      <diagonal/>
    </border>
    <border>
      <left/>
      <right style="double">
        <color auto="1"/>
      </right>
      <top style="hair">
        <color auto="1"/>
      </top>
      <bottom/>
      <diagonal/>
    </border>
    <border>
      <left/>
      <right style="double">
        <color auto="1"/>
      </right>
      <top style="hair">
        <color auto="1"/>
      </top>
      <bottom style="hair">
        <color auto="1"/>
      </bottom>
      <diagonal/>
    </border>
    <border>
      <left style="medium">
        <color auto="1"/>
      </left>
      <right/>
      <top/>
      <bottom style="medium">
        <color auto="1"/>
      </bottom>
      <diagonal/>
    </border>
    <border>
      <left/>
      <right style="hair">
        <color auto="1"/>
      </right>
      <top/>
      <bottom style="medium">
        <color auto="1"/>
      </bottom>
      <diagonal/>
    </border>
    <border>
      <left/>
      <right style="double">
        <color auto="1"/>
      </right>
      <top/>
      <bottom style="medium">
        <color auto="1"/>
      </bottom>
      <diagonal/>
    </border>
    <border>
      <left/>
      <right style="medium">
        <color auto="1"/>
      </right>
      <top/>
      <bottom style="medium">
        <color auto="1"/>
      </bottom>
      <diagonal/>
    </border>
    <border>
      <left/>
      <right/>
      <top style="medium">
        <color auto="1"/>
      </top>
      <bottom/>
      <diagonal/>
    </border>
    <border>
      <left style="double">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top style="hair">
        <color auto="1"/>
      </top>
      <bottom style="double">
        <color auto="1"/>
      </bottom>
      <diagonal/>
    </border>
    <border>
      <left style="double">
        <color auto="1"/>
      </left>
      <right/>
      <top style="hair">
        <color auto="1"/>
      </top>
      <bottom style="double">
        <color auto="1"/>
      </bottom>
      <diagonal/>
    </border>
    <border>
      <left style="medium">
        <color auto="1"/>
      </left>
      <right style="hair">
        <color auto="1"/>
      </right>
      <top style="double">
        <color auto="1"/>
      </top>
      <bottom style="medium">
        <color auto="1"/>
      </bottom>
      <diagonal/>
    </border>
    <border>
      <left style="hair">
        <color auto="1"/>
      </left>
      <right style="hair">
        <color auto="1"/>
      </right>
      <top style="double">
        <color auto="1"/>
      </top>
      <bottom style="medium">
        <color auto="1"/>
      </bottom>
      <diagonal/>
    </border>
    <border>
      <left style="hair">
        <color auto="1"/>
      </left>
      <right/>
      <top style="double">
        <color auto="1"/>
      </top>
      <bottom style="medium">
        <color auto="1"/>
      </bottom>
      <diagonal/>
    </border>
    <border>
      <left style="medium">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right style="hair">
        <color auto="1"/>
      </right>
      <top style="hair">
        <color auto="1"/>
      </top>
      <bottom style="medium">
        <color auto="1"/>
      </bottom>
      <diagonal/>
    </border>
    <border>
      <left/>
      <right style="double">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hair">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double">
        <color auto="1"/>
      </left>
      <right/>
      <top/>
      <bottom style="hair">
        <color auto="1"/>
      </bottom>
      <diagonal/>
    </border>
    <border>
      <left style="double">
        <color auto="1"/>
      </left>
      <right/>
      <top style="hair">
        <color auto="1"/>
      </top>
      <bottom style="hair">
        <color auto="1"/>
      </bottom>
      <diagonal/>
    </border>
    <border>
      <left/>
      <right style="medium">
        <color auto="1"/>
      </right>
      <top/>
      <bottom style="hair">
        <color auto="1"/>
      </bottom>
      <diagonal/>
    </border>
    <border>
      <left/>
      <right style="medium">
        <color auto="1"/>
      </right>
      <top style="hair">
        <color auto="1"/>
      </top>
      <bottom/>
      <diagonal/>
    </border>
    <border>
      <left style="medium">
        <color auto="1"/>
      </left>
      <right/>
      <top style="hair">
        <color auto="1"/>
      </top>
      <bottom style="medium">
        <color auto="1"/>
      </bottom>
      <diagonal/>
    </border>
    <border>
      <left/>
      <right style="double">
        <color auto="1"/>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double">
        <color auto="1"/>
      </left>
      <right/>
      <top style="hair">
        <color auto="1"/>
      </top>
      <bottom/>
      <diagonal/>
    </border>
    <border>
      <left/>
      <right style="double">
        <color auto="1"/>
      </right>
      <top/>
      <bottom/>
      <diagonal/>
    </border>
    <border>
      <left style="medium">
        <color auto="1"/>
      </left>
      <right style="hair">
        <color auto="1"/>
      </right>
      <top style="double">
        <color auto="1"/>
      </top>
      <bottom style="hair">
        <color auto="1"/>
      </bottom>
      <diagonal/>
    </border>
    <border>
      <left/>
      <right style="double">
        <color auto="1"/>
      </right>
      <top style="double">
        <color auto="1"/>
      </top>
      <bottom style="hair">
        <color auto="1"/>
      </bottom>
      <diagonal/>
    </border>
    <border>
      <left style="double">
        <color auto="1"/>
      </left>
      <right/>
      <top style="double">
        <color auto="1"/>
      </top>
      <bottom style="hair">
        <color auto="1"/>
      </bottom>
      <diagonal/>
    </border>
    <border>
      <left/>
      <right style="medium">
        <color auto="1"/>
      </right>
      <top style="double">
        <color auto="1"/>
      </top>
      <bottom style="hair">
        <color auto="1"/>
      </bottom>
      <diagonal/>
    </border>
    <border>
      <left/>
      <right style="double">
        <color auto="1"/>
      </right>
      <top/>
      <bottom style="hair">
        <color auto="1"/>
      </bottom>
      <diagonal/>
    </border>
    <border>
      <left style="double">
        <color auto="1"/>
      </left>
      <right style="thin">
        <color auto="1"/>
      </right>
      <top style="medium">
        <color auto="1"/>
      </top>
      <bottom style="medium">
        <color auto="1"/>
      </bottom>
      <diagonal/>
    </border>
    <border>
      <left/>
      <right style="double">
        <color auto="1"/>
      </right>
      <top style="medium">
        <color auto="1"/>
      </top>
      <bottom/>
      <diagonal/>
    </border>
    <border>
      <left style="medium">
        <color auto="1"/>
      </left>
      <right style="medium">
        <color auto="1"/>
      </right>
      <top/>
      <bottom/>
      <diagonal/>
    </border>
    <border>
      <left style="double">
        <color auto="1"/>
      </left>
      <right style="medium">
        <color auto="1"/>
      </right>
      <top/>
      <bottom style="hair">
        <color auto="1"/>
      </bottom>
      <diagonal/>
    </border>
    <border>
      <left style="double">
        <color auto="1"/>
      </left>
      <right style="medium">
        <color auto="1"/>
      </right>
      <top style="hair">
        <color auto="1"/>
      </top>
      <bottom style="hair">
        <color auto="1"/>
      </bottom>
      <diagonal/>
    </border>
    <border>
      <left style="medium">
        <color auto="1"/>
      </left>
      <right/>
      <top style="double">
        <color auto="1"/>
      </top>
      <bottom style="hair">
        <color auto="1"/>
      </bottom>
      <diagonal/>
    </border>
    <border>
      <left/>
      <right style="medium">
        <color auto="1"/>
      </right>
      <top style="hair">
        <color auto="1"/>
      </top>
      <bottom style="double">
        <color auto="1"/>
      </bottom>
      <diagonal/>
    </border>
    <border>
      <left style="double">
        <color auto="1"/>
      </left>
      <right style="medium">
        <color auto="1"/>
      </right>
      <top/>
      <bottom/>
      <diagonal/>
    </border>
    <border>
      <left style="double">
        <color auto="1"/>
      </left>
      <right style="medium">
        <color auto="1"/>
      </right>
      <top style="hair">
        <color auto="1"/>
      </top>
      <bottom/>
      <diagonal/>
    </border>
    <border>
      <left style="double">
        <color auto="1"/>
      </left>
      <right style="medium">
        <color auto="1"/>
      </right>
      <top style="double">
        <color auto="1"/>
      </top>
      <bottom style="hair">
        <color auto="1"/>
      </bottom>
      <diagonal/>
    </border>
    <border>
      <left style="medium">
        <color auto="1"/>
      </left>
      <right style="hair">
        <color auto="1"/>
      </right>
      <top style="hair">
        <color auto="1"/>
      </top>
      <bottom style="double">
        <color auto="1"/>
      </bottom>
      <diagonal/>
    </border>
    <border>
      <left/>
      <right style="double">
        <color auto="1"/>
      </right>
      <top style="medium">
        <color auto="1"/>
      </top>
      <bottom style="thin">
        <color auto="1"/>
      </bottom>
      <diagonal/>
    </border>
    <border>
      <left/>
      <right/>
      <top style="thin">
        <color auto="1"/>
      </top>
      <bottom/>
      <diagonal/>
    </border>
    <border>
      <left style="medium">
        <color auto="1"/>
      </left>
      <right style="medium">
        <color auto="1"/>
      </right>
      <top style="thin">
        <color auto="1"/>
      </top>
      <bottom/>
      <diagonal/>
    </border>
    <border>
      <left/>
      <right style="double">
        <color auto="1"/>
      </right>
      <top style="thin">
        <color auto="1"/>
      </top>
      <bottom style="medium">
        <color auto="1"/>
      </bottom>
      <diagonal/>
    </border>
    <border>
      <left/>
      <right style="hair">
        <color auto="1"/>
      </right>
      <top style="medium">
        <color auto="1"/>
      </top>
      <bottom/>
      <diagonal/>
    </border>
    <border>
      <left style="hair">
        <color auto="1"/>
      </left>
      <right style="hair">
        <color auto="1"/>
      </right>
      <top style="medium">
        <color auto="1"/>
      </top>
      <bottom/>
      <diagonal/>
    </border>
    <border>
      <left style="hair">
        <color auto="1"/>
      </left>
      <right style="double">
        <color auto="1"/>
      </right>
      <top style="medium">
        <color auto="1"/>
      </top>
      <bottom/>
      <diagonal/>
    </border>
    <border>
      <left style="medium">
        <color auto="1"/>
      </left>
      <right style="double">
        <color auto="1"/>
      </right>
      <top style="double">
        <color auto="1"/>
      </top>
      <bottom style="hair">
        <color auto="1"/>
      </bottom>
      <diagonal/>
    </border>
    <border>
      <left style="double">
        <color auto="1"/>
      </left>
      <right style="hair">
        <color auto="1"/>
      </right>
      <top/>
      <bottom/>
      <diagonal/>
    </border>
    <border>
      <left style="medium">
        <color auto="1"/>
      </left>
      <right style="double">
        <color auto="1"/>
      </right>
      <top style="medium">
        <color auto="1"/>
      </top>
      <bottom style="hair">
        <color auto="1"/>
      </bottom>
      <diagonal/>
    </border>
    <border>
      <left style="double">
        <color auto="1"/>
      </left>
      <right style="medium">
        <color auto="1"/>
      </right>
      <top style="medium">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double">
        <color auto="1"/>
      </right>
      <top style="hair">
        <color auto="1"/>
      </top>
      <bottom style="thin">
        <color auto="1"/>
      </bottom>
      <diagonal/>
    </border>
    <border>
      <left/>
      <right style="medium">
        <color auto="1"/>
      </right>
      <top style="hair">
        <color auto="1"/>
      </top>
      <bottom style="thin">
        <color auto="1"/>
      </bottom>
      <diagonal/>
    </border>
    <border>
      <left style="hair">
        <color auto="1"/>
      </left>
      <right style="double">
        <color auto="1"/>
      </right>
      <top style="thin">
        <color auto="1"/>
      </top>
      <bottom style="hair">
        <color auto="1"/>
      </bottom>
      <diagonal/>
    </border>
    <border>
      <left style="hair">
        <color auto="1"/>
      </left>
      <right style="hair">
        <color auto="1"/>
      </right>
      <top style="double">
        <color auto="1"/>
      </top>
      <bottom/>
      <diagonal/>
    </border>
    <border>
      <left/>
      <right style="hair">
        <color auto="1"/>
      </right>
      <top/>
      <bottom style="double">
        <color auto="1"/>
      </bottom>
      <diagonal/>
    </border>
    <border>
      <left/>
      <right style="medium">
        <color auto="1"/>
      </right>
      <top/>
      <bottom style="double">
        <color auto="1"/>
      </bottom>
      <diagonal/>
    </border>
    <border>
      <left style="double">
        <color auto="1"/>
      </left>
      <right style="medium">
        <color auto="1"/>
      </right>
      <top style="hair">
        <color auto="1"/>
      </top>
      <bottom style="double">
        <color auto="1"/>
      </bottom>
      <diagonal/>
    </border>
    <border>
      <left/>
      <right style="double">
        <color auto="1"/>
      </right>
      <top style="hair">
        <color auto="1"/>
      </top>
      <bottom style="double">
        <color auto="1"/>
      </bottom>
      <diagonal/>
    </border>
    <border>
      <left style="hair">
        <color auto="1"/>
      </left>
      <right style="double">
        <color auto="1"/>
      </right>
      <top style="double">
        <color auto="1"/>
      </top>
      <bottom/>
      <diagonal/>
    </border>
    <border>
      <left/>
      <right style="medium">
        <color auto="1"/>
      </right>
      <top style="double">
        <color auto="1"/>
      </top>
      <bottom/>
      <diagonal/>
    </border>
    <border>
      <left style="double">
        <color auto="1"/>
      </left>
      <right style="medium">
        <color auto="1"/>
      </right>
      <top style="hair">
        <color auto="1"/>
      </top>
      <bottom style="medium">
        <color auto="1"/>
      </bottom>
      <diagonal/>
    </border>
    <border>
      <left style="medium">
        <color auto="1"/>
      </left>
      <right style="double">
        <color auto="1"/>
      </right>
      <top/>
      <bottom style="hair">
        <color auto="1"/>
      </bottom>
      <diagonal/>
    </border>
    <border>
      <left style="medium">
        <color auto="1"/>
      </left>
      <right style="hair">
        <color auto="1"/>
      </right>
      <top/>
      <bottom style="medium">
        <color auto="1"/>
      </bottom>
      <diagonal/>
    </border>
    <border>
      <left style="hair">
        <color auto="1"/>
      </left>
      <right style="double">
        <color auto="1"/>
      </right>
      <top/>
      <bottom style="medium">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double">
        <color auto="1"/>
      </right>
      <top style="medium">
        <color auto="1"/>
      </top>
      <bottom style="thin">
        <color auto="1"/>
      </bottom>
      <diagonal/>
    </border>
    <border>
      <left style="thin">
        <color auto="1"/>
      </left>
      <right style="medium">
        <color auto="1"/>
      </right>
      <top style="medium">
        <color auto="1"/>
      </top>
      <bottom/>
      <diagonal/>
    </border>
    <border>
      <left style="thin">
        <color auto="1"/>
      </left>
      <right/>
      <top/>
      <bottom/>
      <diagonal/>
    </border>
    <border>
      <left style="thin">
        <color auto="1"/>
      </left>
      <right style="double">
        <color auto="1"/>
      </right>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double">
        <color auto="1"/>
      </bottom>
      <diagonal/>
    </border>
    <border>
      <left style="thin">
        <color auto="1"/>
      </left>
      <right style="double">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top style="double">
        <color auto="1"/>
      </top>
      <bottom/>
      <diagonal/>
    </border>
    <border>
      <left style="thin">
        <color auto="1"/>
      </left>
      <right/>
      <top style="double">
        <color auto="1"/>
      </top>
      <bottom/>
      <diagonal/>
    </border>
    <border>
      <left style="thin">
        <color auto="1"/>
      </left>
      <right style="double">
        <color auto="1"/>
      </right>
      <top style="double">
        <color auto="1"/>
      </top>
      <bottom/>
      <diagonal/>
    </border>
    <border>
      <left/>
      <right style="thin">
        <color auto="1"/>
      </right>
      <top/>
      <bottom/>
      <diagonal/>
    </border>
    <border>
      <left style="medium">
        <color auto="1"/>
      </left>
      <right/>
      <top/>
      <bottom style="thin">
        <color auto="1"/>
      </bottom>
      <diagonal/>
    </border>
    <border>
      <left style="thin">
        <color auto="1"/>
      </left>
      <right/>
      <top/>
      <bottom style="thin">
        <color auto="1"/>
      </bottom>
      <diagonal/>
    </border>
    <border>
      <left style="thin">
        <color auto="1"/>
      </left>
      <right style="double">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bottom style="medium">
        <color auto="1"/>
      </bottom>
      <diagonal/>
    </border>
    <border>
      <left style="thin">
        <color auto="1"/>
      </left>
      <right style="double">
        <color auto="1"/>
      </right>
      <top/>
      <bottom style="medium">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top/>
      <bottom style="double">
        <color auto="1"/>
      </bottom>
      <diagonal/>
    </border>
    <border>
      <left style="medium">
        <color auto="1"/>
      </left>
      <right/>
      <top style="medium">
        <color auto="1"/>
      </top>
      <bottom/>
      <diagonal/>
    </border>
    <border>
      <left/>
      <right style="medium">
        <color auto="1"/>
      </right>
      <top style="medium">
        <color auto="1"/>
      </top>
      <bottom/>
      <diagonal/>
    </border>
  </borders>
  <cellStyleXfs count="55">
    <xf numFmtId="0" fontId="0" fillId="0" borderId="0"/>
    <xf numFmtId="9" fontId="46" fillId="0" borderId="0" applyBorder="0" applyProtection="0"/>
    <xf numFmtId="164" fontId="46" fillId="0" borderId="0" applyBorder="0" applyProtection="0"/>
    <xf numFmtId="164" fontId="46" fillId="0" borderId="0" applyBorder="0" applyProtection="0"/>
    <xf numFmtId="164" fontId="46" fillId="0" borderId="0" applyBorder="0" applyProtection="0"/>
    <xf numFmtId="164" fontId="46" fillId="0" borderId="0" applyBorder="0" applyProtection="0"/>
    <xf numFmtId="164" fontId="46" fillId="0" borderId="0" applyBorder="0" applyProtection="0"/>
    <xf numFmtId="164" fontId="46" fillId="0" borderId="0" applyBorder="0" applyProtection="0"/>
    <xf numFmtId="164" fontId="46" fillId="0" borderId="0" applyBorder="0" applyProtection="0"/>
    <xf numFmtId="164" fontId="46" fillId="0" borderId="0" applyBorder="0" applyProtection="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46" fillId="0" borderId="0"/>
    <xf numFmtId="0" fontId="2" fillId="0" borderId="0"/>
    <xf numFmtId="0" fontId="2" fillId="0" borderId="0"/>
    <xf numFmtId="0" fontId="46" fillId="0" borderId="0"/>
    <xf numFmtId="0" fontId="2" fillId="0" borderId="0"/>
    <xf numFmtId="0" fontId="2" fillId="0" borderId="0"/>
    <xf numFmtId="9" fontId="46" fillId="0" borderId="0" applyBorder="0" applyProtection="0"/>
    <xf numFmtId="9" fontId="46" fillId="0" borderId="0" applyBorder="0" applyProtection="0"/>
    <xf numFmtId="9" fontId="46" fillId="0" borderId="0" applyBorder="0" applyProtection="0"/>
  </cellStyleXfs>
  <cellXfs count="2028">
    <xf numFmtId="0" fontId="0" fillId="0" borderId="0" xfId="0"/>
    <xf numFmtId="3" fontId="5" fillId="0" borderId="0" xfId="0" applyNumberFormat="1" applyFont="1" applyAlignment="1">
      <alignment horizontal="left" vertical="center"/>
    </xf>
    <xf numFmtId="3" fontId="6" fillId="0" borderId="0" xfId="45" applyNumberFormat="1" applyFont="1" applyAlignment="1">
      <alignment horizontal="center" vertical="center"/>
    </xf>
    <xf numFmtId="3" fontId="5" fillId="0" borderId="0" xfId="45" applyNumberFormat="1" applyFont="1" applyAlignment="1">
      <alignment horizontal="left"/>
    </xf>
    <xf numFmtId="0" fontId="6" fillId="0" borderId="0" xfId="0" applyFont="1" applyAlignment="1">
      <alignment horizontal="center" vertical="center"/>
    </xf>
    <xf numFmtId="0" fontId="5" fillId="0" borderId="0" xfId="0" applyFont="1" applyAlignment="1">
      <alignment horizontal="left"/>
    </xf>
    <xf numFmtId="0" fontId="5" fillId="0" borderId="0" xfId="0" applyFont="1" applyAlignment="1">
      <alignment horizontal="center" vertical="center"/>
    </xf>
    <xf numFmtId="0" fontId="6" fillId="0" borderId="0" xfId="0" applyFont="1" applyAlignment="1">
      <alignment horizontal="center"/>
    </xf>
    <xf numFmtId="0" fontId="5" fillId="0" borderId="0" xfId="0" applyFont="1"/>
    <xf numFmtId="0" fontId="5" fillId="0" borderId="0" xfId="0" applyFont="1" applyAlignment="1">
      <alignment vertical="top"/>
    </xf>
    <xf numFmtId="0" fontId="5" fillId="0" borderId="0" xfId="0" applyFont="1" applyAlignment="1">
      <alignment wrapText="1"/>
    </xf>
    <xf numFmtId="3" fontId="5" fillId="0" borderId="0" xfId="0" applyNumberFormat="1" applyFont="1"/>
    <xf numFmtId="0" fontId="5" fillId="0" borderId="0" xfId="0" applyFont="1" applyAlignment="1">
      <alignment vertical="center"/>
    </xf>
    <xf numFmtId="3" fontId="5" fillId="0" borderId="0" xfId="0" applyNumberFormat="1" applyFont="1" applyAlignment="1">
      <alignment horizontal="right"/>
    </xf>
    <xf numFmtId="0" fontId="5" fillId="0" borderId="0" xfId="0" applyFont="1" applyAlignment="1">
      <alignment horizontal="center"/>
    </xf>
    <xf numFmtId="0" fontId="5" fillId="0" borderId="0" xfId="0" applyFont="1" applyAlignment="1">
      <alignment horizontal="center" vertical="top"/>
    </xf>
    <xf numFmtId="3" fontId="5" fillId="0" borderId="0" xfId="0" applyNumberFormat="1" applyFont="1" applyAlignment="1">
      <alignment horizontal="center"/>
    </xf>
    <xf numFmtId="0" fontId="6" fillId="0" borderId="0" xfId="0" applyFont="1" applyAlignment="1">
      <alignment vertical="center"/>
    </xf>
    <xf numFmtId="0" fontId="6" fillId="0" borderId="0" xfId="0" applyFont="1"/>
    <xf numFmtId="3" fontId="9" fillId="0" borderId="0" xfId="0" applyNumberFormat="1" applyFont="1"/>
    <xf numFmtId="3" fontId="7" fillId="0" borderId="0" xfId="0" applyNumberFormat="1" applyFont="1"/>
    <xf numFmtId="3" fontId="5" fillId="0" borderId="4" xfId="0" applyNumberFormat="1" applyFont="1" applyBorder="1"/>
    <xf numFmtId="0" fontId="5" fillId="0" borderId="6" xfId="0" applyFont="1" applyBorder="1" applyAlignment="1">
      <alignment vertical="center"/>
    </xf>
    <xf numFmtId="3" fontId="7" fillId="0" borderId="0" xfId="0" applyNumberFormat="1" applyFont="1" applyAlignment="1">
      <alignment vertical="center"/>
    </xf>
    <xf numFmtId="3" fontId="6" fillId="0" borderId="0" xfId="0" applyNumberFormat="1" applyFont="1"/>
    <xf numFmtId="3" fontId="5" fillId="0" borderId="0" xfId="45" applyNumberFormat="1" applyFont="1" applyAlignment="1">
      <alignment horizontal="left" indent="3"/>
    </xf>
    <xf numFmtId="0" fontId="11" fillId="0" borderId="0" xfId="0" applyFont="1" applyAlignment="1">
      <alignment horizontal="center"/>
    </xf>
    <xf numFmtId="0" fontId="5" fillId="0" borderId="0" xfId="0" applyFont="1" applyAlignment="1">
      <alignment horizontal="right"/>
    </xf>
    <xf numFmtId="0" fontId="12" fillId="0" borderId="0" xfId="0" applyFont="1" applyAlignment="1">
      <alignment horizontal="center"/>
    </xf>
    <xf numFmtId="3" fontId="12" fillId="0" borderId="0" xfId="0" applyNumberFormat="1" applyFont="1" applyAlignment="1">
      <alignment horizontal="center"/>
    </xf>
    <xf numFmtId="3" fontId="12" fillId="0" borderId="0" xfId="0" applyNumberFormat="1" applyFont="1"/>
    <xf numFmtId="3" fontId="13" fillId="0" borderId="0" xfId="0" applyNumberFormat="1" applyFont="1" applyAlignment="1">
      <alignment horizontal="right"/>
    </xf>
    <xf numFmtId="3" fontId="13" fillId="0" borderId="0" xfId="0" applyNumberFormat="1" applyFont="1"/>
    <xf numFmtId="0" fontId="12" fillId="0" borderId="0" xfId="0" applyFont="1"/>
    <xf numFmtId="0" fontId="11" fillId="0" borderId="8" xfId="0" applyFont="1" applyBorder="1" applyAlignment="1">
      <alignment horizontal="center"/>
    </xf>
    <xf numFmtId="3" fontId="11" fillId="0" borderId="8" xfId="0" applyNumberFormat="1" applyFont="1" applyBorder="1" applyAlignment="1">
      <alignment horizontal="center"/>
    </xf>
    <xf numFmtId="3" fontId="11" fillId="0" borderId="0" xfId="0" applyNumberFormat="1" applyFont="1" applyAlignment="1">
      <alignment horizontal="center"/>
    </xf>
    <xf numFmtId="3" fontId="14" fillId="0" borderId="0" xfId="0" applyNumberFormat="1" applyFont="1" applyAlignment="1">
      <alignment horizontal="center" vertical="center"/>
    </xf>
    <xf numFmtId="0" fontId="11" fillId="0" borderId="0" xfId="0" applyFont="1" applyAlignment="1">
      <alignment horizontal="center" vertical="center"/>
    </xf>
    <xf numFmtId="0" fontId="11" fillId="0" borderId="0" xfId="0" applyFont="1"/>
    <xf numFmtId="3" fontId="11" fillId="0" borderId="0" xfId="45" applyNumberFormat="1" applyFont="1" applyAlignment="1">
      <alignment horizontal="center"/>
    </xf>
    <xf numFmtId="3" fontId="5" fillId="0" borderId="9" xfId="45" applyNumberFormat="1" applyFont="1" applyBorder="1" applyAlignment="1">
      <alignment horizontal="center" vertical="center" textRotation="90" wrapText="1"/>
    </xf>
    <xf numFmtId="3" fontId="5" fillId="0" borderId="10" xfId="45" applyNumberFormat="1" applyFont="1" applyBorder="1" applyAlignment="1">
      <alignment horizontal="center" vertical="center" textRotation="90" wrapText="1"/>
    </xf>
    <xf numFmtId="3" fontId="12" fillId="0" borderId="10" xfId="45" applyNumberFormat="1" applyFont="1" applyBorder="1" applyAlignment="1">
      <alignment horizontal="center" vertical="center" wrapText="1"/>
    </xf>
    <xf numFmtId="3" fontId="6" fillId="0" borderId="10" xfId="45" applyNumberFormat="1" applyFont="1" applyBorder="1" applyAlignment="1">
      <alignment horizontal="center" vertical="center" wrapText="1"/>
    </xf>
    <xf numFmtId="3" fontId="5" fillId="0" borderId="11" xfId="45" applyNumberFormat="1" applyFont="1" applyBorder="1" applyAlignment="1">
      <alignment horizontal="center" vertical="center" wrapText="1"/>
    </xf>
    <xf numFmtId="3" fontId="5" fillId="0" borderId="10" xfId="45" applyNumberFormat="1" applyFont="1" applyBorder="1" applyAlignment="1">
      <alignment horizontal="center" vertical="center" wrapText="1"/>
    </xf>
    <xf numFmtId="3" fontId="5" fillId="0" borderId="2" xfId="45" applyNumberFormat="1" applyFont="1" applyBorder="1" applyAlignment="1">
      <alignment horizontal="center" vertical="center" wrapText="1"/>
    </xf>
    <xf numFmtId="3" fontId="6" fillId="0" borderId="12" xfId="45" applyNumberFormat="1" applyFont="1" applyBorder="1" applyAlignment="1">
      <alignment horizontal="center" vertical="center" wrapText="1"/>
    </xf>
    <xf numFmtId="3" fontId="6" fillId="0" borderId="2" xfId="45" applyNumberFormat="1" applyFont="1" applyBorder="1" applyAlignment="1">
      <alignment horizontal="center" vertical="center" wrapText="1"/>
    </xf>
    <xf numFmtId="3" fontId="9" fillId="0" borderId="10" xfId="45" applyNumberFormat="1" applyFont="1" applyBorder="1" applyAlignment="1">
      <alignment horizontal="center" vertical="center"/>
    </xf>
    <xf numFmtId="3" fontId="6" fillId="0" borderId="5" xfId="45" applyNumberFormat="1" applyFont="1" applyBorder="1" applyAlignment="1">
      <alignment horizontal="center" vertical="center" wrapText="1"/>
    </xf>
    <xf numFmtId="3" fontId="5" fillId="0" borderId="0" xfId="45" applyNumberFormat="1" applyFont="1"/>
    <xf numFmtId="3" fontId="5" fillId="0" borderId="13" xfId="45" applyNumberFormat="1" applyFont="1" applyBorder="1" applyAlignment="1">
      <alignment horizontal="center" textRotation="90" wrapText="1"/>
    </xf>
    <xf numFmtId="3" fontId="6" fillId="0" borderId="14" xfId="45" applyNumberFormat="1" applyFont="1" applyBorder="1" applyAlignment="1">
      <alignment horizontal="left" textRotation="90" wrapText="1"/>
    </xf>
    <xf numFmtId="3" fontId="5" fillId="0" borderId="14" xfId="45" applyNumberFormat="1" applyFont="1" applyBorder="1" applyAlignment="1">
      <alignment horizontal="center" wrapText="1"/>
    </xf>
    <xf numFmtId="3" fontId="6" fillId="0" borderId="14" xfId="45" applyNumberFormat="1" applyFont="1" applyBorder="1" applyAlignment="1">
      <alignment horizontal="left" wrapText="1"/>
    </xf>
    <xf numFmtId="3" fontId="6" fillId="0" borderId="14" xfId="45" applyNumberFormat="1" applyFont="1" applyBorder="1" applyAlignment="1">
      <alignment horizontal="right" wrapText="1"/>
    </xf>
    <xf numFmtId="3" fontId="6" fillId="0" borderId="15" xfId="45" applyNumberFormat="1" applyFont="1" applyBorder="1" applyAlignment="1">
      <alignment horizontal="right" wrapText="1"/>
    </xf>
    <xf numFmtId="3" fontId="7" fillId="0" borderId="14" xfId="45" applyNumberFormat="1" applyFont="1" applyBorder="1" applyAlignment="1">
      <alignment horizontal="right" wrapText="1"/>
    </xf>
    <xf numFmtId="3" fontId="6" fillId="0" borderId="16" xfId="45" applyNumberFormat="1" applyFont="1" applyBorder="1" applyAlignment="1">
      <alignment horizontal="right" wrapText="1"/>
    </xf>
    <xf numFmtId="3" fontId="6" fillId="0" borderId="0" xfId="45" applyNumberFormat="1" applyFont="1" applyAlignment="1">
      <alignment horizontal="left"/>
    </xf>
    <xf numFmtId="3" fontId="5" fillId="0" borderId="17" xfId="45" applyNumberFormat="1" applyFont="1" applyBorder="1" applyAlignment="1">
      <alignment horizontal="center" wrapText="1"/>
    </xf>
    <xf numFmtId="3" fontId="6" fillId="0" borderId="0" xfId="45" applyNumberFormat="1" applyFont="1" applyAlignment="1">
      <alignment horizontal="left" wrapText="1"/>
    </xf>
    <xf numFmtId="3" fontId="5" fillId="0" borderId="0" xfId="45" applyNumberFormat="1" applyFont="1" applyAlignment="1">
      <alignment horizontal="center" wrapText="1"/>
    </xf>
    <xf numFmtId="3" fontId="6" fillId="0" borderId="0" xfId="45" applyNumberFormat="1" applyFont="1" applyAlignment="1">
      <alignment horizontal="right" wrapText="1"/>
    </xf>
    <xf numFmtId="3" fontId="6" fillId="0" borderId="18" xfId="45" applyNumberFormat="1" applyFont="1" applyBorder="1" applyAlignment="1">
      <alignment horizontal="right" wrapText="1"/>
    </xf>
    <xf numFmtId="3" fontId="7" fillId="0" borderId="0" xfId="45" applyNumberFormat="1" applyFont="1" applyAlignment="1">
      <alignment horizontal="right" wrapText="1"/>
    </xf>
    <xf numFmtId="3" fontId="6" fillId="0" borderId="19" xfId="45" applyNumberFormat="1" applyFont="1" applyBorder="1" applyAlignment="1">
      <alignment horizontal="right" wrapText="1"/>
    </xf>
    <xf numFmtId="0" fontId="5" fillId="0" borderId="17" xfId="0" applyFont="1" applyBorder="1" applyAlignment="1">
      <alignment horizontal="center"/>
    </xf>
    <xf numFmtId="0" fontId="6" fillId="0" borderId="0" xfId="0" applyFont="1" applyAlignment="1">
      <alignment horizontal="left"/>
    </xf>
    <xf numFmtId="3" fontId="6" fillId="0" borderId="18" xfId="0" applyNumberFormat="1" applyFont="1" applyBorder="1" applyAlignment="1">
      <alignment horizontal="right"/>
    </xf>
    <xf numFmtId="3" fontId="6" fillId="0" borderId="0" xfId="0" applyNumberFormat="1" applyFont="1" applyAlignment="1">
      <alignment horizontal="right"/>
    </xf>
    <xf numFmtId="3" fontId="7" fillId="0" borderId="0" xfId="0" applyNumberFormat="1" applyFont="1" applyAlignment="1">
      <alignment horizontal="right"/>
    </xf>
    <xf numFmtId="3" fontId="6" fillId="0" borderId="19" xfId="0" applyNumberFormat="1" applyFont="1" applyBorder="1" applyAlignment="1">
      <alignment horizontal="right"/>
    </xf>
    <xf numFmtId="0" fontId="5" fillId="0" borderId="17" xfId="0" applyFont="1" applyBorder="1" applyAlignment="1">
      <alignment horizontal="center" vertical="top"/>
    </xf>
    <xf numFmtId="0" fontId="5" fillId="0" borderId="0" xfId="0" applyFont="1" applyAlignment="1">
      <alignment horizontal="left" wrapText="1" indent="1"/>
    </xf>
    <xf numFmtId="3" fontId="5" fillId="0" borderId="18" xfId="0" applyNumberFormat="1" applyFont="1" applyBorder="1" applyAlignment="1">
      <alignment horizontal="right"/>
    </xf>
    <xf numFmtId="3" fontId="5" fillId="0" borderId="19" xfId="0" applyNumberFormat="1" applyFont="1" applyBorder="1"/>
    <xf numFmtId="3" fontId="5" fillId="0" borderId="0" xfId="0" applyNumberFormat="1" applyFont="1" applyAlignment="1">
      <alignment vertical="center"/>
    </xf>
    <xf numFmtId="3" fontId="5" fillId="0" borderId="18" xfId="0" applyNumberFormat="1" applyFont="1" applyBorder="1" applyAlignment="1">
      <alignment horizontal="right" vertical="center"/>
    </xf>
    <xf numFmtId="3" fontId="5" fillId="0" borderId="0" xfId="0" applyNumberFormat="1" applyFont="1" applyAlignment="1">
      <alignment horizontal="right" vertical="center"/>
    </xf>
    <xf numFmtId="3" fontId="9" fillId="0" borderId="0" xfId="0" applyNumberFormat="1" applyFont="1" applyAlignment="1">
      <alignment vertical="center"/>
    </xf>
    <xf numFmtId="3" fontId="5" fillId="0" borderId="19" xfId="0" applyNumberFormat="1" applyFont="1" applyBorder="1" applyAlignment="1">
      <alignment vertical="center"/>
    </xf>
    <xf numFmtId="0" fontId="5" fillId="0" borderId="19" xfId="0" applyFont="1" applyBorder="1"/>
    <xf numFmtId="0" fontId="6" fillId="0" borderId="0" xfId="0" applyFont="1" applyAlignment="1">
      <alignment horizontal="center" vertical="top"/>
    </xf>
    <xf numFmtId="0" fontId="6" fillId="0" borderId="0" xfId="0" applyFont="1" applyAlignment="1">
      <alignment horizontal="left" wrapText="1"/>
    </xf>
    <xf numFmtId="3" fontId="6" fillId="0" borderId="19" xfId="0" applyNumberFormat="1" applyFont="1" applyBorder="1"/>
    <xf numFmtId="49" fontId="5" fillId="0" borderId="17" xfId="0" applyNumberFormat="1" applyFont="1" applyBorder="1" applyAlignment="1">
      <alignment horizontal="center" vertical="center"/>
    </xf>
    <xf numFmtId="3" fontId="5" fillId="0" borderId="0" xfId="45" applyNumberFormat="1" applyFont="1" applyAlignment="1">
      <alignment horizontal="center" vertical="top" wrapText="1"/>
    </xf>
    <xf numFmtId="0" fontId="7" fillId="0" borderId="0" xfId="0" applyFont="1" applyAlignment="1">
      <alignment horizontal="left" wrapText="1"/>
    </xf>
    <xf numFmtId="3" fontId="7" fillId="0" borderId="18" xfId="0" applyNumberFormat="1" applyFont="1" applyBorder="1" applyAlignment="1">
      <alignment horizontal="right"/>
    </xf>
    <xf numFmtId="3" fontId="7" fillId="0" borderId="19" xfId="0" applyNumberFormat="1" applyFont="1" applyBorder="1" applyAlignment="1">
      <alignment horizontal="right"/>
    </xf>
    <xf numFmtId="3" fontId="7" fillId="0" borderId="19" xfId="0" applyNumberFormat="1" applyFont="1" applyBorder="1"/>
    <xf numFmtId="0" fontId="6" fillId="0" borderId="19" xfId="0" applyFont="1" applyBorder="1"/>
    <xf numFmtId="3" fontId="9" fillId="0" borderId="0" xfId="0" applyNumberFormat="1" applyFont="1" applyAlignment="1">
      <alignment horizontal="right"/>
    </xf>
    <xf numFmtId="49" fontId="5" fillId="0" borderId="17" xfId="0" applyNumberFormat="1" applyFont="1" applyBorder="1" applyAlignment="1">
      <alignment horizontal="center"/>
    </xf>
    <xf numFmtId="49" fontId="5" fillId="0" borderId="17" xfId="0" applyNumberFormat="1" applyFont="1" applyBorder="1" applyAlignment="1">
      <alignment horizontal="center" vertical="top"/>
    </xf>
    <xf numFmtId="0" fontId="6" fillId="0" borderId="4" xfId="0" applyFont="1" applyBorder="1" applyAlignment="1">
      <alignment horizontal="center"/>
    </xf>
    <xf numFmtId="0" fontId="5" fillId="0" borderId="4" xfId="0" applyFont="1" applyBorder="1" applyAlignment="1">
      <alignment horizontal="center" vertical="top"/>
    </xf>
    <xf numFmtId="0" fontId="6" fillId="0" borderId="4" xfId="0" applyFont="1" applyBorder="1" applyAlignment="1">
      <alignment wrapText="1"/>
    </xf>
    <xf numFmtId="3" fontId="6" fillId="0" borderId="4" xfId="0" applyNumberFormat="1" applyFont="1" applyBorder="1"/>
    <xf numFmtId="3" fontId="6" fillId="0" borderId="20" xfId="0" applyNumberFormat="1" applyFont="1" applyBorder="1" applyAlignment="1">
      <alignment horizontal="right"/>
    </xf>
    <xf numFmtId="3" fontId="5" fillId="0" borderId="21" xfId="45" applyNumberFormat="1" applyFont="1" applyBorder="1" applyAlignment="1">
      <alignment horizontal="center" textRotation="90" wrapText="1"/>
    </xf>
    <xf numFmtId="3" fontId="6" fillId="0" borderId="4" xfId="45" applyNumberFormat="1" applyFont="1" applyBorder="1" applyAlignment="1">
      <alignment horizontal="left" textRotation="90" wrapText="1"/>
    </xf>
    <xf numFmtId="3" fontId="5" fillId="0" borderId="4" xfId="45" applyNumberFormat="1" applyFont="1" applyBorder="1" applyAlignment="1">
      <alignment horizontal="center" wrapText="1"/>
    </xf>
    <xf numFmtId="3" fontId="6" fillId="0" borderId="4" xfId="45" applyNumberFormat="1" applyFont="1" applyBorder="1" applyAlignment="1">
      <alignment horizontal="left" wrapText="1"/>
    </xf>
    <xf numFmtId="3" fontId="6" fillId="0" borderId="4" xfId="45" applyNumberFormat="1" applyFont="1" applyBorder="1" applyAlignment="1">
      <alignment horizontal="right" wrapText="1"/>
    </xf>
    <xf numFmtId="3" fontId="6" fillId="0" borderId="22" xfId="45" applyNumberFormat="1" applyFont="1" applyBorder="1" applyAlignment="1">
      <alignment horizontal="right" wrapText="1"/>
    </xf>
    <xf numFmtId="3" fontId="6" fillId="0" borderId="23" xfId="45" applyNumberFormat="1" applyFont="1" applyBorder="1" applyAlignment="1">
      <alignment horizontal="right" wrapText="1"/>
    </xf>
    <xf numFmtId="3" fontId="7" fillId="0" borderId="23" xfId="45" applyNumberFormat="1" applyFont="1" applyBorder="1" applyAlignment="1">
      <alignment horizontal="right" wrapText="1"/>
    </xf>
    <xf numFmtId="3" fontId="6" fillId="0" borderId="24" xfId="45" applyNumberFormat="1" applyFont="1" applyBorder="1" applyAlignment="1">
      <alignment horizontal="right" wrapText="1"/>
    </xf>
    <xf numFmtId="0" fontId="5" fillId="0" borderId="0" xfId="0" applyFont="1" applyAlignment="1">
      <alignment horizontal="left" wrapText="1"/>
    </xf>
    <xf numFmtId="0" fontId="6" fillId="0" borderId="0" xfId="0" applyFont="1" applyAlignment="1">
      <alignment vertical="top" wrapText="1"/>
    </xf>
    <xf numFmtId="0" fontId="5" fillId="0" borderId="17" xfId="0" applyFont="1" applyBorder="1" applyAlignment="1">
      <alignment horizontal="center" vertical="center"/>
    </xf>
    <xf numFmtId="0" fontId="6" fillId="0" borderId="23" xfId="0" applyFont="1" applyBorder="1" applyAlignment="1">
      <alignment horizontal="center" vertical="center"/>
    </xf>
    <xf numFmtId="0" fontId="5" fillId="0" borderId="23" xfId="0" applyFont="1" applyBorder="1" applyAlignment="1">
      <alignment horizontal="center" vertical="center"/>
    </xf>
    <xf numFmtId="0" fontId="6" fillId="0" borderId="23" xfId="0" applyFont="1" applyBorder="1" applyAlignment="1">
      <alignment vertical="center"/>
    </xf>
    <xf numFmtId="3" fontId="6" fillId="0" borderId="23" xfId="0" applyNumberFormat="1" applyFont="1" applyBorder="1" applyAlignment="1">
      <alignment vertical="center"/>
    </xf>
    <xf numFmtId="3" fontId="6" fillId="0" borderId="25" xfId="0" applyNumberFormat="1" applyFont="1" applyBorder="1" applyAlignment="1">
      <alignment horizontal="right" vertical="center"/>
    </xf>
    <xf numFmtId="3" fontId="7" fillId="0" borderId="23" xfId="0" applyNumberFormat="1" applyFont="1" applyBorder="1" applyAlignment="1">
      <alignment horizontal="right" vertical="center"/>
    </xf>
    <xf numFmtId="3" fontId="6" fillId="0" borderId="24" xfId="0" applyNumberFormat="1" applyFont="1" applyBorder="1" applyAlignment="1">
      <alignment horizontal="right" vertical="center"/>
    </xf>
    <xf numFmtId="0" fontId="5" fillId="0" borderId="4" xfId="0" applyFont="1" applyBorder="1" applyAlignment="1">
      <alignment horizontal="center"/>
    </xf>
    <xf numFmtId="0" fontId="5" fillId="0" borderId="4" xfId="0" applyFont="1" applyBorder="1" applyAlignment="1">
      <alignment horizontal="left" wrapText="1" indent="1"/>
    </xf>
    <xf numFmtId="3" fontId="5" fillId="0" borderId="20" xfId="0" applyNumberFormat="1" applyFont="1" applyBorder="1" applyAlignment="1">
      <alignment horizontal="right"/>
    </xf>
    <xf numFmtId="0" fontId="5" fillId="0" borderId="26" xfId="0" applyFont="1" applyBorder="1" applyAlignment="1">
      <alignment horizontal="center" vertical="center"/>
    </xf>
    <xf numFmtId="0" fontId="6" fillId="0" borderId="6" xfId="0" applyFont="1" applyBorder="1" applyAlignment="1">
      <alignment horizontal="center" vertical="center"/>
    </xf>
    <xf numFmtId="0" fontId="5" fillId="0" borderId="6" xfId="0" applyFont="1" applyBorder="1" applyAlignment="1">
      <alignment horizontal="center" vertical="center"/>
    </xf>
    <xf numFmtId="0" fontId="6" fillId="0" borderId="6" xfId="0" applyFont="1" applyBorder="1" applyAlignment="1">
      <alignment vertical="center"/>
    </xf>
    <xf numFmtId="3" fontId="6" fillId="0" borderId="6" xfId="0" applyNumberFormat="1" applyFont="1" applyBorder="1" applyAlignment="1">
      <alignment vertical="center"/>
    </xf>
    <xf numFmtId="3" fontId="6" fillId="0" borderId="27" xfId="0" applyNumberFormat="1" applyFont="1" applyBorder="1" applyAlignment="1">
      <alignment horizontal="right" vertical="center"/>
    </xf>
    <xf numFmtId="3" fontId="6" fillId="0" borderId="6" xfId="0" applyNumberFormat="1" applyFont="1" applyBorder="1" applyAlignment="1">
      <alignment horizontal="right" vertical="center"/>
    </xf>
    <xf numFmtId="3" fontId="7" fillId="0" borderId="6" xfId="0" applyNumberFormat="1" applyFont="1" applyBorder="1" applyAlignment="1">
      <alignment horizontal="right" vertical="center"/>
    </xf>
    <xf numFmtId="3" fontId="6" fillId="0" borderId="28" xfId="0" applyNumberFormat="1" applyFont="1" applyBorder="1" applyAlignment="1">
      <alignment horizontal="right" vertical="center"/>
    </xf>
    <xf numFmtId="0" fontId="5" fillId="0" borderId="29" xfId="0" applyFont="1" applyBorder="1" applyAlignment="1">
      <alignment horizontal="center" vertical="center"/>
    </xf>
    <xf numFmtId="0" fontId="6" fillId="0" borderId="30" xfId="0" applyFont="1" applyBorder="1" applyAlignment="1">
      <alignment horizontal="center" vertical="center"/>
    </xf>
    <xf numFmtId="0" fontId="5" fillId="0" borderId="30" xfId="0" applyFont="1" applyBorder="1" applyAlignment="1">
      <alignment horizontal="center" vertical="center"/>
    </xf>
    <xf numFmtId="0" fontId="6" fillId="0" borderId="30" xfId="0" applyFont="1" applyBorder="1" applyAlignment="1">
      <alignment vertical="center"/>
    </xf>
    <xf numFmtId="3" fontId="6" fillId="0" borderId="30" xfId="0" applyNumberFormat="1" applyFont="1" applyBorder="1" applyAlignment="1">
      <alignment vertical="center"/>
    </xf>
    <xf numFmtId="3" fontId="6" fillId="0" borderId="31" xfId="0" applyNumberFormat="1" applyFont="1" applyBorder="1" applyAlignment="1">
      <alignment horizontal="right" vertical="center"/>
    </xf>
    <xf numFmtId="3" fontId="6" fillId="0" borderId="30" xfId="0" applyNumberFormat="1" applyFont="1" applyBorder="1" applyAlignment="1">
      <alignment horizontal="right" vertical="center"/>
    </xf>
    <xf numFmtId="3" fontId="6" fillId="0" borderId="32" xfId="0" applyNumberFormat="1" applyFont="1" applyBorder="1" applyAlignment="1">
      <alignment horizontal="right" vertical="center"/>
    </xf>
    <xf numFmtId="3" fontId="6" fillId="0" borderId="0" xfId="0" applyNumberFormat="1" applyFont="1" applyAlignment="1">
      <alignment vertical="center"/>
    </xf>
    <xf numFmtId="3" fontId="6" fillId="0" borderId="18" xfId="0" applyNumberFormat="1" applyFont="1" applyBorder="1" applyAlignment="1">
      <alignment horizontal="right" vertical="center"/>
    </xf>
    <xf numFmtId="3" fontId="6" fillId="0" borderId="0" xfId="0" applyNumberFormat="1" applyFont="1" applyAlignment="1">
      <alignment horizontal="right" vertical="center"/>
    </xf>
    <xf numFmtId="3" fontId="7" fillId="0" borderId="0" xfId="0" applyNumberFormat="1" applyFont="1" applyAlignment="1">
      <alignment horizontal="right" vertical="center"/>
    </xf>
    <xf numFmtId="3" fontId="6" fillId="0" borderId="19" xfId="0" applyNumberFormat="1" applyFont="1" applyBorder="1" applyAlignment="1">
      <alignment horizontal="right" vertical="center"/>
    </xf>
    <xf numFmtId="3" fontId="6" fillId="0" borderId="19" xfId="0" applyNumberFormat="1" applyFont="1" applyBorder="1" applyAlignment="1">
      <alignment vertical="center"/>
    </xf>
    <xf numFmtId="0" fontId="5" fillId="0" borderId="21" xfId="0" applyFont="1" applyBorder="1" applyAlignment="1">
      <alignment horizontal="center" vertical="center"/>
    </xf>
    <xf numFmtId="0" fontId="6" fillId="0" borderId="23" xfId="0" applyFont="1" applyBorder="1" applyAlignment="1">
      <alignment vertical="center" shrinkToFit="1"/>
    </xf>
    <xf numFmtId="3" fontId="6" fillId="0" borderId="23" xfId="0" applyNumberFormat="1" applyFont="1" applyBorder="1" applyAlignment="1">
      <alignment horizontal="right" vertical="center"/>
    </xf>
    <xf numFmtId="0" fontId="5" fillId="0" borderId="0" xfId="0" applyFont="1" applyAlignment="1">
      <alignment horizontal="left" indent="1"/>
    </xf>
    <xf numFmtId="0" fontId="5" fillId="0" borderId="4" xfId="0" applyFont="1" applyBorder="1" applyAlignment="1">
      <alignment horizontal="left" indent="1"/>
    </xf>
    <xf numFmtId="0" fontId="5" fillId="0" borderId="33" xfId="0" applyFont="1" applyBorder="1" applyAlignment="1">
      <alignment horizontal="center" vertical="center"/>
    </xf>
    <xf numFmtId="0" fontId="6" fillId="0" borderId="34" xfId="0" applyFont="1" applyBorder="1" applyAlignment="1">
      <alignment horizontal="center" vertical="center"/>
    </xf>
    <xf numFmtId="0" fontId="5" fillId="0" borderId="34" xfId="0" applyFont="1" applyBorder="1" applyAlignment="1">
      <alignment horizontal="center" vertical="center"/>
    </xf>
    <xf numFmtId="0" fontId="6" fillId="0" borderId="34" xfId="0" applyFont="1" applyBorder="1" applyAlignment="1">
      <alignment vertical="center"/>
    </xf>
    <xf numFmtId="3" fontId="6" fillId="0" borderId="34" xfId="0" applyNumberFormat="1" applyFont="1" applyBorder="1" applyAlignment="1">
      <alignment vertical="center"/>
    </xf>
    <xf numFmtId="3" fontId="6" fillId="0" borderId="35" xfId="0" applyNumberFormat="1" applyFont="1" applyBorder="1" applyAlignment="1">
      <alignment horizontal="right" vertical="center"/>
    </xf>
    <xf numFmtId="3" fontId="6" fillId="0" borderId="34" xfId="0" applyNumberFormat="1" applyFont="1" applyBorder="1" applyAlignment="1">
      <alignment horizontal="right" vertical="center"/>
    </xf>
    <xf numFmtId="3" fontId="7" fillId="0" borderId="34" xfId="0" applyNumberFormat="1" applyFont="1" applyBorder="1" applyAlignment="1">
      <alignment horizontal="right" vertical="center"/>
    </xf>
    <xf numFmtId="3" fontId="6" fillId="0" borderId="36" xfId="0" applyNumberFormat="1" applyFont="1" applyBorder="1" applyAlignment="1">
      <alignment horizontal="right" vertical="center"/>
    </xf>
    <xf numFmtId="3" fontId="11" fillId="0" borderId="0" xfId="45" applyNumberFormat="1" applyFont="1" applyAlignment="1">
      <alignment horizontal="center" vertical="center"/>
    </xf>
    <xf numFmtId="49" fontId="5" fillId="0" borderId="0" xfId="45" applyNumberFormat="1" applyFont="1" applyAlignment="1">
      <alignment horizontal="center"/>
    </xf>
    <xf numFmtId="3" fontId="5" fillId="0" borderId="0" xfId="45" applyNumberFormat="1" applyFont="1" applyAlignment="1">
      <alignment horizontal="center"/>
    </xf>
    <xf numFmtId="3" fontId="9" fillId="0" borderId="0" xfId="45" applyNumberFormat="1" applyFont="1"/>
    <xf numFmtId="3" fontId="5" fillId="0" borderId="0" xfId="45" applyNumberFormat="1" applyFont="1" applyAlignment="1">
      <alignment horizontal="right"/>
    </xf>
    <xf numFmtId="3" fontId="5" fillId="0" borderId="0" xfId="45" applyNumberFormat="1" applyFont="1" applyAlignment="1">
      <alignment vertical="center"/>
    </xf>
    <xf numFmtId="3" fontId="6" fillId="0" borderId="0" xfId="45" applyNumberFormat="1" applyFont="1" applyAlignment="1">
      <alignment horizontal="center"/>
    </xf>
    <xf numFmtId="3" fontId="9" fillId="0" borderId="0" xfId="45" applyNumberFormat="1" applyFont="1" applyAlignment="1">
      <alignment horizontal="right"/>
    </xf>
    <xf numFmtId="3" fontId="5" fillId="0" borderId="8" xfId="45" applyNumberFormat="1" applyFont="1" applyBorder="1" applyAlignment="1">
      <alignment horizontal="center"/>
    </xf>
    <xf numFmtId="3" fontId="9" fillId="0" borderId="0" xfId="45" applyNumberFormat="1" applyFont="1" applyAlignment="1">
      <alignment horizontal="center"/>
    </xf>
    <xf numFmtId="49" fontId="5" fillId="0" borderId="9" xfId="45" applyNumberFormat="1" applyFont="1" applyBorder="1" applyAlignment="1">
      <alignment horizontal="center" vertical="center" textRotation="90"/>
    </xf>
    <xf numFmtId="3" fontId="5" fillId="0" borderId="10" xfId="45" applyNumberFormat="1" applyFont="1" applyBorder="1" applyAlignment="1">
      <alignment horizontal="center" vertical="center" textRotation="90"/>
    </xf>
    <xf numFmtId="3" fontId="6" fillId="0" borderId="10" xfId="45" applyNumberFormat="1" applyFont="1" applyBorder="1" applyAlignment="1">
      <alignment horizontal="center" vertical="center"/>
    </xf>
    <xf numFmtId="3" fontId="5" fillId="0" borderId="37" xfId="45" applyNumberFormat="1" applyFont="1" applyBorder="1" applyAlignment="1">
      <alignment horizontal="center" vertical="center" wrapText="1"/>
    </xf>
    <xf numFmtId="3" fontId="6" fillId="0" borderId="38" xfId="45" applyNumberFormat="1" applyFont="1" applyBorder="1" applyAlignment="1">
      <alignment horizontal="center" vertical="center" wrapText="1"/>
    </xf>
    <xf numFmtId="3" fontId="5" fillId="0" borderId="0" xfId="45" applyNumberFormat="1" applyFont="1" applyAlignment="1">
      <alignment horizontal="center" vertical="center"/>
    </xf>
    <xf numFmtId="49" fontId="5" fillId="0" borderId="13" xfId="45" applyNumberFormat="1" applyFont="1" applyBorder="1" applyAlignment="1">
      <alignment horizontal="center"/>
    </xf>
    <xf numFmtId="3" fontId="6" fillId="0" borderId="14" xfId="45" applyNumberFormat="1" applyFont="1" applyBorder="1" applyAlignment="1">
      <alignment horizontal="center"/>
    </xf>
    <xf numFmtId="3" fontId="5" fillId="0" borderId="14" xfId="45" applyNumberFormat="1" applyFont="1" applyBorder="1" applyAlignment="1">
      <alignment horizontal="center"/>
    </xf>
    <xf numFmtId="3" fontId="6" fillId="0" borderId="14" xfId="45" applyNumberFormat="1" applyFont="1" applyBorder="1" applyAlignment="1">
      <alignment wrapText="1"/>
    </xf>
    <xf numFmtId="3" fontId="6" fillId="0" borderId="14" xfId="45" applyNumberFormat="1" applyFont="1" applyBorder="1"/>
    <xf numFmtId="3" fontId="6" fillId="0" borderId="15" xfId="45" applyNumberFormat="1" applyFont="1" applyBorder="1"/>
    <xf numFmtId="3" fontId="7" fillId="0" borderId="14" xfId="45" applyNumberFormat="1" applyFont="1" applyBorder="1"/>
    <xf numFmtId="3" fontId="6" fillId="0" borderId="16" xfId="45" applyNumberFormat="1" applyFont="1" applyBorder="1"/>
    <xf numFmtId="3" fontId="6" fillId="0" borderId="0" xfId="45" applyNumberFormat="1" applyFont="1"/>
    <xf numFmtId="49" fontId="5" fillId="0" borderId="17" xfId="45" applyNumberFormat="1" applyFont="1" applyBorder="1" applyAlignment="1">
      <alignment horizontal="center"/>
    </xf>
    <xf numFmtId="3" fontId="5" fillId="0" borderId="18" xfId="45" applyNumberFormat="1" applyFont="1" applyBorder="1"/>
    <xf numFmtId="3" fontId="5" fillId="0" borderId="19" xfId="45" applyNumberFormat="1" applyFont="1" applyBorder="1"/>
    <xf numFmtId="3" fontId="5" fillId="0" borderId="0" xfId="45" applyNumberFormat="1" applyFont="1" applyAlignment="1">
      <alignment horizontal="left" indent="2"/>
    </xf>
    <xf numFmtId="49" fontId="5" fillId="0" borderId="21" xfId="45" applyNumberFormat="1" applyFont="1" applyBorder="1" applyAlignment="1">
      <alignment horizontal="center"/>
    </xf>
    <xf numFmtId="3" fontId="6" fillId="0" borderId="23" xfId="45" applyNumberFormat="1" applyFont="1" applyBorder="1" applyAlignment="1">
      <alignment horizontal="center"/>
    </xf>
    <xf numFmtId="3" fontId="5" fillId="0" borderId="23" xfId="45" applyNumberFormat="1" applyFont="1" applyBorder="1" applyAlignment="1">
      <alignment horizontal="center"/>
    </xf>
    <xf numFmtId="3" fontId="6" fillId="0" borderId="23" xfId="45" applyNumberFormat="1" applyFont="1" applyBorder="1"/>
    <xf numFmtId="3" fontId="6" fillId="0" borderId="25" xfId="45" applyNumberFormat="1" applyFont="1" applyBorder="1"/>
    <xf numFmtId="3" fontId="7" fillId="0" borderId="23" xfId="45" applyNumberFormat="1" applyFont="1" applyBorder="1"/>
    <xf numFmtId="3" fontId="6" fillId="0" borderId="24" xfId="45" applyNumberFormat="1" applyFont="1" applyBorder="1"/>
    <xf numFmtId="3" fontId="6" fillId="0" borderId="18" xfId="45" applyNumberFormat="1" applyFont="1" applyBorder="1"/>
    <xf numFmtId="3" fontId="7" fillId="0" borderId="0" xfId="45" applyNumberFormat="1" applyFont="1"/>
    <xf numFmtId="3" fontId="6" fillId="0" borderId="19" xfId="45" applyNumberFormat="1" applyFont="1" applyBorder="1"/>
    <xf numFmtId="49" fontId="9" fillId="0" borderId="17" xfId="45" applyNumberFormat="1" applyFont="1" applyBorder="1" applyAlignment="1">
      <alignment horizontal="center"/>
    </xf>
    <xf numFmtId="3" fontId="9" fillId="0" borderId="0" xfId="45" applyNumberFormat="1" applyFont="1" applyAlignment="1">
      <alignment horizontal="left" indent="2"/>
    </xf>
    <xf numFmtId="3" fontId="9" fillId="0" borderId="18" xfId="45" applyNumberFormat="1" applyFont="1" applyBorder="1"/>
    <xf numFmtId="3" fontId="9" fillId="0" borderId="19" xfId="45" applyNumberFormat="1" applyFont="1" applyBorder="1"/>
    <xf numFmtId="3" fontId="5" fillId="0" borderId="0" xfId="45" applyNumberFormat="1" applyFont="1" applyAlignment="1">
      <alignment horizontal="left" wrapText="1" indent="3"/>
    </xf>
    <xf numFmtId="3" fontId="5" fillId="0" borderId="18" xfId="45" applyNumberFormat="1" applyFont="1" applyBorder="1" applyAlignment="1">
      <alignment vertical="center"/>
    </xf>
    <xf numFmtId="49" fontId="5" fillId="0" borderId="17" xfId="45" applyNumberFormat="1" applyFont="1" applyBorder="1" applyAlignment="1">
      <alignment horizontal="center" vertical="center"/>
    </xf>
    <xf numFmtId="3" fontId="6" fillId="0" borderId="0" xfId="45" applyNumberFormat="1" applyFont="1" applyAlignment="1">
      <alignment vertical="center"/>
    </xf>
    <xf numFmtId="3" fontId="6" fillId="0" borderId="18" xfId="45" applyNumberFormat="1" applyFont="1" applyBorder="1" applyAlignment="1">
      <alignment vertical="center"/>
    </xf>
    <xf numFmtId="3" fontId="7" fillId="0" borderId="0" xfId="45" applyNumberFormat="1" applyFont="1" applyAlignment="1">
      <alignment vertical="center"/>
    </xf>
    <xf numFmtId="3" fontId="6" fillId="0" borderId="19" xfId="45" applyNumberFormat="1" applyFont="1" applyBorder="1" applyAlignment="1">
      <alignment vertical="center"/>
    </xf>
    <xf numFmtId="3" fontId="5" fillId="0" borderId="0" xfId="45" applyNumberFormat="1" applyFont="1" applyAlignment="1">
      <alignment wrapText="1"/>
    </xf>
    <xf numFmtId="49" fontId="5" fillId="0" borderId="1" xfId="45" applyNumberFormat="1" applyFont="1" applyBorder="1" applyAlignment="1">
      <alignment horizontal="center" vertical="center"/>
    </xf>
    <xf numFmtId="3" fontId="6" fillId="0" borderId="2" xfId="45" applyNumberFormat="1" applyFont="1" applyBorder="1" applyAlignment="1">
      <alignment horizontal="center" vertical="center"/>
    </xf>
    <xf numFmtId="3" fontId="5" fillId="0" borderId="2" xfId="45" applyNumberFormat="1" applyFont="1" applyBorder="1" applyAlignment="1">
      <alignment horizontal="center" vertical="center"/>
    </xf>
    <xf numFmtId="3" fontId="6" fillId="0" borderId="2" xfId="45" applyNumberFormat="1" applyFont="1" applyBorder="1" applyAlignment="1">
      <alignment vertical="center"/>
    </xf>
    <xf numFmtId="3" fontId="6" fillId="0" borderId="12" xfId="45" applyNumberFormat="1" applyFont="1" applyBorder="1" applyAlignment="1">
      <alignment vertical="center"/>
    </xf>
    <xf numFmtId="3" fontId="7" fillId="0" borderId="2" xfId="45" applyNumberFormat="1" applyFont="1" applyBorder="1" applyAlignment="1">
      <alignment vertical="center"/>
    </xf>
    <xf numFmtId="3" fontId="6" fillId="0" borderId="5" xfId="45" applyNumberFormat="1" applyFont="1" applyBorder="1" applyAlignment="1">
      <alignment vertical="center"/>
    </xf>
    <xf numFmtId="3" fontId="5" fillId="0" borderId="0" xfId="45" applyNumberFormat="1" applyFont="1" applyAlignment="1">
      <alignment horizontal="left" indent="1"/>
    </xf>
    <xf numFmtId="49" fontId="5" fillId="0" borderId="17" xfId="45" applyNumberFormat="1" applyFont="1" applyBorder="1" applyAlignment="1">
      <alignment horizontal="center" vertical="top"/>
    </xf>
    <xf numFmtId="3" fontId="5" fillId="0" borderId="0" xfId="45" applyNumberFormat="1" applyFont="1" applyAlignment="1">
      <alignment horizontal="center" vertical="top"/>
    </xf>
    <xf numFmtId="3" fontId="5" fillId="0" borderId="0" xfId="45" applyNumberFormat="1" applyFont="1" applyAlignment="1">
      <alignment horizontal="left" vertical="top" indent="1"/>
    </xf>
    <xf numFmtId="3" fontId="5" fillId="0" borderId="0" xfId="45" applyNumberFormat="1" applyFont="1" applyAlignment="1">
      <alignment vertical="top"/>
    </xf>
    <xf numFmtId="3" fontId="5" fillId="0" borderId="18" xfId="45" applyNumberFormat="1" applyFont="1" applyBorder="1" applyAlignment="1">
      <alignment vertical="top"/>
    </xf>
    <xf numFmtId="3" fontId="9" fillId="0" borderId="0" xfId="45" applyNumberFormat="1" applyFont="1" applyAlignment="1">
      <alignment vertical="top"/>
    </xf>
    <xf numFmtId="3" fontId="5" fillId="0" borderId="19" xfId="45" applyNumberFormat="1" applyFont="1" applyBorder="1" applyAlignment="1">
      <alignment vertical="top"/>
    </xf>
    <xf numFmtId="49" fontId="5" fillId="0" borderId="1" xfId="45" applyNumberFormat="1" applyFont="1" applyBorder="1" applyAlignment="1">
      <alignment horizontal="center"/>
    </xf>
    <xf numFmtId="3" fontId="5" fillId="0" borderId="2" xfId="45" applyNumberFormat="1" applyFont="1" applyBorder="1" applyAlignment="1">
      <alignment horizontal="center"/>
    </xf>
    <xf numFmtId="3" fontId="15" fillId="0" borderId="0" xfId="45" applyNumberFormat="1" applyFont="1" applyAlignment="1">
      <alignment horizontal="center" vertical="center"/>
    </xf>
    <xf numFmtId="0" fontId="16" fillId="0" borderId="0" xfId="0" applyFont="1" applyAlignment="1">
      <alignment horizontal="center" vertical="center"/>
    </xf>
    <xf numFmtId="0" fontId="17" fillId="0" borderId="0" xfId="0" applyFont="1"/>
    <xf numFmtId="3" fontId="11" fillId="0" borderId="0" xfId="0" applyNumberFormat="1" applyFont="1" applyAlignment="1">
      <alignment horizontal="center" vertical="center"/>
    </xf>
    <xf numFmtId="0" fontId="18" fillId="0" borderId="0" xfId="0" applyFont="1"/>
    <xf numFmtId="3" fontId="12" fillId="0" borderId="0" xfId="0" applyNumberFormat="1" applyFont="1" applyAlignment="1">
      <alignment horizontal="center" vertical="center"/>
    </xf>
    <xf numFmtId="3" fontId="12" fillId="0" borderId="0" xfId="0" applyNumberFormat="1" applyFont="1" applyAlignment="1">
      <alignment vertical="center"/>
    </xf>
    <xf numFmtId="3" fontId="13" fillId="0" borderId="0" xfId="0" applyNumberFormat="1" applyFont="1" applyAlignment="1">
      <alignment vertical="center"/>
    </xf>
    <xf numFmtId="3" fontId="12" fillId="0" borderId="41" xfId="0" applyNumberFormat="1" applyFont="1" applyBorder="1" applyAlignment="1">
      <alignment horizontal="center" vertical="center" wrapText="1"/>
    </xf>
    <xf numFmtId="3" fontId="20" fillId="0" borderId="41" xfId="0" applyNumberFormat="1" applyFont="1" applyBorder="1" applyAlignment="1">
      <alignment horizontal="center" vertical="center" wrapText="1"/>
    </xf>
    <xf numFmtId="3" fontId="12" fillId="0" borderId="42" xfId="0" applyNumberFormat="1" applyFont="1" applyBorder="1" applyAlignment="1">
      <alignment horizontal="center"/>
    </xf>
    <xf numFmtId="3" fontId="12" fillId="0" borderId="43" xfId="0" applyNumberFormat="1" applyFont="1" applyBorder="1" applyAlignment="1">
      <alignment horizontal="center"/>
    </xf>
    <xf numFmtId="3" fontId="19" fillId="0" borderId="44" xfId="49" applyNumberFormat="1" applyFont="1" applyBorder="1" applyAlignment="1">
      <alignment horizontal="left"/>
    </xf>
    <xf numFmtId="3" fontId="19" fillId="0" borderId="45" xfId="49" applyNumberFormat="1" applyFont="1" applyBorder="1" applyAlignment="1">
      <alignment horizontal="left"/>
    </xf>
    <xf numFmtId="3" fontId="12" fillId="0" borderId="43" xfId="0" applyNumberFormat="1" applyFont="1" applyBorder="1"/>
    <xf numFmtId="3" fontId="12" fillId="0" borderId="46" xfId="0" applyNumberFormat="1" applyFont="1" applyBorder="1"/>
    <xf numFmtId="3" fontId="12" fillId="0" borderId="45" xfId="0" applyNumberFormat="1" applyFont="1" applyBorder="1"/>
    <xf numFmtId="3" fontId="13" fillId="0" borderId="47" xfId="0" applyNumberFormat="1" applyFont="1" applyBorder="1"/>
    <xf numFmtId="3" fontId="12" fillId="0" borderId="48" xfId="0" applyNumberFormat="1" applyFont="1" applyBorder="1" applyAlignment="1">
      <alignment horizontal="center"/>
    </xf>
    <xf numFmtId="3" fontId="12" fillId="0" borderId="49" xfId="0" applyNumberFormat="1" applyFont="1" applyBorder="1" applyAlignment="1">
      <alignment horizontal="center"/>
    </xf>
    <xf numFmtId="3" fontId="12" fillId="0" borderId="50" xfId="49" applyNumberFormat="1" applyFont="1" applyBorder="1" applyAlignment="1">
      <alignment horizontal="left"/>
    </xf>
    <xf numFmtId="3" fontId="12" fillId="0" borderId="51" xfId="49" applyNumberFormat="1" applyFont="1" applyBorder="1" applyAlignment="1">
      <alignment horizontal="left"/>
    </xf>
    <xf numFmtId="3" fontId="12" fillId="0" borderId="49" xfId="0" applyNumberFormat="1" applyFont="1" applyBorder="1"/>
    <xf numFmtId="3" fontId="12" fillId="0" borderId="52" xfId="0" applyNumberFormat="1" applyFont="1" applyBorder="1"/>
    <xf numFmtId="3" fontId="12" fillId="0" borderId="51" xfId="0" applyNumberFormat="1" applyFont="1" applyBorder="1"/>
    <xf numFmtId="3" fontId="13" fillId="0" borderId="53" xfId="0" applyNumberFormat="1" applyFont="1" applyBorder="1"/>
    <xf numFmtId="3" fontId="21" fillId="0" borderId="48" xfId="0" applyNumberFormat="1" applyFont="1" applyBorder="1" applyAlignment="1">
      <alignment horizontal="center" vertical="center"/>
    </xf>
    <xf numFmtId="3" fontId="21" fillId="0" borderId="49" xfId="0" applyNumberFormat="1" applyFont="1" applyBorder="1" applyAlignment="1">
      <alignment horizontal="center"/>
    </xf>
    <xf numFmtId="3" fontId="21" fillId="0" borderId="50" xfId="0" applyNumberFormat="1" applyFont="1" applyBorder="1" applyAlignment="1">
      <alignment horizontal="center"/>
    </xf>
    <xf numFmtId="3" fontId="21" fillId="0" borderId="49" xfId="49" applyNumberFormat="1" applyFont="1" applyBorder="1"/>
    <xf numFmtId="3" fontId="21" fillId="0" borderId="49" xfId="0" applyNumberFormat="1" applyFont="1" applyBorder="1"/>
    <xf numFmtId="3" fontId="21" fillId="0" borderId="52" xfId="0" applyNumberFormat="1" applyFont="1" applyBorder="1"/>
    <xf numFmtId="3" fontId="21" fillId="0" borderId="51" xfId="0" applyNumberFormat="1" applyFont="1" applyBorder="1"/>
    <xf numFmtId="3" fontId="22" fillId="0" borderId="53" xfId="0" applyNumberFormat="1" applyFont="1" applyBorder="1"/>
    <xf numFmtId="3" fontId="21" fillId="0" borderId="0" xfId="0" applyNumberFormat="1" applyFont="1" applyAlignment="1">
      <alignment vertical="center"/>
    </xf>
    <xf numFmtId="0" fontId="23" fillId="0" borderId="0" xfId="0" applyFont="1"/>
    <xf numFmtId="0" fontId="19" fillId="0" borderId="54" xfId="47" applyFont="1" applyBorder="1" applyAlignment="1">
      <alignment horizontal="left"/>
    </xf>
    <xf numFmtId="3" fontId="19" fillId="0" borderId="51" xfId="0" applyNumberFormat="1" applyFont="1" applyBorder="1"/>
    <xf numFmtId="3" fontId="19" fillId="0" borderId="49" xfId="0" applyNumberFormat="1" applyFont="1" applyBorder="1"/>
    <xf numFmtId="3" fontId="8" fillId="0" borderId="53" xfId="0" applyNumberFormat="1" applyFont="1" applyBorder="1"/>
    <xf numFmtId="0" fontId="13" fillId="0" borderId="55" xfId="47" applyFont="1" applyBorder="1" applyAlignment="1">
      <alignment horizontal="left"/>
    </xf>
    <xf numFmtId="3" fontId="13" fillId="0" borderId="51" xfId="0" applyNumberFormat="1" applyFont="1" applyBorder="1"/>
    <xf numFmtId="3" fontId="13" fillId="0" borderId="49" xfId="0" applyNumberFormat="1" applyFont="1" applyBorder="1"/>
    <xf numFmtId="3" fontId="19" fillId="0" borderId="53" xfId="0" applyNumberFormat="1" applyFont="1" applyBorder="1"/>
    <xf numFmtId="3" fontId="19" fillId="0" borderId="51" xfId="49" applyNumberFormat="1" applyFont="1" applyBorder="1" applyAlignment="1">
      <alignment horizontal="left"/>
    </xf>
    <xf numFmtId="3" fontId="13" fillId="0" borderId="0" xfId="0" applyNumberFormat="1" applyFont="1" applyAlignment="1">
      <alignment vertical="top"/>
    </xf>
    <xf numFmtId="3" fontId="21" fillId="0" borderId="0" xfId="0" applyNumberFormat="1" applyFont="1" applyAlignment="1">
      <alignment vertical="top"/>
    </xf>
    <xf numFmtId="3" fontId="19" fillId="0" borderId="0" xfId="0" applyNumberFormat="1" applyFont="1" applyAlignment="1">
      <alignment vertical="top"/>
    </xf>
    <xf numFmtId="3" fontId="12" fillId="0" borderId="48" xfId="0" applyNumberFormat="1" applyFont="1" applyBorder="1" applyAlignment="1">
      <alignment horizontal="center" vertical="center"/>
    </xf>
    <xf numFmtId="3" fontId="12" fillId="0" borderId="51" xfId="49" applyNumberFormat="1" applyFont="1" applyBorder="1"/>
    <xf numFmtId="0" fontId="0" fillId="0" borderId="49" xfId="0" applyBorder="1"/>
    <xf numFmtId="0" fontId="0" fillId="0" borderId="52" xfId="0" applyBorder="1"/>
    <xf numFmtId="0" fontId="0" fillId="0" borderId="51" xfId="0" applyBorder="1"/>
    <xf numFmtId="0" fontId="17" fillId="0" borderId="53" xfId="0" applyFont="1" applyBorder="1"/>
    <xf numFmtId="0" fontId="13" fillId="0" borderId="54" xfId="47" applyFont="1" applyBorder="1" applyAlignment="1">
      <alignment horizontal="left"/>
    </xf>
    <xf numFmtId="3" fontId="19" fillId="0" borderId="51" xfId="49" applyNumberFormat="1" applyFont="1" applyBorder="1"/>
    <xf numFmtId="3" fontId="21" fillId="0" borderId="0" xfId="0" applyNumberFormat="1" applyFont="1"/>
    <xf numFmtId="3" fontId="12" fillId="0" borderId="0" xfId="0" applyNumberFormat="1" applyFont="1" applyAlignment="1">
      <alignment vertical="top"/>
    </xf>
    <xf numFmtId="3" fontId="22" fillId="0" borderId="0" xfId="0" applyNumberFormat="1" applyFont="1" applyAlignment="1">
      <alignment vertical="top"/>
    </xf>
    <xf numFmtId="3" fontId="21" fillId="0" borderId="54" xfId="0" applyNumberFormat="1" applyFont="1" applyBorder="1" applyAlignment="1">
      <alignment horizontal="center"/>
    </xf>
    <xf numFmtId="3" fontId="21" fillId="0" borderId="43" xfId="0" applyNumberFormat="1" applyFont="1" applyBorder="1"/>
    <xf numFmtId="3" fontId="21" fillId="0" borderId="46" xfId="0" applyNumberFormat="1" applyFont="1" applyBorder="1"/>
    <xf numFmtId="3" fontId="19" fillId="0" borderId="43" xfId="0" applyNumberFormat="1" applyFont="1" applyBorder="1"/>
    <xf numFmtId="3" fontId="8" fillId="0" borderId="47" xfId="0" applyNumberFormat="1" applyFont="1" applyBorder="1"/>
    <xf numFmtId="3" fontId="21" fillId="0" borderId="43" xfId="0" applyNumberFormat="1" applyFont="1" applyBorder="1" applyAlignment="1">
      <alignment horizontal="center"/>
    </xf>
    <xf numFmtId="3" fontId="13" fillId="0" borderId="43" xfId="0" applyNumberFormat="1" applyFont="1" applyBorder="1"/>
    <xf numFmtId="3" fontId="21" fillId="0" borderId="56" xfId="0" applyNumberFormat="1" applyFont="1" applyBorder="1" applyAlignment="1">
      <alignment horizontal="center"/>
    </xf>
    <xf numFmtId="3" fontId="19" fillId="0" borderId="57" xfId="0" applyNumberFormat="1" applyFont="1" applyBorder="1"/>
    <xf numFmtId="3" fontId="19" fillId="0" borderId="58" xfId="0" applyNumberFormat="1" applyFont="1" applyBorder="1"/>
    <xf numFmtId="3" fontId="19" fillId="0" borderId="59" xfId="0" applyNumberFormat="1" applyFont="1" applyBorder="1"/>
    <xf numFmtId="3" fontId="8" fillId="0" borderId="60" xfId="0" applyNumberFormat="1" applyFont="1" applyBorder="1"/>
    <xf numFmtId="3" fontId="21" fillId="0" borderId="48" xfId="0" applyNumberFormat="1" applyFont="1" applyBorder="1" applyAlignment="1">
      <alignment horizontal="center" vertical="top"/>
    </xf>
    <xf numFmtId="3" fontId="21" fillId="0" borderId="61" xfId="0" applyNumberFormat="1" applyFont="1" applyBorder="1" applyAlignment="1">
      <alignment horizontal="center"/>
    </xf>
    <xf numFmtId="3" fontId="21" fillId="0" borderId="62" xfId="0" applyNumberFormat="1" applyFont="1" applyBorder="1" applyAlignment="1">
      <alignment horizontal="center"/>
    </xf>
    <xf numFmtId="3" fontId="21" fillId="0" borderId="49" xfId="49" applyNumberFormat="1" applyFont="1" applyBorder="1" applyAlignment="1">
      <alignment horizontal="left"/>
    </xf>
    <xf numFmtId="3" fontId="21" fillId="0" borderId="61" xfId="0" applyNumberFormat="1" applyFont="1" applyBorder="1"/>
    <xf numFmtId="3" fontId="21" fillId="0" borderId="63" xfId="0" applyNumberFormat="1" applyFont="1" applyBorder="1"/>
    <xf numFmtId="3" fontId="21" fillId="0" borderId="64" xfId="0" applyNumberFormat="1" applyFont="1" applyBorder="1"/>
    <xf numFmtId="3" fontId="22" fillId="0" borderId="65" xfId="0" applyNumberFormat="1" applyFont="1" applyBorder="1"/>
    <xf numFmtId="3" fontId="21" fillId="0" borderId="42" xfId="0" applyNumberFormat="1" applyFont="1" applyBorder="1" applyAlignment="1">
      <alignment horizontal="center" vertical="top"/>
    </xf>
    <xf numFmtId="3" fontId="19" fillId="0" borderId="64" xfId="0" applyNumberFormat="1" applyFont="1" applyBorder="1"/>
    <xf numFmtId="3" fontId="19" fillId="0" borderId="61" xfId="0" applyNumberFormat="1" applyFont="1" applyBorder="1"/>
    <xf numFmtId="3" fontId="8" fillId="0" borderId="65" xfId="0" applyNumberFormat="1" applyFont="1" applyBorder="1"/>
    <xf numFmtId="3" fontId="21" fillId="0" borderId="66" xfId="0" applyNumberFormat="1" applyFont="1" applyBorder="1" applyAlignment="1">
      <alignment horizontal="center"/>
    </xf>
    <xf numFmtId="3" fontId="21" fillId="0" borderId="67" xfId="0" applyNumberFormat="1" applyFont="1" applyBorder="1" applyAlignment="1">
      <alignment horizontal="center"/>
    </xf>
    <xf numFmtId="0" fontId="19" fillId="0" borderId="66" xfId="47" applyFont="1" applyBorder="1" applyAlignment="1">
      <alignment horizontal="left"/>
    </xf>
    <xf numFmtId="3" fontId="21" fillId="0" borderId="66" xfId="0" applyNumberFormat="1" applyFont="1" applyBorder="1"/>
    <xf numFmtId="3" fontId="21" fillId="0" borderId="68" xfId="0" applyNumberFormat="1" applyFont="1" applyBorder="1"/>
    <xf numFmtId="3" fontId="19" fillId="0" borderId="69" xfId="0" applyNumberFormat="1" applyFont="1" applyBorder="1"/>
    <xf numFmtId="3" fontId="19" fillId="0" borderId="66" xfId="0" applyNumberFormat="1" applyFont="1" applyBorder="1"/>
    <xf numFmtId="3" fontId="8" fillId="0" borderId="70" xfId="0" applyNumberFormat="1" applyFont="1" applyBorder="1"/>
    <xf numFmtId="3" fontId="12" fillId="0" borderId="42" xfId="0" applyNumberFormat="1" applyFont="1" applyBorder="1" applyAlignment="1">
      <alignment horizontal="center" vertical="top"/>
    </xf>
    <xf numFmtId="0" fontId="13" fillId="0" borderId="54" xfId="47" applyFont="1" applyBorder="1" applyAlignment="1">
      <alignment horizontal="left" wrapText="1"/>
    </xf>
    <xf numFmtId="3" fontId="13" fillId="0" borderId="71" xfId="0" applyNumberFormat="1" applyFont="1" applyBorder="1" applyAlignment="1">
      <alignment vertical="top"/>
    </xf>
    <xf numFmtId="3" fontId="13" fillId="0" borderId="71" xfId="0" applyNumberFormat="1" applyFont="1" applyBorder="1"/>
    <xf numFmtId="3" fontId="22" fillId="0" borderId="71" xfId="0" applyNumberFormat="1" applyFont="1" applyBorder="1"/>
    <xf numFmtId="3" fontId="8" fillId="0" borderId="71" xfId="0" applyNumberFormat="1" applyFont="1" applyBorder="1"/>
    <xf numFmtId="3" fontId="13" fillId="0" borderId="61" xfId="0" applyNumberFormat="1" applyFont="1" applyBorder="1"/>
    <xf numFmtId="3" fontId="13" fillId="0" borderId="65" xfId="0" applyNumberFormat="1" applyFont="1" applyBorder="1"/>
    <xf numFmtId="3" fontId="12" fillId="0" borderId="49" xfId="0" applyNumberFormat="1" applyFont="1" applyBorder="1" applyAlignment="1">
      <alignment horizontal="center" vertical="top"/>
    </xf>
    <xf numFmtId="3" fontId="19" fillId="0" borderId="0" xfId="0" applyNumberFormat="1" applyFont="1" applyAlignment="1">
      <alignment vertical="center"/>
    </xf>
    <xf numFmtId="3" fontId="19" fillId="0" borderId="60" xfId="0" applyNumberFormat="1" applyFont="1" applyBorder="1"/>
    <xf numFmtId="3" fontId="21" fillId="0" borderId="42" xfId="0" applyNumberFormat="1" applyFont="1" applyBorder="1" applyAlignment="1">
      <alignment horizontal="center" vertical="center"/>
    </xf>
    <xf numFmtId="3" fontId="21" fillId="0" borderId="72" xfId="0" applyNumberFormat="1" applyFont="1" applyBorder="1" applyAlignment="1">
      <alignment horizontal="center"/>
    </xf>
    <xf numFmtId="3" fontId="21" fillId="0" borderId="55" xfId="0" applyNumberFormat="1" applyFont="1" applyBorder="1" applyAlignment="1">
      <alignment horizontal="center"/>
    </xf>
    <xf numFmtId="3" fontId="21" fillId="0" borderId="73" xfId="0" applyNumberFormat="1" applyFont="1" applyBorder="1" applyAlignment="1">
      <alignment horizontal="center"/>
    </xf>
    <xf numFmtId="0" fontId="19" fillId="0" borderId="56" xfId="47" applyFont="1" applyBorder="1" applyAlignment="1">
      <alignment horizontal="left"/>
    </xf>
    <xf numFmtId="3" fontId="21" fillId="0" borderId="56" xfId="0" applyNumberFormat="1" applyFont="1" applyBorder="1"/>
    <xf numFmtId="3" fontId="21" fillId="0" borderId="74" xfId="0" applyNumberFormat="1" applyFont="1" applyBorder="1"/>
    <xf numFmtId="3" fontId="19" fillId="0" borderId="56" xfId="0" applyNumberFormat="1" applyFont="1" applyBorder="1"/>
    <xf numFmtId="3" fontId="8" fillId="0" borderId="75" xfId="0" applyNumberFormat="1" applyFont="1" applyBorder="1"/>
    <xf numFmtId="3" fontId="19" fillId="0" borderId="45" xfId="49" applyNumberFormat="1" applyFont="1" applyBorder="1"/>
    <xf numFmtId="3" fontId="19" fillId="0" borderId="45" xfId="49" applyNumberFormat="1" applyFont="1" applyBorder="1" applyAlignment="1">
      <alignment wrapText="1"/>
    </xf>
    <xf numFmtId="3" fontId="13" fillId="0" borderId="51" xfId="49" applyNumberFormat="1" applyFont="1" applyBorder="1"/>
    <xf numFmtId="3" fontId="13" fillId="0" borderId="51" xfId="0" applyNumberFormat="1" applyFont="1" applyBorder="1" applyAlignment="1">
      <alignment horizontal="right"/>
    </xf>
    <xf numFmtId="3" fontId="19" fillId="0" borderId="51" xfId="49" applyNumberFormat="1" applyFont="1" applyBorder="1" applyAlignment="1">
      <alignment wrapText="1"/>
    </xf>
    <xf numFmtId="3" fontId="12" fillId="0" borderId="49" xfId="49" applyNumberFormat="1" applyFont="1" applyBorder="1" applyAlignment="1">
      <alignment horizontal="left" wrapText="1"/>
    </xf>
    <xf numFmtId="3" fontId="12" fillId="0" borderId="48" xfId="0" applyNumberFormat="1" applyFont="1" applyBorder="1" applyAlignment="1">
      <alignment horizontal="center" vertical="top"/>
    </xf>
    <xf numFmtId="3" fontId="21" fillId="0" borderId="0" xfId="0" applyNumberFormat="1" applyFont="1" applyAlignment="1">
      <alignment horizontal="center"/>
    </xf>
    <xf numFmtId="3" fontId="21" fillId="0" borderId="76" xfId="0" applyNumberFormat="1" applyFont="1" applyBorder="1"/>
    <xf numFmtId="3" fontId="21" fillId="0" borderId="77" xfId="0" applyNumberFormat="1" applyFont="1" applyBorder="1"/>
    <xf numFmtId="3" fontId="19" fillId="0" borderId="45" xfId="0" applyNumberFormat="1" applyFont="1" applyBorder="1"/>
    <xf numFmtId="3" fontId="19" fillId="0" borderId="76" xfId="0" applyNumberFormat="1" applyFont="1" applyBorder="1"/>
    <xf numFmtId="3" fontId="19" fillId="0" borderId="78" xfId="0" applyNumberFormat="1" applyFont="1" applyBorder="1"/>
    <xf numFmtId="3" fontId="21" fillId="0" borderId="79" xfId="0" applyNumberFormat="1" applyFont="1" applyBorder="1" applyAlignment="1">
      <alignment horizontal="center"/>
    </xf>
    <xf numFmtId="3" fontId="22" fillId="0" borderId="0" xfId="0" applyNumberFormat="1" applyFont="1" applyAlignment="1">
      <alignment vertical="center"/>
    </xf>
    <xf numFmtId="0" fontId="24" fillId="0" borderId="0" xfId="0" applyFont="1"/>
    <xf numFmtId="3" fontId="21" fillId="0" borderId="17" xfId="0" applyNumberFormat="1" applyFont="1" applyBorder="1" applyAlignment="1">
      <alignment horizontal="center" vertical="center"/>
    </xf>
    <xf numFmtId="3" fontId="21" fillId="0" borderId="80" xfId="0" applyNumberFormat="1" applyFont="1" applyBorder="1" applyAlignment="1">
      <alignment horizontal="center"/>
    </xf>
    <xf numFmtId="3" fontId="19" fillId="0" borderId="81" xfId="0" applyNumberFormat="1" applyFont="1" applyBorder="1"/>
    <xf numFmtId="3" fontId="19" fillId="0" borderId="83" xfId="0" applyNumberFormat="1" applyFont="1" applyBorder="1"/>
    <xf numFmtId="3" fontId="19" fillId="0" borderId="84" xfId="0" applyNumberFormat="1" applyFont="1" applyBorder="1"/>
    <xf numFmtId="3" fontId="12" fillId="0" borderId="83" xfId="0" applyNumberFormat="1" applyFont="1" applyBorder="1"/>
    <xf numFmtId="3" fontId="13" fillId="0" borderId="85" xfId="0" applyNumberFormat="1" applyFont="1" applyBorder="1"/>
    <xf numFmtId="3" fontId="21" fillId="0" borderId="86" xfId="0" applyNumberFormat="1" applyFont="1" applyBorder="1" applyAlignment="1">
      <alignment horizontal="center" vertical="center"/>
    </xf>
    <xf numFmtId="3" fontId="21" fillId="0" borderId="76" xfId="0" applyNumberFormat="1" applyFont="1" applyBorder="1" applyAlignment="1">
      <alignment horizontal="center"/>
    </xf>
    <xf numFmtId="3" fontId="19" fillId="0" borderId="0" xfId="0" applyNumberFormat="1" applyFont="1"/>
    <xf numFmtId="3" fontId="19" fillId="0" borderId="19" xfId="0" applyNumberFormat="1" applyFont="1" applyBorder="1"/>
    <xf numFmtId="3" fontId="12" fillId="0" borderId="82" xfId="0" applyNumberFormat="1" applyFont="1" applyBorder="1" applyAlignment="1">
      <alignment horizontal="center" vertical="top"/>
    </xf>
    <xf numFmtId="3" fontId="12" fillId="0" borderId="83" xfId="0" applyNumberFormat="1" applyFont="1" applyBorder="1" applyAlignment="1">
      <alignment horizontal="center"/>
    </xf>
    <xf numFmtId="3" fontId="12" fillId="0" borderId="83" xfId="49" applyNumberFormat="1" applyFont="1" applyBorder="1" applyAlignment="1">
      <alignment wrapText="1"/>
    </xf>
    <xf numFmtId="3" fontId="12" fillId="0" borderId="84" xfId="49" applyNumberFormat="1" applyFont="1" applyBorder="1" applyAlignment="1">
      <alignment wrapText="1"/>
    </xf>
    <xf numFmtId="3" fontId="19" fillId="0" borderId="88" xfId="49" applyNumberFormat="1" applyFont="1" applyBorder="1" applyAlignment="1">
      <alignment wrapText="1"/>
    </xf>
    <xf numFmtId="3" fontId="19" fillId="0" borderId="89" xfId="49" applyNumberFormat="1" applyFont="1" applyBorder="1" applyAlignment="1">
      <alignment wrapText="1"/>
    </xf>
    <xf numFmtId="3" fontId="21" fillId="0" borderId="90" xfId="0" applyNumberFormat="1" applyFont="1" applyBorder="1" applyAlignment="1">
      <alignment horizontal="center" vertical="center"/>
    </xf>
    <xf numFmtId="3" fontId="21" fillId="0" borderId="61" xfId="49" applyNumberFormat="1" applyFont="1" applyBorder="1"/>
    <xf numFmtId="3" fontId="21" fillId="0" borderId="91" xfId="0" applyNumberFormat="1" applyFont="1" applyBorder="1" applyAlignment="1">
      <alignment horizontal="center" vertical="center"/>
    </xf>
    <xf numFmtId="3" fontId="21" fillId="0" borderId="92" xfId="0" applyNumberFormat="1" applyFont="1" applyBorder="1" applyAlignment="1">
      <alignment horizontal="center" vertical="center"/>
    </xf>
    <xf numFmtId="3" fontId="13" fillId="0" borderId="49" xfId="49" applyNumberFormat="1" applyFont="1" applyBorder="1"/>
    <xf numFmtId="3" fontId="21" fillId="0" borderId="93" xfId="0" applyNumberFormat="1" applyFont="1" applyBorder="1" applyAlignment="1">
      <alignment horizontal="center"/>
    </xf>
    <xf numFmtId="3" fontId="19" fillId="0" borderId="94" xfId="0" applyNumberFormat="1" applyFont="1" applyBorder="1"/>
    <xf numFmtId="3" fontId="19" fillId="0" borderId="89" xfId="0" applyNumberFormat="1" applyFont="1" applyBorder="1"/>
    <xf numFmtId="3" fontId="8" fillId="0" borderId="85" xfId="0" applyNumberFormat="1" applyFont="1" applyBorder="1"/>
    <xf numFmtId="3" fontId="21" fillId="0" borderId="61" xfId="49" applyNumberFormat="1" applyFont="1" applyBorder="1" applyAlignment="1">
      <alignment horizontal="left"/>
    </xf>
    <xf numFmtId="0" fontId="19" fillId="0" borderId="49" xfId="47" applyFont="1" applyBorder="1" applyAlignment="1">
      <alignment horizontal="left"/>
    </xf>
    <xf numFmtId="3" fontId="19" fillId="0" borderId="65" xfId="0" applyNumberFormat="1" applyFont="1" applyBorder="1"/>
    <xf numFmtId="0" fontId="0" fillId="0" borderId="48" xfId="0" applyBorder="1"/>
    <xf numFmtId="3" fontId="0" fillId="0" borderId="49" xfId="0" applyNumberFormat="1" applyBorder="1"/>
    <xf numFmtId="3" fontId="0" fillId="0" borderId="52" xfId="0" applyNumberFormat="1" applyBorder="1"/>
    <xf numFmtId="0" fontId="0" fillId="0" borderId="95" xfId="0" applyBorder="1"/>
    <xf numFmtId="0" fontId="0" fillId="0" borderId="80" xfId="0" applyBorder="1"/>
    <xf numFmtId="0" fontId="19" fillId="0" borderId="96" xfId="47" applyFont="1" applyBorder="1" applyAlignment="1">
      <alignment horizontal="left"/>
    </xf>
    <xf numFmtId="3" fontId="19" fillId="0" borderId="80" xfId="0" applyNumberFormat="1" applyFont="1" applyBorder="1"/>
    <xf numFmtId="3" fontId="19" fillId="0" borderId="97" xfId="0" applyNumberFormat="1" applyFont="1" applyBorder="1"/>
    <xf numFmtId="3" fontId="12" fillId="0" borderId="0" xfId="0" applyNumberFormat="1" applyFont="1" applyAlignment="1">
      <alignment horizontal="center" vertical="top"/>
    </xf>
    <xf numFmtId="3" fontId="12" fillId="0" borderId="0" xfId="0" applyNumberFormat="1" applyFont="1" applyAlignment="1">
      <alignment horizontal="right"/>
    </xf>
    <xf numFmtId="3" fontId="19" fillId="0" borderId="0" xfId="0" applyNumberFormat="1" applyFont="1" applyAlignment="1">
      <alignment horizontal="right"/>
    </xf>
    <xf numFmtId="3" fontId="12" fillId="0" borderId="41" xfId="45" applyNumberFormat="1" applyFont="1" applyBorder="1" applyAlignment="1">
      <alignment horizontal="center" vertical="center" wrapText="1"/>
    </xf>
    <xf numFmtId="3" fontId="12" fillId="0" borderId="45" xfId="0" applyNumberFormat="1" applyFont="1" applyBorder="1" applyAlignment="1">
      <alignment horizontal="center"/>
    </xf>
    <xf numFmtId="3" fontId="19" fillId="0" borderId="43" xfId="49" applyNumberFormat="1" applyFont="1" applyBorder="1"/>
    <xf numFmtId="3" fontId="12" fillId="0" borderId="43" xfId="49" applyNumberFormat="1" applyFont="1" applyBorder="1" applyAlignment="1">
      <alignment horizontal="center"/>
    </xf>
    <xf numFmtId="3" fontId="12" fillId="0" borderId="54" xfId="0" applyNumberFormat="1" applyFont="1" applyBorder="1"/>
    <xf numFmtId="3" fontId="19" fillId="0" borderId="98" xfId="0" applyNumberFormat="1" applyFont="1" applyBorder="1"/>
    <xf numFmtId="3" fontId="12" fillId="0" borderId="47" xfId="0" applyNumberFormat="1" applyFont="1" applyBorder="1"/>
    <xf numFmtId="3" fontId="12" fillId="0" borderId="51" xfId="0" applyNumberFormat="1" applyFont="1" applyBorder="1" applyAlignment="1">
      <alignment horizontal="center"/>
    </xf>
    <xf numFmtId="3" fontId="12" fillId="0" borderId="49" xfId="49" applyNumberFormat="1" applyFont="1" applyBorder="1"/>
    <xf numFmtId="3" fontId="12" fillId="0" borderId="55" xfId="0" applyNumberFormat="1" applyFont="1" applyBorder="1"/>
    <xf numFmtId="3" fontId="19" fillId="0" borderId="99" xfId="0" applyNumberFormat="1" applyFont="1" applyBorder="1"/>
    <xf numFmtId="3" fontId="12" fillId="0" borderId="53" xfId="0" applyNumberFormat="1" applyFont="1" applyBorder="1"/>
    <xf numFmtId="3" fontId="21" fillId="0" borderId="51" xfId="0" applyNumberFormat="1" applyFont="1" applyBorder="1" applyAlignment="1">
      <alignment horizontal="center" vertical="center"/>
    </xf>
    <xf numFmtId="3" fontId="21" fillId="0" borderId="49" xfId="0" applyNumberFormat="1" applyFont="1" applyBorder="1" applyAlignment="1">
      <alignment vertical="center"/>
    </xf>
    <xf numFmtId="3" fontId="21" fillId="0" borderId="55" xfId="0" applyNumberFormat="1" applyFont="1" applyBorder="1" applyAlignment="1">
      <alignment vertical="center"/>
    </xf>
    <xf numFmtId="3" fontId="21" fillId="0" borderId="99" xfId="0" applyNumberFormat="1" applyFont="1" applyBorder="1"/>
    <xf numFmtId="3" fontId="21" fillId="0" borderId="49" xfId="0" applyNumberFormat="1" applyFont="1" applyBorder="1" applyAlignment="1">
      <alignment horizontal="right"/>
    </xf>
    <xf numFmtId="3" fontId="21" fillId="0" borderId="53" xfId="0" applyNumberFormat="1" applyFont="1" applyBorder="1" applyAlignment="1">
      <alignment horizontal="right"/>
    </xf>
    <xf numFmtId="3" fontId="21" fillId="0" borderId="0" xfId="0" applyNumberFormat="1" applyFont="1" applyAlignment="1">
      <alignment horizontal="right" vertical="center"/>
    </xf>
    <xf numFmtId="3" fontId="19" fillId="0" borderId="49" xfId="0" applyNumberFormat="1" applyFont="1" applyBorder="1" applyAlignment="1">
      <alignment horizontal="right"/>
    </xf>
    <xf numFmtId="3" fontId="21" fillId="0" borderId="52" xfId="0" applyNumberFormat="1" applyFont="1" applyBorder="1" applyAlignment="1">
      <alignment vertical="center"/>
    </xf>
    <xf numFmtId="3" fontId="13" fillId="0" borderId="49" xfId="0" applyNumberFormat="1" applyFont="1" applyBorder="1" applyAlignment="1">
      <alignment horizontal="right"/>
    </xf>
    <xf numFmtId="3" fontId="19" fillId="0" borderId="53" xfId="0" applyNumberFormat="1" applyFont="1" applyBorder="1" applyAlignment="1">
      <alignment horizontal="right"/>
    </xf>
    <xf numFmtId="3" fontId="19" fillId="0" borderId="49" xfId="49" applyNumberFormat="1" applyFont="1" applyBorder="1"/>
    <xf numFmtId="3" fontId="12" fillId="0" borderId="49" xfId="49" applyNumberFormat="1" applyFont="1" applyBorder="1" applyAlignment="1">
      <alignment horizontal="center"/>
    </xf>
    <xf numFmtId="3" fontId="19" fillId="0" borderId="0" xfId="0" applyNumberFormat="1" applyFont="1" applyAlignment="1">
      <alignment horizontal="right" vertical="center"/>
    </xf>
    <xf numFmtId="3" fontId="21" fillId="0" borderId="0" xfId="0" applyNumberFormat="1" applyFont="1" applyAlignment="1">
      <alignment horizontal="right"/>
    </xf>
    <xf numFmtId="3" fontId="12" fillId="0" borderId="0" xfId="0" applyNumberFormat="1" applyFont="1" applyAlignment="1">
      <alignment horizontal="right" vertical="center"/>
    </xf>
    <xf numFmtId="3" fontId="12" fillId="0" borderId="49" xfId="0" applyNumberFormat="1" applyFont="1" applyBorder="1" applyAlignment="1">
      <alignment horizontal="right"/>
    </xf>
    <xf numFmtId="3" fontId="12" fillId="0" borderId="53" xfId="0" applyNumberFormat="1" applyFont="1" applyBorder="1" applyAlignment="1">
      <alignment horizontal="right"/>
    </xf>
    <xf numFmtId="3" fontId="13" fillId="0" borderId="0" xfId="0" applyNumberFormat="1" applyFont="1" applyAlignment="1">
      <alignment horizontal="right" vertical="center"/>
    </xf>
    <xf numFmtId="3" fontId="21" fillId="0" borderId="50" xfId="0" applyNumberFormat="1" applyFont="1" applyBorder="1" applyAlignment="1">
      <alignment horizontal="center" vertical="center"/>
    </xf>
    <xf numFmtId="3" fontId="21" fillId="0" borderId="55" xfId="0" applyNumberFormat="1" applyFont="1" applyBorder="1" applyAlignment="1">
      <alignment horizontal="center" vertical="center"/>
    </xf>
    <xf numFmtId="3" fontId="21" fillId="0" borderId="49" xfId="0" applyNumberFormat="1" applyFont="1" applyBorder="1" applyAlignment="1">
      <alignment horizontal="center" vertical="center"/>
    </xf>
    <xf numFmtId="3" fontId="21" fillId="0" borderId="44" xfId="0" applyNumberFormat="1" applyFont="1" applyBorder="1" applyAlignment="1">
      <alignment horizontal="center" vertical="center"/>
    </xf>
    <xf numFmtId="3" fontId="21" fillId="0" borderId="66" xfId="0" applyNumberFormat="1" applyFont="1" applyBorder="1" applyAlignment="1">
      <alignment horizontal="center" vertical="center"/>
    </xf>
    <xf numFmtId="3" fontId="21" fillId="0" borderId="43" xfId="0" applyNumberFormat="1" applyFont="1" applyBorder="1" applyAlignment="1">
      <alignment vertical="center"/>
    </xf>
    <xf numFmtId="3" fontId="21" fillId="0" borderId="74" xfId="0" applyNumberFormat="1" applyFont="1" applyBorder="1" applyAlignment="1">
      <alignment vertical="center"/>
    </xf>
    <xf numFmtId="3" fontId="19" fillId="0" borderId="43" xfId="0" applyNumberFormat="1" applyFont="1" applyBorder="1" applyAlignment="1">
      <alignment horizontal="right"/>
    </xf>
    <xf numFmtId="3" fontId="19" fillId="0" borderId="47" xfId="0" applyNumberFormat="1" applyFont="1" applyBorder="1" applyAlignment="1">
      <alignment horizontal="right"/>
    </xf>
    <xf numFmtId="3" fontId="8" fillId="0" borderId="48" xfId="0" applyNumberFormat="1" applyFont="1" applyBorder="1" applyAlignment="1">
      <alignment horizontal="center" vertical="center"/>
    </xf>
    <xf numFmtId="3" fontId="8" fillId="0" borderId="57" xfId="0" applyNumberFormat="1" applyFont="1" applyBorder="1" applyAlignment="1">
      <alignment vertical="center"/>
    </xf>
    <xf numFmtId="3" fontId="8" fillId="0" borderId="100" xfId="0" applyNumberFormat="1" applyFont="1" applyBorder="1" applyAlignment="1">
      <alignment vertical="center"/>
    </xf>
    <xf numFmtId="3" fontId="8" fillId="0" borderId="101" xfId="0" applyNumberFormat="1" applyFont="1" applyBorder="1" applyAlignment="1">
      <alignment vertical="center"/>
    </xf>
    <xf numFmtId="3" fontId="8" fillId="0" borderId="60" xfId="0" applyNumberFormat="1" applyFont="1" applyBorder="1" applyAlignment="1">
      <alignment vertical="center"/>
    </xf>
    <xf numFmtId="3" fontId="8" fillId="0" borderId="0" xfId="0" applyNumberFormat="1" applyFont="1" applyAlignment="1">
      <alignment horizontal="right" vertical="center"/>
    </xf>
    <xf numFmtId="3" fontId="8" fillId="0" borderId="0" xfId="0" applyNumberFormat="1" applyFont="1" applyAlignment="1">
      <alignment vertical="center"/>
    </xf>
    <xf numFmtId="3" fontId="21" fillId="0" borderId="61" xfId="0" applyNumberFormat="1" applyFont="1" applyBorder="1" applyAlignment="1">
      <alignment horizontal="center" vertical="center"/>
    </xf>
    <xf numFmtId="3" fontId="21" fillId="0" borderId="64" xfId="0" applyNumberFormat="1" applyFont="1" applyBorder="1" applyAlignment="1">
      <alignment horizontal="center" vertical="center"/>
    </xf>
    <xf numFmtId="3" fontId="21" fillId="0" borderId="61" xfId="0" applyNumberFormat="1" applyFont="1" applyBorder="1" applyAlignment="1">
      <alignment vertical="center"/>
    </xf>
    <xf numFmtId="3" fontId="21" fillId="0" borderId="72" xfId="0" applyNumberFormat="1" applyFont="1" applyBorder="1" applyAlignment="1">
      <alignment vertical="center"/>
    </xf>
    <xf numFmtId="3" fontId="21" fillId="0" borderId="102" xfId="0" applyNumberFormat="1" applyFont="1" applyBorder="1"/>
    <xf numFmtId="3" fontId="21" fillId="0" borderId="61" xfId="0" applyNumberFormat="1" applyFont="1" applyBorder="1" applyAlignment="1">
      <alignment horizontal="right"/>
    </xf>
    <xf numFmtId="3" fontId="21" fillId="0" borderId="65" xfId="0" applyNumberFormat="1" applyFont="1" applyBorder="1" applyAlignment="1">
      <alignment horizontal="right"/>
    </xf>
    <xf numFmtId="3" fontId="19" fillId="0" borderId="102" xfId="0" applyNumberFormat="1" applyFont="1" applyBorder="1"/>
    <xf numFmtId="3" fontId="19" fillId="0" borderId="61" xfId="0" applyNumberFormat="1" applyFont="1" applyBorder="1" applyAlignment="1">
      <alignment horizontal="right"/>
    </xf>
    <xf numFmtId="3" fontId="19" fillId="0" borderId="65" xfId="0" applyNumberFormat="1" applyFont="1" applyBorder="1" applyAlignment="1">
      <alignment horizontal="right"/>
    </xf>
    <xf numFmtId="3" fontId="13" fillId="0" borderId="53" xfId="0" applyNumberFormat="1" applyFont="1" applyBorder="1" applyAlignment="1">
      <alignment horizontal="right"/>
    </xf>
    <xf numFmtId="3" fontId="21" fillId="0" borderId="56" xfId="0" applyNumberFormat="1" applyFont="1" applyBorder="1" applyAlignment="1">
      <alignment horizontal="center" vertical="center"/>
    </xf>
    <xf numFmtId="3" fontId="21" fillId="0" borderId="103" xfId="0" applyNumberFormat="1" applyFont="1" applyBorder="1" applyAlignment="1">
      <alignment horizontal="center" vertical="center"/>
    </xf>
    <xf numFmtId="3" fontId="21" fillId="0" borderId="56" xfId="0" applyNumberFormat="1" applyFont="1" applyBorder="1" applyAlignment="1">
      <alignment vertical="center"/>
    </xf>
    <xf numFmtId="3" fontId="19" fillId="0" borderId="103" xfId="0" applyNumberFormat="1" applyFont="1" applyBorder="1"/>
    <xf numFmtId="3" fontId="19" fillId="0" borderId="56" xfId="0" applyNumberFormat="1" applyFont="1" applyBorder="1" applyAlignment="1">
      <alignment horizontal="right"/>
    </xf>
    <xf numFmtId="3" fontId="19" fillId="0" borderId="75" xfId="0" applyNumberFormat="1" applyFont="1" applyBorder="1" applyAlignment="1">
      <alignment horizontal="right"/>
    </xf>
    <xf numFmtId="3" fontId="19" fillId="0" borderId="43" xfId="49" applyNumberFormat="1" applyFont="1" applyBorder="1" applyAlignment="1">
      <alignment wrapText="1"/>
    </xf>
    <xf numFmtId="3" fontId="12" fillId="0" borderId="58" xfId="0" applyNumberFormat="1" applyFont="1" applyBorder="1"/>
    <xf numFmtId="3" fontId="8" fillId="0" borderId="45" xfId="0" applyNumberFormat="1" applyFont="1" applyBorder="1"/>
    <xf numFmtId="3" fontId="13" fillId="0" borderId="51" xfId="0" applyNumberFormat="1" applyFont="1" applyBorder="1" applyAlignment="1">
      <alignment vertical="top"/>
    </xf>
    <xf numFmtId="3" fontId="13" fillId="0" borderId="49" xfId="0" applyNumberFormat="1" applyFont="1" applyBorder="1" applyAlignment="1">
      <alignment horizontal="right" vertical="top"/>
    </xf>
    <xf numFmtId="3" fontId="8" fillId="0" borderId="51" xfId="0" applyNumberFormat="1" applyFont="1" applyBorder="1"/>
    <xf numFmtId="3" fontId="19" fillId="0" borderId="48" xfId="0" applyNumberFormat="1" applyFont="1" applyBorder="1" applyAlignment="1">
      <alignment horizontal="center" vertical="center"/>
    </xf>
    <xf numFmtId="3" fontId="19" fillId="0" borderId="51" xfId="0" applyNumberFormat="1" applyFont="1" applyBorder="1" applyAlignment="1">
      <alignment horizontal="center" vertical="center"/>
    </xf>
    <xf numFmtId="3" fontId="19" fillId="0" borderId="49" xfId="0" applyNumberFormat="1" applyFont="1" applyBorder="1" applyAlignment="1">
      <alignment vertical="center"/>
    </xf>
    <xf numFmtId="3" fontId="19" fillId="0" borderId="64" xfId="0" applyNumberFormat="1" applyFont="1" applyBorder="1" applyAlignment="1">
      <alignment horizontal="center" vertical="center"/>
    </xf>
    <xf numFmtId="3" fontId="19" fillId="0" borderId="61" xfId="0" applyNumberFormat="1" applyFont="1" applyBorder="1" applyAlignment="1">
      <alignment vertical="center"/>
    </xf>
    <xf numFmtId="3" fontId="21" fillId="0" borderId="63" xfId="0" applyNumberFormat="1" applyFont="1" applyBorder="1" applyAlignment="1">
      <alignment vertical="center"/>
    </xf>
    <xf numFmtId="3" fontId="13" fillId="0" borderId="61" xfId="0" applyNumberFormat="1" applyFont="1" applyBorder="1" applyAlignment="1">
      <alignment horizontal="right"/>
    </xf>
    <xf numFmtId="3" fontId="12" fillId="0" borderId="49" xfId="49" applyNumberFormat="1" applyFont="1" applyBorder="1" applyAlignment="1">
      <alignment horizontal="left"/>
    </xf>
    <xf numFmtId="3" fontId="12" fillId="0" borderId="49" xfId="49" applyNumberFormat="1" applyFont="1" applyBorder="1" applyAlignment="1">
      <alignment horizontal="center" vertical="top" wrapText="1"/>
    </xf>
    <xf numFmtId="3" fontId="12" fillId="0" borderId="44" xfId="0" applyNumberFormat="1" applyFont="1" applyBorder="1" applyAlignment="1">
      <alignment horizontal="center" vertical="top"/>
    </xf>
    <xf numFmtId="3" fontId="12" fillId="0" borderId="61" xfId="49" applyNumberFormat="1" applyFont="1" applyBorder="1" applyAlignment="1">
      <alignment horizontal="left"/>
    </xf>
    <xf numFmtId="3" fontId="12" fillId="0" borderId="43" xfId="49" applyNumberFormat="1" applyFont="1" applyBorder="1" applyAlignment="1">
      <alignment horizontal="center" vertical="top" wrapText="1"/>
    </xf>
    <xf numFmtId="3" fontId="12" fillId="0" borderId="72" xfId="49" applyNumberFormat="1" applyFont="1" applyBorder="1" applyAlignment="1">
      <alignment horizontal="left"/>
    </xf>
    <xf numFmtId="3" fontId="12" fillId="0" borderId="51" xfId="0" applyNumberFormat="1" applyFont="1" applyBorder="1" applyAlignment="1">
      <alignment horizontal="center" vertical="top"/>
    </xf>
    <xf numFmtId="3" fontId="8" fillId="0" borderId="99" xfId="0" applyNumberFormat="1" applyFont="1" applyBorder="1"/>
    <xf numFmtId="3" fontId="8" fillId="0" borderId="57" xfId="0" applyNumberFormat="1" applyFont="1" applyBorder="1" applyAlignment="1">
      <alignment horizontal="center" vertical="center"/>
    </xf>
    <xf numFmtId="3" fontId="8" fillId="0" borderId="57" xfId="0" applyNumberFormat="1" applyFont="1" applyBorder="1" applyAlignment="1">
      <alignment horizontal="right" vertical="center"/>
    </xf>
    <xf numFmtId="3" fontId="8" fillId="0" borderId="60" xfId="0" applyNumberFormat="1" applyFont="1" applyBorder="1" applyAlignment="1">
      <alignment horizontal="right" vertical="center"/>
    </xf>
    <xf numFmtId="3" fontId="8" fillId="0" borderId="0" xfId="0" applyNumberFormat="1" applyFont="1" applyAlignment="1">
      <alignment horizontal="right" vertical="top"/>
    </xf>
    <xf numFmtId="3" fontId="8" fillId="0" borderId="0" xfId="0" applyNumberFormat="1" applyFont="1" applyAlignment="1">
      <alignment vertical="top"/>
    </xf>
    <xf numFmtId="3" fontId="19" fillId="0" borderId="61" xfId="0" applyNumberFormat="1" applyFont="1" applyBorder="1" applyAlignment="1">
      <alignment horizontal="center" vertical="center"/>
    </xf>
    <xf numFmtId="3" fontId="19" fillId="0" borderId="42" xfId="0" applyNumberFormat="1" applyFont="1" applyBorder="1" applyAlignment="1">
      <alignment horizontal="center" vertical="center"/>
    </xf>
    <xf numFmtId="3" fontId="19" fillId="0" borderId="49" xfId="0" applyNumberFormat="1" applyFont="1" applyBorder="1" applyAlignment="1">
      <alignment horizontal="center" vertical="center"/>
    </xf>
    <xf numFmtId="3" fontId="19" fillId="0" borderId="56" xfId="0" applyNumberFormat="1" applyFont="1" applyBorder="1" applyAlignment="1">
      <alignment horizontal="center" vertical="center"/>
    </xf>
    <xf numFmtId="3" fontId="19" fillId="0" borderId="103" xfId="0" applyNumberFormat="1" applyFont="1" applyBorder="1" applyAlignment="1">
      <alignment horizontal="center" vertical="center"/>
    </xf>
    <xf numFmtId="3" fontId="19" fillId="0" borderId="56" xfId="0" applyNumberFormat="1" applyFont="1" applyBorder="1" applyAlignment="1">
      <alignment vertical="center"/>
    </xf>
    <xf numFmtId="3" fontId="19" fillId="0" borderId="104" xfId="0" applyNumberFormat="1" applyFont="1" applyBorder="1"/>
    <xf numFmtId="3" fontId="8" fillId="0" borderId="98" xfId="0" applyNumberFormat="1" applyFont="1" applyBorder="1"/>
    <xf numFmtId="3" fontId="19" fillId="0" borderId="50" xfId="0" applyNumberFormat="1" applyFont="1" applyBorder="1" applyAlignment="1">
      <alignment horizontal="center" vertical="center"/>
    </xf>
    <xf numFmtId="3" fontId="21" fillId="0" borderId="51" xfId="0" applyNumberFormat="1" applyFont="1" applyBorder="1" applyAlignment="1">
      <alignment horizontal="right"/>
    </xf>
    <xf numFmtId="3" fontId="21" fillId="0" borderId="71" xfId="0" applyNumberFormat="1" applyFont="1" applyBorder="1" applyAlignment="1">
      <alignment horizontal="right"/>
    </xf>
    <xf numFmtId="3" fontId="19" fillId="0" borderId="71" xfId="0" applyNumberFormat="1" applyFont="1" applyBorder="1"/>
    <xf numFmtId="3" fontId="12" fillId="0" borderId="50" xfId="0" applyNumberFormat="1" applyFont="1" applyBorder="1" applyAlignment="1">
      <alignment vertical="center"/>
    </xf>
    <xf numFmtId="3" fontId="12" fillId="0" borderId="49" xfId="0" applyNumberFormat="1" applyFont="1" applyBorder="1" applyAlignment="1">
      <alignment vertical="center"/>
    </xf>
    <xf numFmtId="3" fontId="12" fillId="0" borderId="55" xfId="0" applyNumberFormat="1" applyFont="1" applyBorder="1" applyAlignment="1">
      <alignment vertical="center"/>
    </xf>
    <xf numFmtId="3" fontId="22" fillId="0" borderId="0" xfId="0" applyNumberFormat="1" applyFont="1" applyAlignment="1">
      <alignment horizontal="right" vertical="center"/>
    </xf>
    <xf numFmtId="3" fontId="12" fillId="0" borderId="51" xfId="0" applyNumberFormat="1" applyFont="1" applyBorder="1" applyAlignment="1">
      <alignment horizontal="center" vertical="center"/>
    </xf>
    <xf numFmtId="3" fontId="19" fillId="0" borderId="49" xfId="49" applyNumberFormat="1" applyFont="1" applyBorder="1" applyAlignment="1">
      <alignment horizontal="left"/>
    </xf>
    <xf numFmtId="3" fontId="19" fillId="0" borderId="49" xfId="49" applyNumberFormat="1" applyFont="1" applyBorder="1" applyAlignment="1">
      <alignment horizontal="center" vertical="center"/>
    </xf>
    <xf numFmtId="3" fontId="13" fillId="0" borderId="48" xfId="0" applyNumberFormat="1" applyFont="1" applyBorder="1" applyAlignment="1">
      <alignment horizontal="center" vertical="top"/>
    </xf>
    <xf numFmtId="3" fontId="13" fillId="0" borderId="49" xfId="49" applyNumberFormat="1" applyFont="1" applyBorder="1" applyAlignment="1">
      <alignment horizontal="left"/>
    </xf>
    <xf numFmtId="3" fontId="13" fillId="0" borderId="49" xfId="49" applyNumberFormat="1" applyFont="1" applyBorder="1" applyAlignment="1">
      <alignment horizontal="center" vertical="top" wrapText="1"/>
    </xf>
    <xf numFmtId="3" fontId="13" fillId="0" borderId="55" xfId="0" applyNumberFormat="1" applyFont="1" applyBorder="1"/>
    <xf numFmtId="3" fontId="12" fillId="0" borderId="0" xfId="0" applyNumberFormat="1" applyFont="1" applyAlignment="1">
      <alignment horizontal="right" vertical="top"/>
    </xf>
    <xf numFmtId="3" fontId="19" fillId="0" borderId="62" xfId="0" applyNumberFormat="1" applyFont="1" applyBorder="1" applyAlignment="1">
      <alignment horizontal="center" vertical="center"/>
    </xf>
    <xf numFmtId="3" fontId="19" fillId="0" borderId="66" xfId="0" applyNumberFormat="1" applyFont="1" applyBorder="1" applyAlignment="1">
      <alignment horizontal="center" vertical="center"/>
    </xf>
    <xf numFmtId="3" fontId="19" fillId="0" borderId="0" xfId="0" applyNumberFormat="1" applyFont="1" applyAlignment="1">
      <alignment horizontal="center" vertical="center"/>
    </xf>
    <xf numFmtId="3" fontId="19" fillId="0" borderId="76" xfId="0" applyNumberFormat="1" applyFont="1" applyBorder="1" applyAlignment="1">
      <alignment vertical="center"/>
    </xf>
    <xf numFmtId="3" fontId="21" fillId="0" borderId="68" xfId="0" applyNumberFormat="1" applyFont="1" applyBorder="1" applyAlignment="1">
      <alignment vertical="center"/>
    </xf>
    <xf numFmtId="3" fontId="19" fillId="0" borderId="76" xfId="0" applyNumberFormat="1" applyFont="1" applyBorder="1" applyAlignment="1">
      <alignment horizontal="right"/>
    </xf>
    <xf numFmtId="3" fontId="21" fillId="0" borderId="76" xfId="0" applyNumberFormat="1" applyFont="1" applyBorder="1" applyAlignment="1">
      <alignment horizontal="right"/>
    </xf>
    <xf numFmtId="3" fontId="21" fillId="0" borderId="78" xfId="0" applyNumberFormat="1" applyFont="1" applyBorder="1" applyAlignment="1">
      <alignment horizontal="right"/>
    </xf>
    <xf numFmtId="3" fontId="8" fillId="0" borderId="57" xfId="49" applyNumberFormat="1" applyFont="1" applyBorder="1" applyAlignment="1">
      <alignment horizontal="center" vertical="center"/>
    </xf>
    <xf numFmtId="3" fontId="8" fillId="0" borderId="58" xfId="0" applyNumberFormat="1" applyFont="1" applyBorder="1" applyAlignment="1">
      <alignment vertical="center"/>
    </xf>
    <xf numFmtId="3" fontId="8" fillId="0" borderId="59" xfId="0" applyNumberFormat="1" applyFont="1" applyBorder="1" applyAlignment="1">
      <alignment horizontal="right" vertical="center"/>
    </xf>
    <xf numFmtId="3" fontId="19" fillId="0" borderId="90" xfId="0" applyNumberFormat="1" applyFont="1" applyBorder="1" applyAlignment="1">
      <alignment horizontal="center" vertical="center"/>
    </xf>
    <xf numFmtId="3" fontId="13" fillId="0" borderId="99" xfId="0" applyNumberFormat="1" applyFont="1" applyBorder="1"/>
    <xf numFmtId="3" fontId="21" fillId="0" borderId="73" xfId="0" applyNumberFormat="1" applyFont="1" applyBorder="1" applyAlignment="1">
      <alignment vertical="center"/>
    </xf>
    <xf numFmtId="3" fontId="19" fillId="0" borderId="43" xfId="0" applyNumberFormat="1" applyFont="1" applyBorder="1" applyAlignment="1">
      <alignment horizontal="left"/>
    </xf>
    <xf numFmtId="3" fontId="19" fillId="0" borderId="95" xfId="0" applyNumberFormat="1" applyFont="1" applyBorder="1" applyAlignment="1">
      <alignment horizontal="center" vertical="center"/>
    </xf>
    <xf numFmtId="3" fontId="19" fillId="0" borderId="80" xfId="0" applyNumberFormat="1" applyFont="1" applyBorder="1" applyAlignment="1">
      <alignment horizontal="center" vertical="center"/>
    </xf>
    <xf numFmtId="0" fontId="19" fillId="0" borderId="80" xfId="47" applyFont="1" applyBorder="1" applyAlignment="1">
      <alignment horizontal="left"/>
    </xf>
    <xf numFmtId="3" fontId="19" fillId="0" borderId="80" xfId="0" applyNumberFormat="1" applyFont="1" applyBorder="1" applyAlignment="1">
      <alignment vertical="center"/>
    </xf>
    <xf numFmtId="3" fontId="21" fillId="0" borderId="105" xfId="0" applyNumberFormat="1" applyFont="1" applyBorder="1" applyAlignment="1">
      <alignment vertical="center"/>
    </xf>
    <xf numFmtId="3" fontId="19" fillId="0" borderId="80" xfId="0" applyNumberFormat="1" applyFont="1" applyBorder="1" applyAlignment="1">
      <alignment horizontal="right"/>
    </xf>
    <xf numFmtId="3" fontId="19" fillId="0" borderId="97" xfId="0" applyNumberFormat="1" applyFont="1" applyBorder="1" applyAlignment="1">
      <alignment horizontal="right"/>
    </xf>
    <xf numFmtId="3" fontId="19" fillId="0" borderId="83" xfId="49" applyNumberFormat="1" applyFont="1" applyBorder="1" applyAlignment="1">
      <alignment horizontal="center"/>
    </xf>
    <xf numFmtId="3" fontId="19" fillId="0" borderId="83" xfId="0" applyNumberFormat="1" applyFont="1" applyBorder="1" applyAlignment="1">
      <alignment vertical="center"/>
    </xf>
    <xf numFmtId="3" fontId="19" fillId="0" borderId="87" xfId="0" applyNumberFormat="1" applyFont="1" applyBorder="1" applyAlignment="1">
      <alignment vertical="center"/>
    </xf>
    <xf numFmtId="3" fontId="19" fillId="0" borderId="98" xfId="0" applyNumberFormat="1" applyFont="1" applyBorder="1" applyAlignment="1">
      <alignment vertical="center"/>
    </xf>
    <xf numFmtId="3" fontId="19" fillId="0" borderId="83" xfId="0" applyNumberFormat="1" applyFont="1" applyBorder="1" applyAlignment="1">
      <alignment horizontal="right" vertical="center"/>
    </xf>
    <xf numFmtId="3" fontId="19" fillId="0" borderId="85" xfId="0" applyNumberFormat="1" applyFont="1" applyBorder="1" applyAlignment="1">
      <alignment horizontal="right" vertical="center"/>
    </xf>
    <xf numFmtId="3" fontId="19" fillId="0" borderId="0" xfId="0" applyNumberFormat="1" applyFont="1" applyAlignment="1">
      <alignment horizontal="right" vertical="top"/>
    </xf>
    <xf numFmtId="3" fontId="19" fillId="0" borderId="86" xfId="0" applyNumberFormat="1" applyFont="1" applyBorder="1" applyAlignment="1">
      <alignment horizontal="center" vertical="center"/>
    </xf>
    <xf numFmtId="3" fontId="19" fillId="0" borderId="106" xfId="0" applyNumberFormat="1" applyFont="1" applyBorder="1" applyAlignment="1">
      <alignment horizontal="center" vertical="center"/>
    </xf>
    <xf numFmtId="3" fontId="21" fillId="0" borderId="107" xfId="0" applyNumberFormat="1" applyFont="1" applyBorder="1" applyAlignment="1">
      <alignment vertical="center"/>
    </xf>
    <xf numFmtId="3" fontId="19" fillId="0" borderId="78" xfId="0" applyNumberFormat="1" applyFont="1" applyBorder="1" applyAlignment="1">
      <alignment horizontal="right"/>
    </xf>
    <xf numFmtId="3" fontId="12" fillId="0" borderId="82" xfId="0" applyNumberFormat="1" applyFont="1" applyBorder="1" applyAlignment="1">
      <alignment horizontal="center"/>
    </xf>
    <xf numFmtId="3" fontId="12" fillId="0" borderId="89" xfId="0" applyNumberFormat="1" applyFont="1" applyBorder="1" applyAlignment="1">
      <alignment horizontal="center"/>
    </xf>
    <xf numFmtId="3" fontId="19" fillId="0" borderId="87" xfId="0" applyNumberFormat="1" applyFont="1" applyBorder="1"/>
    <xf numFmtId="3" fontId="19" fillId="0" borderId="88" xfId="0" applyNumberFormat="1" applyFont="1" applyBorder="1"/>
    <xf numFmtId="3" fontId="19" fillId="0" borderId="83" xfId="0" applyNumberFormat="1" applyFont="1" applyBorder="1" applyAlignment="1">
      <alignment horizontal="right"/>
    </xf>
    <xf numFmtId="3" fontId="19" fillId="0" borderId="87" xfId="0" applyNumberFormat="1" applyFont="1" applyBorder="1" applyAlignment="1">
      <alignment horizontal="right"/>
    </xf>
    <xf numFmtId="3" fontId="19" fillId="0" borderId="108" xfId="0" applyNumberFormat="1" applyFont="1" applyBorder="1" applyAlignment="1">
      <alignment horizontal="right"/>
    </xf>
    <xf numFmtId="3" fontId="19" fillId="0" borderId="85" xfId="0" applyNumberFormat="1" applyFont="1" applyBorder="1" applyAlignment="1">
      <alignment horizontal="right"/>
    </xf>
    <xf numFmtId="3" fontId="12" fillId="0" borderId="55" xfId="49" applyNumberFormat="1" applyFont="1" applyBorder="1"/>
    <xf numFmtId="3" fontId="19" fillId="0" borderId="49" xfId="0" applyNumberFormat="1" applyFont="1" applyBorder="1" applyAlignment="1">
      <alignment horizontal="center"/>
    </xf>
    <xf numFmtId="3" fontId="21" fillId="0" borderId="55" xfId="49" applyNumberFormat="1" applyFont="1" applyBorder="1"/>
    <xf numFmtId="3" fontId="19" fillId="0" borderId="55" xfId="0" applyNumberFormat="1" applyFont="1" applyBorder="1" applyAlignment="1">
      <alignment vertical="center"/>
    </xf>
    <xf numFmtId="3" fontId="19" fillId="0" borderId="52" xfId="0" applyNumberFormat="1" applyFont="1" applyBorder="1" applyAlignment="1">
      <alignment vertical="center"/>
    </xf>
    <xf numFmtId="3" fontId="13" fillId="0" borderId="48" xfId="0" applyNumberFormat="1" applyFont="1" applyBorder="1" applyAlignment="1">
      <alignment horizontal="center"/>
    </xf>
    <xf numFmtId="3" fontId="13" fillId="0" borderId="49" xfId="0" applyNumberFormat="1" applyFont="1" applyBorder="1" applyAlignment="1">
      <alignment horizontal="center"/>
    </xf>
    <xf numFmtId="3" fontId="13" fillId="0" borderId="49" xfId="49" applyNumberFormat="1" applyFont="1" applyBorder="1" applyAlignment="1">
      <alignment horizontal="center"/>
    </xf>
    <xf numFmtId="3" fontId="8" fillId="0" borderId="0" xfId="0" applyNumberFormat="1" applyFont="1" applyAlignment="1">
      <alignment horizontal="right"/>
    </xf>
    <xf numFmtId="3" fontId="8" fillId="0" borderId="0" xfId="0" applyNumberFormat="1" applyFont="1"/>
    <xf numFmtId="3" fontId="8" fillId="0" borderId="49" xfId="0" applyNumberFormat="1" applyFont="1" applyBorder="1" applyAlignment="1">
      <alignment horizontal="center"/>
    </xf>
    <xf numFmtId="3" fontId="8" fillId="0" borderId="51" xfId="0" applyNumberFormat="1" applyFont="1" applyBorder="1" applyAlignment="1">
      <alignment horizontal="center" vertical="center"/>
    </xf>
    <xf numFmtId="3" fontId="22" fillId="0" borderId="55" xfId="49" applyNumberFormat="1" applyFont="1" applyBorder="1"/>
    <xf numFmtId="3" fontId="8" fillId="0" borderId="49" xfId="0" applyNumberFormat="1" applyFont="1" applyBorder="1"/>
    <xf numFmtId="3" fontId="8" fillId="0" borderId="49" xfId="0" applyNumberFormat="1" applyFont="1" applyBorder="1" applyAlignment="1">
      <alignment vertical="center"/>
    </xf>
    <xf numFmtId="3" fontId="8" fillId="0" borderId="55" xfId="0" applyNumberFormat="1" applyFont="1" applyBorder="1" applyAlignment="1">
      <alignment vertical="center"/>
    </xf>
    <xf numFmtId="3" fontId="22" fillId="0" borderId="99" xfId="0" applyNumberFormat="1" applyFont="1" applyBorder="1"/>
    <xf numFmtId="3" fontId="22" fillId="0" borderId="49" xfId="0" applyNumberFormat="1" applyFont="1" applyBorder="1" applyAlignment="1">
      <alignment horizontal="right"/>
    </xf>
    <xf numFmtId="3" fontId="22" fillId="0" borderId="53" xfId="0" applyNumberFormat="1" applyFont="1" applyBorder="1" applyAlignment="1">
      <alignment horizontal="right"/>
    </xf>
    <xf numFmtId="3" fontId="22" fillId="0" borderId="0" xfId="0" applyNumberFormat="1" applyFont="1" applyAlignment="1">
      <alignment horizontal="right"/>
    </xf>
    <xf numFmtId="3" fontId="22" fillId="0" borderId="0" xfId="0" applyNumberFormat="1" applyFont="1"/>
    <xf numFmtId="3" fontId="19" fillId="0" borderId="43" xfId="0" applyNumberFormat="1" applyFont="1" applyBorder="1" applyAlignment="1">
      <alignment vertical="center"/>
    </xf>
    <xf numFmtId="3" fontId="21" fillId="0" borderId="43" xfId="0" applyNumberFormat="1" applyFont="1" applyBorder="1" applyAlignment="1">
      <alignment horizontal="right"/>
    </xf>
    <xf numFmtId="3" fontId="21" fillId="0" borderId="47" xfId="0" applyNumberFormat="1" applyFont="1" applyBorder="1" applyAlignment="1">
      <alignment horizontal="right"/>
    </xf>
    <xf numFmtId="3" fontId="13" fillId="0" borderId="43" xfId="0" applyNumberFormat="1" applyFont="1" applyBorder="1" applyAlignment="1">
      <alignment horizontal="right"/>
    </xf>
    <xf numFmtId="3" fontId="19" fillId="0" borderId="46" xfId="0" applyNumberFormat="1" applyFont="1" applyBorder="1" applyAlignment="1">
      <alignment vertical="center"/>
    </xf>
    <xf numFmtId="3" fontId="25" fillId="0" borderId="43" xfId="49" applyNumberFormat="1" applyFont="1" applyBorder="1" applyAlignment="1">
      <alignment horizontal="center"/>
    </xf>
    <xf numFmtId="3" fontId="25" fillId="0" borderId="43" xfId="0" applyNumberFormat="1" applyFont="1" applyBorder="1" applyAlignment="1">
      <alignment vertical="center"/>
    </xf>
    <xf numFmtId="3" fontId="12" fillId="0" borderId="54" xfId="0" applyNumberFormat="1" applyFont="1" applyBorder="1" applyAlignment="1">
      <alignment vertical="center"/>
    </xf>
    <xf numFmtId="3" fontId="21" fillId="0" borderId="98" xfId="0" applyNumberFormat="1" applyFont="1" applyBorder="1"/>
    <xf numFmtId="3" fontId="21" fillId="0" borderId="43" xfId="0" applyNumberFormat="1" applyFont="1" applyBorder="1" applyAlignment="1">
      <alignment horizontal="right" vertical="center"/>
    </xf>
    <xf numFmtId="3" fontId="21" fillId="0" borderId="47" xfId="0" applyNumberFormat="1" applyFont="1" applyBorder="1" applyAlignment="1">
      <alignment horizontal="right" vertical="center"/>
    </xf>
    <xf numFmtId="3" fontId="25" fillId="0" borderId="0" xfId="0" applyNumberFormat="1" applyFont="1" applyAlignment="1">
      <alignment horizontal="right" vertical="center"/>
    </xf>
    <xf numFmtId="3" fontId="25" fillId="0" borderId="0" xfId="0" applyNumberFormat="1" applyFont="1" applyAlignment="1">
      <alignment vertical="center"/>
    </xf>
    <xf numFmtId="3" fontId="25" fillId="0" borderId="55" xfId="49" applyNumberFormat="1" applyFont="1" applyBorder="1" applyAlignment="1">
      <alignment horizontal="left" wrapText="1"/>
    </xf>
    <xf numFmtId="3" fontId="19" fillId="0" borderId="43" xfId="0" applyNumberFormat="1" applyFont="1" applyBorder="1" applyAlignment="1">
      <alignment horizontal="right" vertical="center"/>
    </xf>
    <xf numFmtId="3" fontId="12" fillId="0" borderId="52" xfId="0" applyNumberFormat="1" applyFont="1" applyBorder="1" applyAlignment="1">
      <alignment vertical="center"/>
    </xf>
    <xf numFmtId="3" fontId="12" fillId="0" borderId="46" xfId="0" applyNumberFormat="1" applyFont="1" applyBorder="1" applyAlignment="1">
      <alignment vertical="center"/>
    </xf>
    <xf numFmtId="3" fontId="25" fillId="0" borderId="54" xfId="0" applyNumberFormat="1" applyFont="1" applyBorder="1" applyAlignment="1">
      <alignment horizontal="center"/>
    </xf>
    <xf numFmtId="3" fontId="13" fillId="0" borderId="43" xfId="0" applyNumberFormat="1" applyFont="1" applyBorder="1" applyAlignment="1">
      <alignment horizontal="right" vertical="center"/>
    </xf>
    <xf numFmtId="3" fontId="12" fillId="0" borderId="43" xfId="0" applyNumberFormat="1" applyFont="1" applyBorder="1" applyAlignment="1">
      <alignment vertical="center"/>
    </xf>
    <xf numFmtId="3" fontId="21" fillId="0" borderId="45" xfId="0" applyNumberFormat="1" applyFont="1" applyBorder="1"/>
    <xf numFmtId="3" fontId="26" fillId="0" borderId="43" xfId="0" applyNumberFormat="1" applyFont="1" applyBorder="1" applyAlignment="1">
      <alignment horizontal="right" vertical="center"/>
    </xf>
    <xf numFmtId="3" fontId="12" fillId="0" borderId="54" xfId="0" applyNumberFormat="1" applyFont="1" applyBorder="1" applyAlignment="1">
      <alignment horizontal="center" vertical="top"/>
    </xf>
    <xf numFmtId="0" fontId="12" fillId="0" borderId="55" xfId="0" applyFont="1" applyBorder="1" applyAlignment="1">
      <alignment horizontal="left" wrapText="1"/>
    </xf>
    <xf numFmtId="3" fontId="12" fillId="0" borderId="55" xfId="49" applyNumberFormat="1" applyFont="1" applyBorder="1" applyAlignment="1">
      <alignment vertical="top" wrapText="1"/>
    </xf>
    <xf numFmtId="3" fontId="21" fillId="0" borderId="49" xfId="0" applyNumberFormat="1" applyFont="1" applyBorder="1" applyAlignment="1">
      <alignment horizontal="right" vertical="center"/>
    </xf>
    <xf numFmtId="3" fontId="19" fillId="0" borderId="49" xfId="0" applyNumberFormat="1" applyFont="1" applyBorder="1" applyAlignment="1">
      <alignment horizontal="right" vertical="center"/>
    </xf>
    <xf numFmtId="3" fontId="19" fillId="0" borderId="53" xfId="0" applyNumberFormat="1" applyFont="1" applyBorder="1" applyAlignment="1">
      <alignment horizontal="right" vertical="center"/>
    </xf>
    <xf numFmtId="3" fontId="12" fillId="0" borderId="49" xfId="49" applyNumberFormat="1" applyFont="1" applyBorder="1" applyAlignment="1">
      <alignment vertical="top" wrapText="1"/>
    </xf>
    <xf numFmtId="3" fontId="12" fillId="0" borderId="49" xfId="0" applyNumberFormat="1" applyFont="1" applyBorder="1" applyAlignment="1">
      <alignment horizontal="right" vertical="center"/>
    </xf>
    <xf numFmtId="3" fontId="12" fillId="0" borderId="90" xfId="0" applyNumberFormat="1" applyFont="1" applyBorder="1"/>
    <xf numFmtId="3" fontId="19" fillId="0" borderId="57" xfId="49" applyNumberFormat="1" applyFont="1" applyBorder="1" applyAlignment="1">
      <alignment horizontal="center" vertical="center"/>
    </xf>
    <xf numFmtId="3" fontId="21" fillId="0" borderId="72" xfId="49" applyNumberFormat="1" applyFont="1" applyBorder="1"/>
    <xf numFmtId="3" fontId="21" fillId="0" borderId="61" xfId="49" applyNumberFormat="1" applyFont="1" applyBorder="1" applyAlignment="1">
      <alignment horizontal="center"/>
    </xf>
    <xf numFmtId="3" fontId="21" fillId="0" borderId="102" xfId="0" applyNumberFormat="1" applyFont="1" applyBorder="1" applyAlignment="1">
      <alignment vertical="center"/>
    </xf>
    <xf numFmtId="3" fontId="21" fillId="0" borderId="61" xfId="0" applyNumberFormat="1" applyFont="1" applyBorder="1" applyAlignment="1">
      <alignment horizontal="right" vertical="center"/>
    </xf>
    <xf numFmtId="3" fontId="21" fillId="0" borderId="65" xfId="0" applyNumberFormat="1" applyFont="1" applyBorder="1" applyAlignment="1">
      <alignment horizontal="right" vertical="center"/>
    </xf>
    <xf numFmtId="3" fontId="21" fillId="0" borderId="109" xfId="0" applyNumberFormat="1" applyFont="1" applyBorder="1" applyAlignment="1">
      <alignment horizontal="center" vertical="center"/>
    </xf>
    <xf numFmtId="3" fontId="19" fillId="0" borderId="102" xfId="0" applyNumberFormat="1" applyFont="1" applyBorder="1" applyAlignment="1">
      <alignment vertical="center"/>
    </xf>
    <xf numFmtId="3" fontId="19" fillId="0" borderId="61" xfId="0" applyNumberFormat="1" applyFont="1" applyBorder="1" applyAlignment="1">
      <alignment horizontal="right" vertical="center"/>
    </xf>
    <xf numFmtId="3" fontId="19" fillId="0" borderId="65" xfId="0" applyNumberFormat="1" applyFont="1" applyBorder="1" applyAlignment="1">
      <alignment horizontal="right" vertical="center"/>
    </xf>
    <xf numFmtId="3" fontId="21" fillId="0" borderId="49" xfId="49" applyNumberFormat="1" applyFont="1" applyBorder="1" applyAlignment="1">
      <alignment horizontal="center"/>
    </xf>
    <xf numFmtId="3" fontId="13" fillId="0" borderId="99" xfId="0" applyNumberFormat="1" applyFont="1" applyBorder="1" applyAlignment="1">
      <alignment vertical="center"/>
    </xf>
    <xf numFmtId="3" fontId="21" fillId="0" borderId="93" xfId="0" applyNumberFormat="1" applyFont="1" applyBorder="1" applyAlignment="1">
      <alignment horizontal="center" vertical="center"/>
    </xf>
    <xf numFmtId="3" fontId="21" fillId="0" borderId="76" xfId="49" applyNumberFormat="1" applyFont="1" applyBorder="1" applyAlignment="1">
      <alignment horizontal="center"/>
    </xf>
    <xf numFmtId="3" fontId="21" fillId="0" borderId="76" xfId="0" applyNumberFormat="1" applyFont="1" applyBorder="1" applyAlignment="1">
      <alignment vertical="center"/>
    </xf>
    <xf numFmtId="3" fontId="19" fillId="0" borderId="81" xfId="0" applyNumberFormat="1" applyFont="1" applyBorder="1" applyAlignment="1">
      <alignment vertical="center"/>
    </xf>
    <xf numFmtId="3" fontId="19" fillId="0" borderId="76" xfId="0" applyNumberFormat="1" applyFont="1" applyBorder="1" applyAlignment="1">
      <alignment horizontal="right" vertical="center"/>
    </xf>
    <xf numFmtId="3" fontId="19" fillId="0" borderId="78" xfId="0" applyNumberFormat="1" applyFont="1" applyBorder="1" applyAlignment="1">
      <alignment horizontal="right" vertical="center"/>
    </xf>
    <xf numFmtId="3" fontId="12" fillId="0" borderId="83" xfId="49" applyNumberFormat="1" applyFont="1" applyBorder="1" applyAlignment="1">
      <alignment horizontal="center" vertical="center"/>
    </xf>
    <xf numFmtId="3" fontId="8" fillId="0" borderId="83" xfId="0" applyNumberFormat="1" applyFont="1" applyBorder="1" applyAlignment="1">
      <alignment vertical="center"/>
    </xf>
    <xf numFmtId="3" fontId="8" fillId="0" borderId="108" xfId="0" applyNumberFormat="1" applyFont="1" applyBorder="1" applyAlignment="1">
      <alignment vertical="center"/>
    </xf>
    <xf numFmtId="3" fontId="8" fillId="0" borderId="85" xfId="0" applyNumberFormat="1" applyFont="1" applyBorder="1" applyAlignment="1">
      <alignment vertical="center"/>
    </xf>
    <xf numFmtId="3" fontId="21" fillId="0" borderId="64" xfId="0" applyNumberFormat="1" applyFont="1" applyBorder="1" applyAlignment="1">
      <alignment horizontal="center"/>
    </xf>
    <xf numFmtId="3" fontId="21" fillId="0" borderId="51" xfId="0" applyNumberFormat="1" applyFont="1" applyBorder="1" applyAlignment="1">
      <alignment horizontal="center"/>
    </xf>
    <xf numFmtId="3" fontId="13" fillId="0" borderId="49" xfId="0" applyNumberFormat="1" applyFont="1" applyBorder="1" applyAlignment="1">
      <alignment horizontal="right" vertical="center"/>
    </xf>
    <xf numFmtId="3" fontId="13" fillId="0" borderId="53" xfId="0" applyNumberFormat="1" applyFont="1" applyBorder="1" applyAlignment="1">
      <alignment horizontal="right" vertical="center"/>
    </xf>
    <xf numFmtId="3" fontId="21" fillId="0" borderId="106" xfId="0" applyNumberFormat="1" applyFont="1" applyBorder="1" applyAlignment="1">
      <alignment horizontal="center"/>
    </xf>
    <xf numFmtId="3" fontId="21" fillId="0" borderId="106" xfId="0" applyNumberFormat="1" applyFont="1" applyBorder="1" applyAlignment="1">
      <alignment horizontal="center" vertical="center"/>
    </xf>
    <xf numFmtId="3" fontId="19" fillId="0" borderId="83" xfId="0" applyNumberFormat="1" applyFont="1" applyBorder="1" applyAlignment="1">
      <alignment horizontal="center" vertical="center"/>
    </xf>
    <xf numFmtId="3" fontId="19" fillId="0" borderId="87" xfId="0" applyNumberFormat="1" applyFont="1" applyBorder="1" applyAlignment="1">
      <alignment horizontal="right" vertical="center"/>
    </xf>
    <xf numFmtId="3" fontId="19" fillId="0" borderId="108" xfId="0" applyNumberFormat="1" applyFont="1" applyBorder="1" applyAlignment="1">
      <alignment horizontal="right" vertical="center"/>
    </xf>
    <xf numFmtId="3" fontId="12" fillId="0" borderId="55" xfId="0" applyNumberFormat="1" applyFont="1" applyBorder="1" applyAlignment="1">
      <alignment horizontal="right" vertical="center"/>
    </xf>
    <xf numFmtId="3" fontId="19" fillId="0" borderId="99" xfId="0" applyNumberFormat="1" applyFont="1" applyBorder="1" applyAlignment="1">
      <alignment horizontal="right" vertical="center"/>
    </xf>
    <xf numFmtId="3" fontId="12" fillId="0" borderId="53" xfId="0" applyNumberFormat="1" applyFont="1" applyBorder="1" applyAlignment="1">
      <alignment vertical="center"/>
    </xf>
    <xf numFmtId="3" fontId="22" fillId="0" borderId="48" xfId="0" applyNumberFormat="1" applyFont="1" applyBorder="1" applyAlignment="1">
      <alignment horizontal="left" vertical="center" wrapText="1"/>
    </xf>
    <xf numFmtId="3" fontId="22" fillId="0" borderId="51" xfId="0" applyNumberFormat="1" applyFont="1" applyBorder="1" applyAlignment="1">
      <alignment horizontal="left" vertical="center" wrapText="1"/>
    </xf>
    <xf numFmtId="3" fontId="22" fillId="0" borderId="49" xfId="0" applyNumberFormat="1" applyFont="1" applyBorder="1" applyAlignment="1">
      <alignment horizontal="left" vertical="center" wrapText="1"/>
    </xf>
    <xf numFmtId="3" fontId="22" fillId="0" borderId="49" xfId="0" applyNumberFormat="1" applyFont="1" applyBorder="1" applyAlignment="1">
      <alignment horizontal="right" vertical="center"/>
    </xf>
    <xf numFmtId="3" fontId="22" fillId="0" borderId="52" xfId="0" applyNumberFormat="1" applyFont="1" applyBorder="1" applyAlignment="1">
      <alignment horizontal="right" vertical="center"/>
    </xf>
    <xf numFmtId="3" fontId="21" fillId="0" borderId="53" xfId="0" applyNumberFormat="1" applyFont="1" applyBorder="1" applyAlignment="1">
      <alignment horizontal="right" vertical="center"/>
    </xf>
    <xf numFmtId="3" fontId="12" fillId="0" borderId="49" xfId="0" applyNumberFormat="1" applyFont="1" applyBorder="1" applyAlignment="1">
      <alignment horizontal="center" vertical="center" wrapText="1"/>
    </xf>
    <xf numFmtId="3" fontId="12" fillId="0" borderId="52" xfId="0" applyNumberFormat="1" applyFont="1" applyBorder="1" applyAlignment="1">
      <alignment horizontal="right" vertical="center"/>
    </xf>
    <xf numFmtId="3" fontId="8" fillId="0" borderId="45" xfId="0" applyNumberFormat="1" applyFont="1" applyBorder="1" applyAlignment="1">
      <alignment horizontal="right" vertical="center"/>
    </xf>
    <xf numFmtId="3" fontId="12" fillId="0" borderId="53" xfId="0" applyNumberFormat="1" applyFont="1" applyBorder="1" applyAlignment="1">
      <alignment horizontal="right" vertical="center"/>
    </xf>
    <xf numFmtId="3" fontId="8" fillId="0" borderId="51" xfId="0" applyNumberFormat="1" applyFont="1" applyBorder="1" applyAlignment="1">
      <alignment horizontal="right" vertical="center"/>
    </xf>
    <xf numFmtId="3" fontId="21" fillId="0" borderId="51" xfId="0" applyNumberFormat="1" applyFont="1" applyBorder="1" applyAlignment="1">
      <alignment horizontal="right" vertical="center"/>
    </xf>
    <xf numFmtId="3" fontId="19" fillId="0" borderId="51" xfId="0" applyNumberFormat="1" applyFont="1" applyBorder="1" applyAlignment="1">
      <alignment horizontal="right" vertical="center"/>
    </xf>
    <xf numFmtId="3" fontId="12" fillId="0" borderId="49" xfId="0" applyNumberFormat="1" applyFont="1" applyBorder="1" applyAlignment="1">
      <alignment horizontal="right" vertical="top"/>
    </xf>
    <xf numFmtId="3" fontId="12" fillId="0" borderId="52" xfId="0" applyNumberFormat="1" applyFont="1" applyBorder="1" applyAlignment="1">
      <alignment horizontal="right" vertical="top"/>
    </xf>
    <xf numFmtId="3" fontId="22" fillId="0" borderId="90" xfId="0" applyNumberFormat="1" applyFont="1" applyBorder="1" applyAlignment="1">
      <alignment horizontal="left" vertical="center" wrapText="1"/>
    </xf>
    <xf numFmtId="3" fontId="22" fillId="0" borderId="64" xfId="0" applyNumberFormat="1" applyFont="1" applyBorder="1" applyAlignment="1">
      <alignment horizontal="left" vertical="center" wrapText="1"/>
    </xf>
    <xf numFmtId="3" fontId="22" fillId="0" borderId="61" xfId="0" applyNumberFormat="1" applyFont="1" applyBorder="1" applyAlignment="1">
      <alignment horizontal="left" vertical="center" wrapText="1"/>
    </xf>
    <xf numFmtId="3" fontId="22" fillId="0" borderId="61" xfId="0" applyNumberFormat="1" applyFont="1" applyBorder="1" applyAlignment="1">
      <alignment horizontal="right" vertical="center"/>
    </xf>
    <xf numFmtId="3" fontId="22" fillId="0" borderId="63" xfId="0" applyNumberFormat="1" applyFont="1" applyBorder="1" applyAlignment="1">
      <alignment horizontal="right" vertical="center"/>
    </xf>
    <xf numFmtId="3" fontId="21" fillId="0" borderId="64" xfId="0" applyNumberFormat="1" applyFont="1" applyBorder="1" applyAlignment="1">
      <alignment horizontal="right" vertical="center"/>
    </xf>
    <xf numFmtId="3" fontId="22" fillId="0" borderId="91" xfId="0" applyNumberFormat="1" applyFont="1" applyBorder="1" applyAlignment="1">
      <alignment horizontal="left" vertical="center" wrapText="1"/>
    </xf>
    <xf numFmtId="3" fontId="22" fillId="0" borderId="62" xfId="0" applyNumberFormat="1" applyFont="1" applyBorder="1" applyAlignment="1">
      <alignment horizontal="left" vertical="center" wrapText="1"/>
    </xf>
    <xf numFmtId="3" fontId="22" fillId="0" borderId="62" xfId="0" applyNumberFormat="1" applyFont="1" applyBorder="1" applyAlignment="1">
      <alignment horizontal="right" vertical="center"/>
    </xf>
    <xf numFmtId="3" fontId="22" fillId="0" borderId="64" xfId="0" applyNumberFormat="1" applyFont="1" applyBorder="1" applyAlignment="1">
      <alignment horizontal="right" vertical="center"/>
    </xf>
    <xf numFmtId="3" fontId="22" fillId="0" borderId="110" xfId="0" applyNumberFormat="1" applyFont="1" applyBorder="1" applyAlignment="1">
      <alignment horizontal="right" vertical="center"/>
    </xf>
    <xf numFmtId="3" fontId="19" fillId="0" borderId="64" xfId="0" applyNumberFormat="1" applyFont="1" applyBorder="1" applyAlignment="1">
      <alignment horizontal="right" vertical="center"/>
    </xf>
    <xf numFmtId="3" fontId="22" fillId="0" borderId="92" xfId="0" applyNumberFormat="1" applyFont="1" applyBorder="1" applyAlignment="1">
      <alignment horizontal="left" vertical="center" wrapText="1"/>
    </xf>
    <xf numFmtId="3" fontId="22" fillId="0" borderId="55" xfId="0" applyNumberFormat="1" applyFont="1" applyBorder="1" applyAlignment="1">
      <alignment horizontal="left" vertical="center" wrapText="1"/>
    </xf>
    <xf numFmtId="3" fontId="22" fillId="0" borderId="50" xfId="0" applyNumberFormat="1" applyFont="1" applyBorder="1" applyAlignment="1">
      <alignment horizontal="left" vertical="center" wrapText="1"/>
    </xf>
    <xf numFmtId="3" fontId="22" fillId="0" borderId="50" xfId="0" applyNumberFormat="1" applyFont="1" applyBorder="1" applyAlignment="1">
      <alignment horizontal="right" vertical="center"/>
    </xf>
    <xf numFmtId="3" fontId="22" fillId="0" borderId="51" xfId="0" applyNumberFormat="1" applyFont="1" applyBorder="1" applyAlignment="1">
      <alignment horizontal="right" vertical="center"/>
    </xf>
    <xf numFmtId="3" fontId="22" fillId="0" borderId="111" xfId="0" applyNumberFormat="1" applyFont="1" applyBorder="1" applyAlignment="1">
      <alignment horizontal="right" vertical="center"/>
    </xf>
    <xf numFmtId="3" fontId="13" fillId="0" borderId="55" xfId="0" applyNumberFormat="1" applyFont="1" applyBorder="1" applyAlignment="1">
      <alignment horizontal="right" vertical="center"/>
    </xf>
    <xf numFmtId="3" fontId="13" fillId="0" borderId="50" xfId="0" applyNumberFormat="1" applyFont="1" applyBorder="1" applyAlignment="1">
      <alignment horizontal="right" vertical="center"/>
    </xf>
    <xf numFmtId="3" fontId="13" fillId="0" borderId="71" xfId="0" applyNumberFormat="1" applyFont="1" applyBorder="1" applyAlignment="1">
      <alignment horizontal="right" vertical="center"/>
    </xf>
    <xf numFmtId="3" fontId="22" fillId="0" borderId="112" xfId="0" applyNumberFormat="1" applyFont="1" applyBorder="1" applyAlignment="1">
      <alignment horizontal="left" vertical="center" wrapText="1"/>
    </xf>
    <xf numFmtId="3" fontId="22" fillId="0" borderId="96" xfId="0" applyNumberFormat="1" applyFont="1" applyBorder="1" applyAlignment="1">
      <alignment horizontal="left" vertical="center" wrapText="1"/>
    </xf>
    <xf numFmtId="3" fontId="22" fillId="0" borderId="8" xfId="0" applyNumberFormat="1" applyFont="1" applyBorder="1" applyAlignment="1">
      <alignment horizontal="left" vertical="center" wrapText="1"/>
    </xf>
    <xf numFmtId="3" fontId="22" fillId="0" borderId="8" xfId="0" applyNumberFormat="1" applyFont="1" applyBorder="1" applyAlignment="1">
      <alignment horizontal="right" vertical="center"/>
    </xf>
    <xf numFmtId="3" fontId="22" fillId="0" borderId="113" xfId="0" applyNumberFormat="1" applyFont="1" applyBorder="1" applyAlignment="1">
      <alignment horizontal="right" vertical="center"/>
    </xf>
    <xf numFmtId="3" fontId="22" fillId="0" borderId="114" xfId="0" applyNumberFormat="1" applyFont="1" applyBorder="1" applyAlignment="1">
      <alignment horizontal="right" vertical="center"/>
    </xf>
    <xf numFmtId="3" fontId="19" fillId="0" borderId="8" xfId="0" applyNumberFormat="1" applyFont="1" applyBorder="1" applyAlignment="1">
      <alignment horizontal="right" vertical="center"/>
    </xf>
    <xf numFmtId="3" fontId="19" fillId="0" borderId="115" xfId="0" applyNumberFormat="1" applyFont="1" applyBorder="1" applyAlignment="1">
      <alignment horizontal="right" vertical="center"/>
    </xf>
    <xf numFmtId="3" fontId="11" fillId="0" borderId="116" xfId="0" applyNumberFormat="1" applyFont="1" applyBorder="1"/>
    <xf numFmtId="3" fontId="12" fillId="0" borderId="116" xfId="0" applyNumberFormat="1" applyFont="1" applyBorder="1"/>
    <xf numFmtId="3" fontId="12" fillId="0" borderId="116" xfId="0" applyNumberFormat="1" applyFont="1" applyBorder="1" applyAlignment="1">
      <alignment horizontal="center"/>
    </xf>
    <xf numFmtId="3" fontId="12" fillId="0" borderId="116" xfId="0" applyNumberFormat="1" applyFont="1" applyBorder="1" applyAlignment="1">
      <alignment horizontal="right"/>
    </xf>
    <xf numFmtId="3" fontId="19" fillId="0" borderId="116" xfId="0" applyNumberFormat="1" applyFont="1" applyBorder="1" applyAlignment="1">
      <alignment horizontal="right"/>
    </xf>
    <xf numFmtId="3" fontId="11" fillId="0" borderId="0" xfId="0" applyNumberFormat="1" applyFont="1"/>
    <xf numFmtId="0" fontId="11" fillId="0" borderId="0" xfId="50" applyFont="1" applyAlignment="1" applyProtection="1">
      <alignment horizontal="center" vertical="center"/>
      <protection locked="0"/>
    </xf>
    <xf numFmtId="0" fontId="12" fillId="0" borderId="0" xfId="50" applyFont="1" applyAlignment="1" applyProtection="1">
      <alignment horizontal="center" vertical="center"/>
      <protection locked="0"/>
    </xf>
    <xf numFmtId="0" fontId="12" fillId="0" borderId="0" xfId="50" applyFont="1" applyAlignment="1" applyProtection="1">
      <alignment horizontal="center" vertical="top"/>
      <protection locked="0"/>
    </xf>
    <xf numFmtId="0" fontId="12" fillId="0" borderId="0" xfId="50" applyFont="1" applyAlignment="1" applyProtection="1">
      <alignment wrapText="1"/>
      <protection locked="0"/>
    </xf>
    <xf numFmtId="3" fontId="12" fillId="0" borderId="0" xfId="50" applyNumberFormat="1" applyFont="1" applyAlignment="1" applyProtection="1">
      <alignment horizontal="center" vertical="center" wrapText="1"/>
      <protection locked="0"/>
    </xf>
    <xf numFmtId="3" fontId="12" fillId="0" borderId="0" xfId="50" applyNumberFormat="1" applyFont="1" applyProtection="1">
      <protection locked="0"/>
    </xf>
    <xf numFmtId="3" fontId="12" fillId="0" borderId="0" xfId="50" applyNumberFormat="1" applyFont="1" applyAlignment="1" applyProtection="1">
      <alignment horizontal="right"/>
      <protection locked="0"/>
    </xf>
    <xf numFmtId="3" fontId="13" fillId="0" borderId="0" xfId="50" applyNumberFormat="1" applyFont="1" applyProtection="1">
      <protection locked="0"/>
    </xf>
    <xf numFmtId="0" fontId="12" fillId="0" borderId="0" xfId="50" applyFont="1" applyProtection="1">
      <protection locked="0"/>
    </xf>
    <xf numFmtId="0" fontId="5" fillId="0" borderId="0" xfId="32" applyFont="1" applyAlignment="1" applyProtection="1">
      <alignment horizontal="center" vertical="center"/>
      <protection locked="0"/>
    </xf>
    <xf numFmtId="3" fontId="5" fillId="0" borderId="0" xfId="32" applyNumberFormat="1" applyFont="1" applyAlignment="1" applyProtection="1">
      <alignment horizontal="center" vertical="center"/>
      <protection locked="0"/>
    </xf>
    <xf numFmtId="3" fontId="5" fillId="0" borderId="0" xfId="32" applyNumberFormat="1" applyFont="1" applyProtection="1">
      <protection locked="0"/>
    </xf>
    <xf numFmtId="3" fontId="5" fillId="0" borderId="0" xfId="32" applyNumberFormat="1" applyFont="1" applyAlignment="1" applyProtection="1">
      <alignment horizontal="right"/>
      <protection locked="0"/>
    </xf>
    <xf numFmtId="3" fontId="5" fillId="0" borderId="0" xfId="50" applyNumberFormat="1" applyFont="1" applyAlignment="1" applyProtection="1">
      <alignment horizontal="right"/>
      <protection locked="0"/>
    </xf>
    <xf numFmtId="3" fontId="9" fillId="0" borderId="0" xfId="32" applyNumberFormat="1" applyFont="1" applyProtection="1">
      <protection locked="0"/>
    </xf>
    <xf numFmtId="0" fontId="5" fillId="0" borderId="0" xfId="32" applyFont="1" applyProtection="1">
      <protection locked="0"/>
    </xf>
    <xf numFmtId="0" fontId="5" fillId="0" borderId="0" xfId="50" applyFont="1" applyProtection="1">
      <protection locked="0"/>
    </xf>
    <xf numFmtId="0" fontId="5" fillId="0" borderId="0" xfId="50" applyFont="1" applyAlignment="1" applyProtection="1">
      <alignment horizontal="center" vertical="center"/>
      <protection locked="0"/>
    </xf>
    <xf numFmtId="3" fontId="13" fillId="0" borderId="0" xfId="50" applyNumberFormat="1" applyFont="1" applyAlignment="1" applyProtection="1">
      <alignment horizontal="right"/>
      <protection locked="0"/>
    </xf>
    <xf numFmtId="0" fontId="11" fillId="0" borderId="0" xfId="50" applyFont="1" applyAlignment="1" applyProtection="1">
      <alignment horizontal="center"/>
      <protection locked="0"/>
    </xf>
    <xf numFmtId="0" fontId="11" fillId="0" borderId="0" xfId="51" applyFont="1" applyAlignment="1" applyProtection="1">
      <alignment horizontal="center" wrapText="1"/>
      <protection locked="0"/>
    </xf>
    <xf numFmtId="3" fontId="11" fillId="0" borderId="0" xfId="51" applyNumberFormat="1" applyFont="1" applyAlignment="1" applyProtection="1">
      <alignment horizontal="center"/>
      <protection locked="0"/>
    </xf>
    <xf numFmtId="3" fontId="14" fillId="0" borderId="0" xfId="50" applyNumberFormat="1" applyFont="1" applyAlignment="1" applyProtection="1">
      <alignment horizontal="center"/>
      <protection locked="0"/>
    </xf>
    <xf numFmtId="0" fontId="11" fillId="0" borderId="0" xfId="0" applyFont="1" applyProtection="1">
      <protection locked="0"/>
    </xf>
    <xf numFmtId="3" fontId="12" fillId="0" borderId="0" xfId="50" applyNumberFormat="1" applyFont="1" applyAlignment="1" applyProtection="1">
      <alignment horizontal="center" vertical="center"/>
      <protection locked="0"/>
    </xf>
    <xf numFmtId="0" fontId="12" fillId="0" borderId="42" xfId="51" applyFont="1" applyBorder="1" applyAlignment="1" applyProtection="1">
      <alignment horizontal="center"/>
      <protection locked="0"/>
    </xf>
    <xf numFmtId="3" fontId="27" fillId="0" borderId="43" xfId="49" applyNumberFormat="1" applyFont="1" applyBorder="1" applyAlignment="1" applyProtection="1">
      <alignment horizontal="left"/>
      <protection locked="0"/>
    </xf>
    <xf numFmtId="0" fontId="27" fillId="0" borderId="43" xfId="50" applyFont="1" applyBorder="1" applyAlignment="1" applyProtection="1">
      <alignment horizontal="left" wrapText="1"/>
      <protection locked="0"/>
    </xf>
    <xf numFmtId="0" fontId="12" fillId="0" borderId="43" xfId="51" applyFont="1" applyBorder="1" applyAlignment="1" applyProtection="1">
      <alignment horizontal="center"/>
      <protection locked="0"/>
    </xf>
    <xf numFmtId="3" fontId="12" fillId="0" borderId="43" xfId="51" applyNumberFormat="1" applyFont="1" applyBorder="1" applyProtection="1">
      <protection locked="0"/>
    </xf>
    <xf numFmtId="3" fontId="12" fillId="0" borderId="43" xfId="50" applyNumberFormat="1" applyFont="1" applyBorder="1" applyProtection="1">
      <protection locked="0"/>
    </xf>
    <xf numFmtId="3" fontId="12" fillId="0" borderId="54" xfId="50" applyNumberFormat="1" applyFont="1" applyBorder="1" applyAlignment="1" applyProtection="1">
      <alignment horizontal="right"/>
      <protection locked="0"/>
    </xf>
    <xf numFmtId="3" fontId="12" fillId="0" borderId="98" xfId="50" applyNumberFormat="1" applyFont="1" applyBorder="1" applyAlignment="1" applyProtection="1">
      <alignment horizontal="left"/>
      <protection locked="0"/>
    </xf>
    <xf numFmtId="3" fontId="12" fillId="0" borderId="45" xfId="50" applyNumberFormat="1" applyFont="1" applyBorder="1" applyAlignment="1" applyProtection="1">
      <alignment horizontal="left"/>
      <protection locked="0"/>
    </xf>
    <xf numFmtId="3" fontId="13" fillId="0" borderId="43" xfId="50" applyNumberFormat="1" applyFont="1" applyBorder="1" applyAlignment="1" applyProtection="1">
      <alignment horizontal="left"/>
      <protection locked="0"/>
    </xf>
    <xf numFmtId="0" fontId="12" fillId="0" borderId="47" xfId="50" applyFont="1" applyBorder="1" applyAlignment="1" applyProtection="1">
      <alignment horizontal="left"/>
      <protection locked="0"/>
    </xf>
    <xf numFmtId="0" fontId="12" fillId="0" borderId="0" xfId="50" applyFont="1" applyAlignment="1" applyProtection="1">
      <alignment horizontal="left"/>
      <protection locked="0"/>
    </xf>
    <xf numFmtId="3" fontId="12" fillId="0" borderId="49" xfId="49" applyNumberFormat="1" applyFont="1" applyBorder="1" applyAlignment="1" applyProtection="1">
      <alignment horizontal="center" vertical="top"/>
      <protection locked="0"/>
    </xf>
    <xf numFmtId="0" fontId="12" fillId="0" borderId="43" xfId="50" applyFont="1" applyBorder="1" applyAlignment="1" applyProtection="1">
      <alignment horizontal="left" wrapText="1"/>
      <protection locked="0"/>
    </xf>
    <xf numFmtId="3" fontId="12" fillId="0" borderId="43" xfId="51" applyNumberFormat="1" applyFont="1" applyBorder="1" applyAlignment="1" applyProtection="1">
      <alignment vertical="center"/>
      <protection locked="0"/>
    </xf>
    <xf numFmtId="3" fontId="12" fillId="0" borderId="43" xfId="50" applyNumberFormat="1" applyFont="1" applyBorder="1" applyAlignment="1" applyProtection="1">
      <alignment vertical="center"/>
      <protection locked="0"/>
    </xf>
    <xf numFmtId="3" fontId="12" fillId="0" borderId="54" xfId="50" applyNumberFormat="1" applyFont="1" applyBorder="1" applyAlignment="1" applyProtection="1">
      <alignment horizontal="right" vertical="center"/>
      <protection locked="0"/>
    </xf>
    <xf numFmtId="3" fontId="12" fillId="0" borderId="98" xfId="50" applyNumberFormat="1" applyFont="1" applyBorder="1" applyAlignment="1" applyProtection="1">
      <alignment horizontal="right"/>
      <protection locked="0"/>
    </xf>
    <xf numFmtId="3" fontId="12" fillId="0" borderId="45" xfId="50" applyNumberFormat="1" applyFont="1" applyBorder="1" applyAlignment="1" applyProtection="1">
      <alignment horizontal="right"/>
      <protection locked="0"/>
    </xf>
    <xf numFmtId="3" fontId="13" fillId="0" borderId="49" xfId="50" applyNumberFormat="1" applyFont="1" applyBorder="1" applyProtection="1">
      <protection locked="0"/>
    </xf>
    <xf numFmtId="3" fontId="12" fillId="0" borderId="53" xfId="50" applyNumberFormat="1" applyFont="1" applyBorder="1" applyProtection="1">
      <protection locked="0"/>
    </xf>
    <xf numFmtId="3" fontId="12" fillId="0" borderId="49" xfId="49" applyNumberFormat="1" applyFont="1" applyBorder="1" applyAlignment="1" applyProtection="1">
      <alignment horizontal="center"/>
      <protection locked="0"/>
    </xf>
    <xf numFmtId="0" fontId="8" fillId="0" borderId="49" xfId="50" applyFont="1" applyBorder="1" applyProtection="1">
      <protection locked="0"/>
    </xf>
    <xf numFmtId="0" fontId="8" fillId="0" borderId="43" xfId="51" applyFont="1" applyBorder="1" applyAlignment="1" applyProtection="1">
      <alignment horizontal="left"/>
      <protection locked="0"/>
    </xf>
    <xf numFmtId="0" fontId="12" fillId="0" borderId="53" xfId="50" applyFont="1" applyBorder="1" applyProtection="1">
      <protection locked="0"/>
    </xf>
    <xf numFmtId="3" fontId="27" fillId="0" borderId="49" xfId="49" applyNumberFormat="1" applyFont="1" applyBorder="1" applyAlignment="1" applyProtection="1">
      <alignment horizontal="left"/>
      <protection locked="0"/>
    </xf>
    <xf numFmtId="3" fontId="13" fillId="0" borderId="49" xfId="50" applyNumberFormat="1" applyFont="1" applyBorder="1" applyAlignment="1" applyProtection="1">
      <alignment horizontal="left"/>
      <protection locked="0"/>
    </xf>
    <xf numFmtId="0" fontId="12" fillId="0" borderId="53" xfId="50" applyFont="1" applyBorder="1" applyAlignment="1" applyProtection="1">
      <alignment horizontal="left"/>
      <protection locked="0"/>
    </xf>
    <xf numFmtId="0" fontId="8" fillId="0" borderId="49" xfId="50" applyFont="1" applyBorder="1" applyAlignment="1" applyProtection="1">
      <alignment horizontal="left"/>
      <protection locked="0"/>
    </xf>
    <xf numFmtId="0" fontId="12" fillId="0" borderId="49" xfId="50" applyFont="1" applyBorder="1" applyAlignment="1" applyProtection="1">
      <alignment horizontal="left" wrapText="1"/>
      <protection locked="0"/>
    </xf>
    <xf numFmtId="3" fontId="12" fillId="0" borderId="43" xfId="49" applyNumberFormat="1" applyFont="1" applyBorder="1" applyAlignment="1" applyProtection="1">
      <alignment horizontal="center"/>
      <protection locked="0"/>
    </xf>
    <xf numFmtId="3" fontId="19" fillId="0" borderId="43" xfId="51" applyNumberFormat="1" applyFont="1" applyBorder="1" applyProtection="1">
      <protection locked="0"/>
    </xf>
    <xf numFmtId="3" fontId="12" fillId="0" borderId="54" xfId="50" applyNumberFormat="1" applyFont="1" applyBorder="1" applyAlignment="1" applyProtection="1">
      <alignment horizontal="left"/>
      <protection locked="0"/>
    </xf>
    <xf numFmtId="0" fontId="19" fillId="0" borderId="49" xfId="50" applyFont="1" applyBorder="1" applyAlignment="1" applyProtection="1">
      <alignment wrapText="1"/>
      <protection locked="0"/>
    </xf>
    <xf numFmtId="0" fontId="28" fillId="0" borderId="49" xfId="50" applyFont="1" applyBorder="1" applyAlignment="1" applyProtection="1">
      <alignment horizontal="left"/>
      <protection locked="0"/>
    </xf>
    <xf numFmtId="3" fontId="12" fillId="0" borderId="43" xfId="49" applyNumberFormat="1" applyFont="1" applyBorder="1" applyAlignment="1" applyProtection="1">
      <alignment horizontal="center" vertical="top"/>
      <protection locked="0"/>
    </xf>
    <xf numFmtId="0" fontId="12" fillId="0" borderId="42" xfId="51" applyFont="1" applyBorder="1" applyAlignment="1" applyProtection="1">
      <alignment horizontal="center" vertical="top"/>
      <protection locked="0"/>
    </xf>
    <xf numFmtId="0" fontId="19" fillId="0" borderId="49" xfId="50" applyFont="1" applyBorder="1" applyAlignment="1" applyProtection="1">
      <alignment horizontal="left" wrapText="1"/>
      <protection locked="0"/>
    </xf>
    <xf numFmtId="0" fontId="12" fillId="0" borderId="43" xfId="51" applyFont="1" applyBorder="1" applyAlignment="1" applyProtection="1">
      <alignment horizontal="center" vertical="top"/>
      <protection locked="0"/>
    </xf>
    <xf numFmtId="3" fontId="12" fillId="0" borderId="43" xfId="50" applyNumberFormat="1" applyFont="1" applyBorder="1" applyAlignment="1" applyProtection="1">
      <alignment horizontal="right"/>
      <protection locked="0"/>
    </xf>
    <xf numFmtId="3" fontId="13" fillId="0" borderId="49" xfId="50" applyNumberFormat="1" applyFont="1" applyBorder="1" applyAlignment="1" applyProtection="1">
      <alignment vertical="top"/>
      <protection locked="0"/>
    </xf>
    <xf numFmtId="0" fontId="12" fillId="0" borderId="53" xfId="50" applyFont="1" applyBorder="1" applyAlignment="1" applyProtection="1">
      <alignment vertical="top"/>
      <protection locked="0"/>
    </xf>
    <xf numFmtId="0" fontId="12" fillId="0" borderId="0" xfId="50" applyFont="1" applyAlignment="1" applyProtection="1">
      <alignment vertical="top"/>
      <protection locked="0"/>
    </xf>
    <xf numFmtId="3" fontId="29" fillId="0" borderId="98" xfId="50" applyNumberFormat="1" applyFont="1" applyBorder="1" applyAlignment="1" applyProtection="1">
      <alignment horizontal="right"/>
      <protection locked="0"/>
    </xf>
    <xf numFmtId="3" fontId="29" fillId="0" borderId="45" xfId="50" applyNumberFormat="1" applyFont="1" applyBorder="1" applyAlignment="1" applyProtection="1">
      <alignment horizontal="right"/>
      <protection locked="0"/>
    </xf>
    <xf numFmtId="3" fontId="12" fillId="0" borderId="43" xfId="51" applyNumberFormat="1" applyFont="1" applyBorder="1" applyAlignment="1" applyProtection="1">
      <alignment horizontal="right"/>
      <protection locked="0"/>
    </xf>
    <xf numFmtId="3" fontId="27" fillId="0" borderId="43" xfId="0" applyNumberFormat="1" applyFont="1" applyBorder="1" applyAlignment="1" applyProtection="1">
      <alignment horizontal="left"/>
      <protection locked="0"/>
    </xf>
    <xf numFmtId="3" fontId="12" fillId="0" borderId="106" xfId="50" applyNumberFormat="1" applyFont="1" applyBorder="1" applyAlignment="1" applyProtection="1">
      <alignment horizontal="right"/>
      <protection locked="0"/>
    </xf>
    <xf numFmtId="3" fontId="13" fillId="0" borderId="61" xfId="50" applyNumberFormat="1" applyFont="1" applyBorder="1" applyProtection="1">
      <protection locked="0"/>
    </xf>
    <xf numFmtId="0" fontId="12" fillId="0" borderId="90" xfId="51" applyFont="1" applyBorder="1" applyAlignment="1" applyProtection="1">
      <alignment horizontal="center"/>
      <protection locked="0"/>
    </xf>
    <xf numFmtId="3" fontId="12" fillId="0" borderId="61" xfId="49" applyNumberFormat="1" applyFont="1" applyBorder="1" applyAlignment="1" applyProtection="1">
      <alignment horizontal="center"/>
      <protection locked="0"/>
    </xf>
    <xf numFmtId="0" fontId="12" fillId="0" borderId="106" xfId="50" applyFont="1" applyBorder="1" applyAlignment="1" applyProtection="1">
      <alignment horizontal="left" wrapText="1"/>
      <protection locked="0"/>
    </xf>
    <xf numFmtId="0" fontId="12" fillId="0" borderId="76" xfId="51" applyFont="1" applyBorder="1" applyAlignment="1" applyProtection="1">
      <alignment horizontal="center"/>
      <protection locked="0"/>
    </xf>
    <xf numFmtId="3" fontId="12" fillId="0" borderId="76" xfId="51" applyNumberFormat="1" applyFont="1" applyBorder="1" applyProtection="1">
      <protection locked="0"/>
    </xf>
    <xf numFmtId="3" fontId="12" fillId="0" borderId="76" xfId="50" applyNumberFormat="1" applyFont="1" applyBorder="1" applyProtection="1">
      <protection locked="0"/>
    </xf>
    <xf numFmtId="3" fontId="12" fillId="0" borderId="107" xfId="50" applyNumberFormat="1" applyFont="1" applyBorder="1" applyAlignment="1" applyProtection="1">
      <alignment horizontal="right"/>
      <protection locked="0"/>
    </xf>
    <xf numFmtId="3" fontId="12" fillId="0" borderId="18" xfId="50" applyNumberFormat="1" applyFont="1" applyBorder="1" applyAlignment="1" applyProtection="1">
      <alignment horizontal="right"/>
      <protection locked="0"/>
    </xf>
    <xf numFmtId="3" fontId="12" fillId="0" borderId="61" xfId="50" applyNumberFormat="1" applyFont="1" applyBorder="1" applyAlignment="1" applyProtection="1">
      <alignment horizontal="right"/>
      <protection locked="0"/>
    </xf>
    <xf numFmtId="3" fontId="12" fillId="0" borderId="65" xfId="50" applyNumberFormat="1" applyFont="1" applyBorder="1" applyProtection="1">
      <protection locked="0"/>
    </xf>
    <xf numFmtId="0" fontId="12" fillId="0" borderId="120" xfId="51" applyFont="1" applyBorder="1" applyAlignment="1" applyProtection="1">
      <alignment horizontal="center"/>
      <protection locked="0"/>
    </xf>
    <xf numFmtId="3" fontId="12" fillId="0" borderId="56" xfId="49" applyNumberFormat="1" applyFont="1" applyBorder="1" applyAlignment="1" applyProtection="1">
      <alignment horizontal="center"/>
      <protection locked="0"/>
    </xf>
    <xf numFmtId="0" fontId="12" fillId="0" borderId="103" xfId="50" applyFont="1" applyBorder="1" applyAlignment="1" applyProtection="1">
      <alignment horizontal="left" wrapText="1"/>
      <protection locked="0"/>
    </xf>
    <xf numFmtId="0" fontId="12" fillId="0" borderId="56" xfId="51" applyFont="1" applyBorder="1" applyAlignment="1" applyProtection="1">
      <alignment horizontal="center"/>
      <protection locked="0"/>
    </xf>
    <xf numFmtId="3" fontId="12" fillId="0" borderId="56" xfId="51" applyNumberFormat="1" applyFont="1" applyBorder="1" applyProtection="1">
      <protection locked="0"/>
    </xf>
    <xf numFmtId="3" fontId="12" fillId="0" borderId="56" xfId="50" applyNumberFormat="1" applyFont="1" applyBorder="1" applyProtection="1">
      <protection locked="0"/>
    </xf>
    <xf numFmtId="3" fontId="12" fillId="0" borderId="73" xfId="50" applyNumberFormat="1" applyFont="1" applyBorder="1" applyAlignment="1" applyProtection="1">
      <alignment horizontal="right"/>
      <protection locked="0"/>
    </xf>
    <xf numFmtId="3" fontId="12" fillId="0" borderId="121" xfId="50" applyNumberFormat="1" applyFont="1" applyBorder="1" applyAlignment="1" applyProtection="1">
      <alignment horizontal="right"/>
      <protection locked="0"/>
    </xf>
    <xf numFmtId="3" fontId="12" fillId="0" borderId="56" xfId="50" applyNumberFormat="1" applyFont="1" applyBorder="1" applyAlignment="1" applyProtection="1">
      <alignment horizontal="right"/>
      <protection locked="0"/>
    </xf>
    <xf numFmtId="3" fontId="13" fillId="0" borderId="56" xfId="50" applyNumberFormat="1" applyFont="1" applyBorder="1" applyProtection="1">
      <protection locked="0"/>
    </xf>
    <xf numFmtId="0" fontId="19" fillId="0" borderId="123" xfId="51" applyFont="1" applyBorder="1" applyAlignment="1" applyProtection="1">
      <alignment horizontal="center" vertical="center"/>
      <protection locked="0"/>
    </xf>
    <xf numFmtId="3" fontId="19" fillId="0" borderId="123" xfId="51" applyNumberFormat="1" applyFont="1" applyBorder="1" applyAlignment="1" applyProtection="1">
      <alignment vertical="center"/>
      <protection locked="0"/>
    </xf>
    <xf numFmtId="3" fontId="19" fillId="0" borderId="123" xfId="50" applyNumberFormat="1" applyFont="1" applyBorder="1" applyAlignment="1" applyProtection="1">
      <alignment vertical="center"/>
      <protection locked="0"/>
    </xf>
    <xf numFmtId="3" fontId="19" fillId="0" borderId="124" xfId="50" applyNumberFormat="1" applyFont="1" applyBorder="1" applyAlignment="1" applyProtection="1">
      <alignment horizontal="right" vertical="center"/>
      <protection locked="0"/>
    </xf>
    <xf numFmtId="3" fontId="19" fillId="0" borderId="31" xfId="50" applyNumberFormat="1" applyFont="1" applyBorder="1" applyAlignment="1" applyProtection="1">
      <alignment horizontal="right" vertical="center"/>
      <protection locked="0"/>
    </xf>
    <xf numFmtId="3" fontId="8" fillId="0" borderId="123" xfId="50" applyNumberFormat="1" applyFont="1" applyBorder="1" applyAlignment="1" applyProtection="1">
      <alignment horizontal="right" vertical="center"/>
      <protection locked="0"/>
    </xf>
    <xf numFmtId="3" fontId="19" fillId="0" borderId="32" xfId="50" applyNumberFormat="1" applyFont="1" applyBorder="1" applyAlignment="1" applyProtection="1">
      <alignment horizontal="right" vertical="center"/>
      <protection locked="0"/>
    </xf>
    <xf numFmtId="0" fontId="19" fillId="0" borderId="0" xfId="50" applyFont="1" applyAlignment="1" applyProtection="1">
      <alignment horizontal="left" vertical="center"/>
      <protection locked="0"/>
    </xf>
    <xf numFmtId="3" fontId="27" fillId="0" borderId="54" xfId="0" applyNumberFormat="1" applyFont="1" applyBorder="1" applyAlignment="1" applyProtection="1">
      <alignment horizontal="left"/>
      <protection locked="0"/>
    </xf>
    <xf numFmtId="3" fontId="19" fillId="0" borderId="123" xfId="50" applyNumberFormat="1" applyFont="1" applyBorder="1" applyAlignment="1" applyProtection="1">
      <alignment horizontal="right" vertical="center"/>
      <protection locked="0"/>
    </xf>
    <xf numFmtId="0" fontId="19" fillId="0" borderId="118" xfId="51" applyFont="1" applyBorder="1" applyAlignment="1" applyProtection="1">
      <alignment horizontal="center" vertical="center"/>
      <protection locked="0"/>
    </xf>
    <xf numFmtId="3" fontId="19" fillId="0" borderId="118" xfId="51" applyNumberFormat="1" applyFont="1" applyBorder="1" applyAlignment="1" applyProtection="1">
      <alignment vertical="center"/>
      <protection locked="0"/>
    </xf>
    <xf numFmtId="3" fontId="19" fillId="0" borderId="118" xfId="50" applyNumberFormat="1" applyFont="1" applyBorder="1" applyAlignment="1" applyProtection="1">
      <alignment vertical="center"/>
      <protection locked="0"/>
    </xf>
    <xf numFmtId="3" fontId="19" fillId="0" borderId="126" xfId="50" applyNumberFormat="1" applyFont="1" applyBorder="1" applyAlignment="1" applyProtection="1">
      <alignment horizontal="right" vertical="center"/>
      <protection locked="0"/>
    </xf>
    <xf numFmtId="3" fontId="19" fillId="0" borderId="12" xfId="50" applyNumberFormat="1" applyFont="1" applyBorder="1" applyAlignment="1" applyProtection="1">
      <alignment horizontal="right" vertical="center"/>
      <protection locked="0"/>
    </xf>
    <xf numFmtId="3" fontId="19" fillId="0" borderId="118" xfId="50" applyNumberFormat="1" applyFont="1" applyBorder="1" applyAlignment="1" applyProtection="1">
      <alignment horizontal="right" vertical="center"/>
      <protection locked="0"/>
    </xf>
    <xf numFmtId="3" fontId="8" fillId="0" borderId="118" xfId="50" applyNumberFormat="1" applyFont="1" applyBorder="1" applyAlignment="1" applyProtection="1">
      <alignment horizontal="right" vertical="center"/>
      <protection locked="0"/>
    </xf>
    <xf numFmtId="3" fontId="19" fillId="0" borderId="5" xfId="50" applyNumberFormat="1" applyFont="1" applyBorder="1" applyAlignment="1" applyProtection="1">
      <alignment horizontal="right" vertical="center"/>
      <protection locked="0"/>
    </xf>
    <xf numFmtId="0" fontId="19" fillId="0" borderId="82" xfId="51" applyFont="1" applyBorder="1" applyAlignment="1" applyProtection="1">
      <alignment horizontal="center" vertical="center"/>
      <protection locked="0"/>
    </xf>
    <xf numFmtId="0" fontId="19" fillId="0" borderId="83" xfId="51" applyFont="1" applyBorder="1" applyAlignment="1" applyProtection="1">
      <alignment horizontal="center" vertical="center"/>
      <protection locked="0"/>
    </xf>
    <xf numFmtId="3" fontId="19" fillId="0" borderId="83" xfId="51" applyNumberFormat="1" applyFont="1" applyBorder="1" applyAlignment="1" applyProtection="1">
      <alignment vertical="center"/>
      <protection locked="0"/>
    </xf>
    <xf numFmtId="3" fontId="19" fillId="0" borderId="83" xfId="50" applyNumberFormat="1" applyFont="1" applyBorder="1" applyAlignment="1" applyProtection="1">
      <alignment vertical="center"/>
      <protection locked="0"/>
    </xf>
    <xf numFmtId="3" fontId="19" fillId="0" borderId="84" xfId="50" applyNumberFormat="1" applyFont="1" applyBorder="1" applyAlignment="1" applyProtection="1">
      <alignment horizontal="right" vertical="center"/>
      <protection locked="0"/>
    </xf>
    <xf numFmtId="3" fontId="19" fillId="0" borderId="89" xfId="50" applyNumberFormat="1" applyFont="1" applyBorder="1" applyAlignment="1" applyProtection="1">
      <alignment horizontal="right" vertical="center"/>
      <protection locked="0"/>
    </xf>
    <xf numFmtId="3" fontId="19" fillId="0" borderId="83" xfId="50" applyNumberFormat="1" applyFont="1" applyBorder="1" applyAlignment="1" applyProtection="1">
      <alignment horizontal="right" vertical="center"/>
      <protection locked="0"/>
    </xf>
    <xf numFmtId="3" fontId="8" fillId="0" borderId="83" xfId="50" applyNumberFormat="1" applyFont="1" applyBorder="1" applyAlignment="1" applyProtection="1">
      <alignment horizontal="right" vertical="center"/>
      <protection locked="0"/>
    </xf>
    <xf numFmtId="3" fontId="19" fillId="0" borderId="85" xfId="50" applyNumberFormat="1" applyFont="1" applyBorder="1" applyAlignment="1" applyProtection="1">
      <alignment horizontal="right" vertical="center"/>
      <protection locked="0"/>
    </xf>
    <xf numFmtId="0" fontId="12" fillId="0" borderId="48" xfId="51" applyFont="1" applyBorder="1" applyAlignment="1" applyProtection="1">
      <alignment horizontal="center"/>
      <protection locked="0"/>
    </xf>
    <xf numFmtId="0" fontId="19" fillId="0" borderId="49" xfId="51" applyFont="1" applyBorder="1" applyAlignment="1" applyProtection="1">
      <alignment horizontal="center" vertical="center"/>
      <protection locked="0"/>
    </xf>
    <xf numFmtId="0" fontId="19" fillId="0" borderId="49" xfId="51" applyFont="1" applyBorder="1" applyAlignment="1" applyProtection="1">
      <alignment horizontal="left" vertical="center"/>
      <protection locked="0"/>
    </xf>
    <xf numFmtId="3" fontId="19" fillId="0" borderId="49" xfId="51" applyNumberFormat="1" applyFont="1" applyBorder="1" applyAlignment="1" applyProtection="1">
      <alignment vertical="center"/>
      <protection locked="0"/>
    </xf>
    <xf numFmtId="3" fontId="19" fillId="0" borderId="49" xfId="50" applyNumberFormat="1" applyFont="1" applyBorder="1" applyAlignment="1" applyProtection="1">
      <alignment vertical="center"/>
      <protection locked="0"/>
    </xf>
    <xf numFmtId="3" fontId="19" fillId="0" borderId="52" xfId="50" applyNumberFormat="1" applyFont="1" applyBorder="1" applyAlignment="1" applyProtection="1">
      <alignment horizontal="right" vertical="center"/>
      <protection locked="0"/>
    </xf>
    <xf numFmtId="3" fontId="19" fillId="0" borderId="51" xfId="50" applyNumberFormat="1" applyFont="1" applyBorder="1" applyAlignment="1" applyProtection="1">
      <alignment horizontal="right" vertical="center"/>
      <protection locked="0"/>
    </xf>
    <xf numFmtId="3" fontId="19" fillId="0" borderId="49" xfId="50" applyNumberFormat="1" applyFont="1" applyBorder="1" applyAlignment="1" applyProtection="1">
      <alignment horizontal="right" vertical="center"/>
      <protection locked="0"/>
    </xf>
    <xf numFmtId="3" fontId="8" fillId="0" borderId="49" xfId="50" applyNumberFormat="1" applyFont="1" applyBorder="1" applyAlignment="1" applyProtection="1">
      <alignment horizontal="right" vertical="center"/>
      <protection locked="0"/>
    </xf>
    <xf numFmtId="3" fontId="19" fillId="0" borderId="53" xfId="50" applyNumberFormat="1" applyFont="1" applyBorder="1" applyAlignment="1" applyProtection="1">
      <alignment horizontal="right" vertical="center"/>
      <protection locked="0"/>
    </xf>
    <xf numFmtId="0" fontId="19" fillId="0" borderId="95" xfId="51" applyFont="1" applyBorder="1" applyAlignment="1" applyProtection="1">
      <alignment horizontal="center" vertical="center"/>
      <protection locked="0"/>
    </xf>
    <xf numFmtId="0" fontId="12" fillId="0" borderId="80" xfId="50" applyFont="1" applyBorder="1" applyAlignment="1" applyProtection="1">
      <alignment horizontal="left" wrapText="1"/>
      <protection locked="0"/>
    </xf>
    <xf numFmtId="0" fontId="19" fillId="0" borderId="80" xfId="51" applyFont="1" applyBorder="1" applyAlignment="1" applyProtection="1">
      <alignment horizontal="center" vertical="center"/>
      <protection locked="0"/>
    </xf>
    <xf numFmtId="3" fontId="19" fillId="0" borderId="80" xfId="51" applyNumberFormat="1" applyFont="1" applyBorder="1" applyAlignment="1" applyProtection="1">
      <alignment vertical="center"/>
      <protection locked="0"/>
    </xf>
    <xf numFmtId="3" fontId="19" fillId="0" borderId="80" xfId="50" applyNumberFormat="1" applyFont="1" applyBorder="1" applyAlignment="1" applyProtection="1">
      <alignment vertical="center"/>
      <protection locked="0"/>
    </xf>
    <xf numFmtId="3" fontId="19" fillId="0" borderId="105" xfId="50" applyNumberFormat="1" applyFont="1" applyBorder="1" applyAlignment="1" applyProtection="1">
      <alignment horizontal="right" vertical="center"/>
      <protection locked="0"/>
    </xf>
    <xf numFmtId="3" fontId="19" fillId="0" borderId="127" xfId="50" applyNumberFormat="1" applyFont="1" applyBorder="1" applyAlignment="1" applyProtection="1">
      <alignment horizontal="right" vertical="center"/>
      <protection locked="0"/>
    </xf>
    <xf numFmtId="3" fontId="19" fillId="0" borderId="80" xfId="50" applyNumberFormat="1" applyFont="1" applyBorder="1" applyAlignment="1" applyProtection="1">
      <alignment horizontal="right" vertical="center"/>
      <protection locked="0"/>
    </xf>
    <xf numFmtId="3" fontId="13" fillId="0" borderId="80" xfId="50" applyNumberFormat="1" applyFont="1" applyBorder="1" applyAlignment="1" applyProtection="1">
      <alignment horizontal="right" vertical="center"/>
      <protection locked="0"/>
    </xf>
    <xf numFmtId="3" fontId="19" fillId="0" borderId="97" xfId="50" applyNumberFormat="1" applyFont="1" applyBorder="1" applyAlignment="1" applyProtection="1">
      <alignment horizontal="right" vertical="center"/>
      <protection locked="0"/>
    </xf>
    <xf numFmtId="3" fontId="19" fillId="0" borderId="128" xfId="50" applyNumberFormat="1" applyFont="1" applyBorder="1" applyAlignment="1" applyProtection="1">
      <alignment horizontal="right" vertical="center"/>
      <protection locked="0"/>
    </xf>
    <xf numFmtId="3" fontId="19" fillId="0" borderId="2" xfId="50" applyNumberFormat="1" applyFont="1" applyBorder="1" applyAlignment="1" applyProtection="1">
      <alignment horizontal="right" vertical="center"/>
      <protection locked="0"/>
    </xf>
    <xf numFmtId="3" fontId="12" fillId="0" borderId="0" xfId="32" applyNumberFormat="1" applyFont="1" applyAlignment="1" applyProtection="1">
      <alignment horizontal="left" vertical="top"/>
      <protection locked="0"/>
    </xf>
    <xf numFmtId="3" fontId="12" fillId="0" borderId="0" xfId="32" applyNumberFormat="1" applyFont="1" applyAlignment="1" applyProtection="1">
      <alignment horizontal="center" vertical="top"/>
      <protection locked="0"/>
    </xf>
    <xf numFmtId="3" fontId="12" fillId="0" borderId="0" xfId="32" applyNumberFormat="1" applyFont="1" applyAlignment="1" applyProtection="1">
      <alignment horizontal="center" vertical="center"/>
      <protection locked="0"/>
    </xf>
    <xf numFmtId="3" fontId="12" fillId="0" borderId="0" xfId="51" applyNumberFormat="1" applyFont="1" applyProtection="1">
      <protection locked="0"/>
    </xf>
    <xf numFmtId="3" fontId="12" fillId="0" borderId="0" xfId="51" applyNumberFormat="1" applyFont="1" applyAlignment="1" applyProtection="1">
      <alignment wrapText="1"/>
      <protection locked="0"/>
    </xf>
    <xf numFmtId="3" fontId="12" fillId="0" borderId="0" xfId="51" applyNumberFormat="1" applyFont="1" applyAlignment="1" applyProtection="1">
      <alignment horizontal="right"/>
      <protection locked="0"/>
    </xf>
    <xf numFmtId="3" fontId="12" fillId="0" borderId="0" xfId="32" applyNumberFormat="1" applyFont="1" applyProtection="1">
      <protection locked="0"/>
    </xf>
    <xf numFmtId="3" fontId="12" fillId="0" borderId="0" xfId="50" applyNumberFormat="1" applyFont="1" applyAlignment="1" applyProtection="1">
      <alignment horizontal="right" vertical="center"/>
      <protection locked="0"/>
    </xf>
    <xf numFmtId="1" fontId="30" fillId="0" borderId="0" xfId="46" applyNumberFormat="1" applyFont="1" applyAlignment="1">
      <alignment horizontal="center" vertical="center"/>
    </xf>
    <xf numFmtId="3" fontId="5" fillId="0" borderId="0" xfId="46" applyNumberFormat="1" applyFont="1" applyAlignment="1">
      <alignment horizontal="center"/>
    </xf>
    <xf numFmtId="3" fontId="5" fillId="0" borderId="0" xfId="46" applyNumberFormat="1" applyFont="1" applyAlignment="1">
      <alignment vertical="top" wrapText="1"/>
    </xf>
    <xf numFmtId="3" fontId="5" fillId="2" borderId="0" xfId="46" applyNumberFormat="1" applyFont="1" applyFill="1"/>
    <xf numFmtId="3" fontId="6" fillId="0" borderId="0" xfId="46" applyNumberFormat="1" applyFont="1"/>
    <xf numFmtId="3" fontId="5" fillId="0" borderId="0" xfId="46" applyNumberFormat="1" applyFont="1"/>
    <xf numFmtId="1" fontId="5" fillId="0" borderId="0" xfId="46" applyNumberFormat="1" applyFont="1" applyAlignment="1">
      <alignment horizontal="center" vertical="center"/>
    </xf>
    <xf numFmtId="3" fontId="5" fillId="0" borderId="0" xfId="46" applyNumberFormat="1" applyFont="1" applyAlignment="1">
      <alignment horizontal="right"/>
    </xf>
    <xf numFmtId="3" fontId="6" fillId="0" borderId="0" xfId="46" applyNumberFormat="1" applyFont="1" applyAlignment="1">
      <alignment horizontal="center"/>
    </xf>
    <xf numFmtId="3" fontId="6" fillId="0" borderId="0" xfId="46" applyNumberFormat="1" applyFont="1" applyAlignment="1">
      <alignment horizontal="center" vertical="center"/>
    </xf>
    <xf numFmtId="3" fontId="5" fillId="0" borderId="0" xfId="46" applyNumberFormat="1" applyFont="1" applyAlignment="1">
      <alignment vertical="center"/>
    </xf>
    <xf numFmtId="1" fontId="12" fillId="0" borderId="0" xfId="46" applyNumberFormat="1" applyFont="1" applyAlignment="1">
      <alignment horizontal="center" vertical="center"/>
    </xf>
    <xf numFmtId="3" fontId="12" fillId="0" borderId="0" xfId="46" applyNumberFormat="1" applyFont="1" applyAlignment="1">
      <alignment horizontal="center"/>
    </xf>
    <xf numFmtId="0" fontId="19" fillId="0" borderId="0" xfId="46" applyFont="1" applyAlignment="1">
      <alignment vertical="top" wrapText="1"/>
    </xf>
    <xf numFmtId="3" fontId="12" fillId="0" borderId="0" xfId="46" applyNumberFormat="1" applyFont="1"/>
    <xf numFmtId="0" fontId="12" fillId="0" borderId="0" xfId="46" applyFont="1" applyAlignment="1">
      <alignment horizontal="center"/>
    </xf>
    <xf numFmtId="3" fontId="19" fillId="0" borderId="0" xfId="46" applyNumberFormat="1" applyFont="1"/>
    <xf numFmtId="3" fontId="12" fillId="0" borderId="0" xfId="46" applyNumberFormat="1" applyFont="1" applyAlignment="1">
      <alignment horizontal="right"/>
    </xf>
    <xf numFmtId="1" fontId="11" fillId="0" borderId="0" xfId="46" applyNumberFormat="1" applyFont="1" applyAlignment="1">
      <alignment horizontal="center" vertical="center"/>
    </xf>
    <xf numFmtId="3" fontId="11" fillId="0" borderId="0" xfId="46" applyNumberFormat="1" applyFont="1" applyAlignment="1">
      <alignment horizontal="center" vertical="center"/>
    </xf>
    <xf numFmtId="3" fontId="11" fillId="0" borderId="0" xfId="46" applyNumberFormat="1" applyFont="1" applyAlignment="1">
      <alignment horizontal="center"/>
    </xf>
    <xf numFmtId="3" fontId="11" fillId="0" borderId="0" xfId="46" applyNumberFormat="1" applyFont="1" applyAlignment="1">
      <alignment horizontal="center" vertical="center" wrapText="1"/>
    </xf>
    <xf numFmtId="3" fontId="12" fillId="0" borderId="131" xfId="0" applyNumberFormat="1" applyFont="1" applyBorder="1" applyAlignment="1">
      <alignment horizontal="center" vertical="center" wrapText="1"/>
    </xf>
    <xf numFmtId="3" fontId="12" fillId="0" borderId="132" xfId="0" applyNumberFormat="1" applyFont="1" applyBorder="1" applyAlignment="1">
      <alignment horizontal="center" vertical="center" wrapText="1"/>
    </xf>
    <xf numFmtId="3" fontId="12" fillId="0" borderId="82" xfId="46" applyNumberFormat="1" applyFont="1" applyBorder="1" applyAlignment="1">
      <alignment horizontal="center"/>
    </xf>
    <xf numFmtId="3" fontId="27" fillId="0" borderId="83" xfId="46" applyNumberFormat="1" applyFont="1" applyBorder="1" applyAlignment="1">
      <alignment horizontal="left"/>
    </xf>
    <xf numFmtId="0" fontId="19" fillId="0" borderId="83" xfId="46" applyFont="1" applyBorder="1" applyAlignment="1">
      <alignment horizontal="center" vertical="center" wrapText="1"/>
    </xf>
    <xf numFmtId="3" fontId="12" fillId="0" borderId="83" xfId="46" applyNumberFormat="1" applyFont="1" applyBorder="1" applyAlignment="1">
      <alignment horizontal="center" vertical="center" wrapText="1"/>
    </xf>
    <xf numFmtId="3" fontId="12" fillId="0" borderId="84" xfId="46" applyNumberFormat="1" applyFont="1" applyBorder="1" applyAlignment="1">
      <alignment horizontal="center" vertical="center" wrapText="1"/>
    </xf>
    <xf numFmtId="0" fontId="12" fillId="0" borderId="89" xfId="0" applyFont="1" applyBorder="1" applyAlignment="1">
      <alignment horizontal="center" vertical="center" textRotation="90" wrapText="1"/>
    </xf>
    <xf numFmtId="3" fontId="19" fillId="0" borderId="83" xfId="46" applyNumberFormat="1" applyFont="1" applyBorder="1" applyAlignment="1">
      <alignment horizontal="center" vertical="center" wrapText="1"/>
    </xf>
    <xf numFmtId="3" fontId="12" fillId="0" borderId="83" xfId="0" applyNumberFormat="1" applyFont="1" applyBorder="1" applyAlignment="1">
      <alignment horizontal="center" vertical="center" wrapText="1"/>
    </xf>
    <xf numFmtId="3" fontId="12" fillId="0" borderId="85" xfId="0" applyNumberFormat="1" applyFont="1" applyBorder="1" applyAlignment="1">
      <alignment horizontal="center" vertical="center" wrapText="1"/>
    </xf>
    <xf numFmtId="3" fontId="12" fillId="0" borderId="42" xfId="46" applyNumberFormat="1" applyFont="1" applyBorder="1" applyAlignment="1">
      <alignment horizontal="center"/>
    </xf>
    <xf numFmtId="3" fontId="12" fillId="0" borderId="43" xfId="46" applyNumberFormat="1" applyFont="1" applyBorder="1" applyAlignment="1">
      <alignment horizontal="center"/>
    </xf>
    <xf numFmtId="3" fontId="19" fillId="0" borderId="43" xfId="46" applyNumberFormat="1" applyFont="1" applyBorder="1" applyAlignment="1">
      <alignment wrapText="1"/>
    </xf>
    <xf numFmtId="3" fontId="12" fillId="0" borderId="43" xfId="46" applyNumberFormat="1" applyFont="1" applyBorder="1" applyAlignment="1">
      <alignment horizontal="right"/>
    </xf>
    <xf numFmtId="3" fontId="12" fillId="0" borderId="54" xfId="46" applyNumberFormat="1" applyFont="1" applyBorder="1" applyAlignment="1">
      <alignment horizontal="right"/>
    </xf>
    <xf numFmtId="3" fontId="12" fillId="0" borderId="133" xfId="46" applyNumberFormat="1" applyFont="1" applyBorder="1" applyAlignment="1">
      <alignment horizontal="center"/>
    </xf>
    <xf numFmtId="3" fontId="19" fillId="0" borderId="49" xfId="46" applyNumberFormat="1" applyFont="1" applyBorder="1" applyAlignment="1">
      <alignment horizontal="right"/>
    </xf>
    <xf numFmtId="3" fontId="12" fillId="0" borderId="43" xfId="0" applyNumberFormat="1" applyFont="1" applyBorder="1" applyAlignment="1">
      <alignment horizontal="right" wrapText="1"/>
    </xf>
    <xf numFmtId="3" fontId="12" fillId="0" borderId="47" xfId="0" applyNumberFormat="1" applyFont="1" applyBorder="1" applyAlignment="1">
      <alignment horizontal="right" wrapText="1"/>
    </xf>
    <xf numFmtId="3" fontId="12" fillId="0" borderId="48" xfId="46" applyNumberFormat="1" applyFont="1" applyBorder="1" applyAlignment="1">
      <alignment horizontal="center" vertical="center"/>
    </xf>
    <xf numFmtId="3" fontId="12" fillId="0" borderId="49" xfId="46" applyNumberFormat="1" applyFont="1" applyBorder="1" applyAlignment="1">
      <alignment horizontal="center"/>
    </xf>
    <xf numFmtId="3" fontId="21" fillId="0" borderId="43" xfId="46" applyNumberFormat="1" applyFont="1" applyBorder="1" applyAlignment="1">
      <alignment wrapText="1"/>
    </xf>
    <xf numFmtId="3" fontId="12" fillId="0" borderId="49" xfId="46" applyNumberFormat="1" applyFont="1" applyBorder="1" applyAlignment="1">
      <alignment horizontal="right"/>
    </xf>
    <xf numFmtId="3" fontId="12" fillId="0" borderId="55" xfId="46" applyNumberFormat="1" applyFont="1" applyBorder="1" applyAlignment="1">
      <alignment horizontal="right"/>
    </xf>
    <xf numFmtId="3" fontId="12" fillId="0" borderId="134" xfId="46" applyNumberFormat="1" applyFont="1" applyBorder="1" applyAlignment="1">
      <alignment horizontal="center"/>
    </xf>
    <xf numFmtId="3" fontId="21" fillId="0" borderId="49" xfId="46" applyNumberFormat="1" applyFont="1" applyBorder="1" applyAlignment="1">
      <alignment horizontal="right"/>
    </xf>
    <xf numFmtId="3" fontId="25" fillId="0" borderId="49" xfId="0" applyNumberFormat="1" applyFont="1" applyBorder="1" applyAlignment="1">
      <alignment horizontal="right" wrapText="1"/>
    </xf>
    <xf numFmtId="3" fontId="21" fillId="0" borderId="49" xfId="0" applyNumberFormat="1" applyFont="1" applyBorder="1" applyAlignment="1">
      <alignment horizontal="right" wrapText="1"/>
    </xf>
    <xf numFmtId="3" fontId="25" fillId="0" borderId="53" xfId="0" applyNumberFormat="1" applyFont="1" applyBorder="1" applyAlignment="1">
      <alignment horizontal="right" wrapText="1"/>
    </xf>
    <xf numFmtId="3" fontId="5" fillId="0" borderId="0" xfId="46" applyNumberFormat="1" applyFont="1" applyAlignment="1">
      <alignment horizontal="center" vertical="center"/>
    </xf>
    <xf numFmtId="3" fontId="19" fillId="0" borderId="43" xfId="0" applyNumberFormat="1" applyFont="1" applyBorder="1" applyAlignment="1">
      <alignment horizontal="right" wrapText="1"/>
    </xf>
    <xf numFmtId="3" fontId="25" fillId="0" borderId="47" xfId="0" applyNumberFormat="1" applyFont="1" applyBorder="1" applyAlignment="1">
      <alignment horizontal="right" wrapText="1"/>
    </xf>
    <xf numFmtId="3" fontId="13" fillId="0" borderId="43" xfId="0" applyNumberFormat="1" applyFont="1" applyBorder="1" applyAlignment="1">
      <alignment horizontal="right" wrapText="1"/>
    </xf>
    <xf numFmtId="3" fontId="13" fillId="0" borderId="47" xfId="0" applyNumberFormat="1" applyFont="1" applyBorder="1" applyAlignment="1">
      <alignment horizontal="right" wrapText="1"/>
    </xf>
    <xf numFmtId="3" fontId="25" fillId="0" borderId="43" xfId="0" applyNumberFormat="1" applyFont="1" applyBorder="1" applyAlignment="1">
      <alignment horizontal="right" wrapText="1"/>
    </xf>
    <xf numFmtId="3" fontId="12" fillId="0" borderId="48" xfId="46" applyNumberFormat="1" applyFont="1" applyBorder="1" applyAlignment="1">
      <alignment horizontal="center"/>
    </xf>
    <xf numFmtId="3" fontId="19" fillId="0" borderId="49" xfId="46" applyNumberFormat="1" applyFont="1" applyBorder="1" applyAlignment="1">
      <alignment wrapText="1"/>
    </xf>
    <xf numFmtId="3" fontId="21" fillId="0" borderId="43" xfId="46" applyNumberFormat="1" applyFont="1" applyBorder="1" applyAlignment="1">
      <alignment horizontal="right"/>
    </xf>
    <xf numFmtId="3" fontId="21" fillId="0" borderId="53" xfId="0" applyNumberFormat="1" applyFont="1" applyBorder="1" applyAlignment="1">
      <alignment horizontal="right" wrapText="1"/>
    </xf>
    <xf numFmtId="3" fontId="12" fillId="0" borderId="49" xfId="0" applyNumberFormat="1" applyFont="1" applyBorder="1" applyAlignment="1">
      <alignment horizontal="right" wrapText="1"/>
    </xf>
    <xf numFmtId="3" fontId="19" fillId="0" borderId="49" xfId="0" applyNumberFormat="1" applyFont="1" applyBorder="1" applyAlignment="1">
      <alignment horizontal="right" wrapText="1"/>
    </xf>
    <xf numFmtId="3" fontId="19" fillId="0" borderId="53" xfId="0" applyNumberFormat="1" applyFont="1" applyBorder="1" applyAlignment="1">
      <alignment horizontal="right" wrapText="1"/>
    </xf>
    <xf numFmtId="3" fontId="13" fillId="0" borderId="49" xfId="0" applyNumberFormat="1" applyFont="1" applyBorder="1" applyAlignment="1">
      <alignment horizontal="right" wrapText="1"/>
    </xf>
    <xf numFmtId="3" fontId="8" fillId="0" borderId="49" xfId="0" applyNumberFormat="1" applyFont="1" applyBorder="1" applyAlignment="1">
      <alignment horizontal="right" wrapText="1"/>
    </xf>
    <xf numFmtId="3" fontId="13" fillId="0" borderId="53" xfId="0" applyNumberFormat="1" applyFont="1" applyBorder="1" applyAlignment="1">
      <alignment horizontal="right" wrapText="1"/>
    </xf>
    <xf numFmtId="3" fontId="21" fillId="0" borderId="49" xfId="46" applyNumberFormat="1" applyFont="1" applyBorder="1" applyAlignment="1">
      <alignment horizontal="right" vertical="center"/>
    </xf>
    <xf numFmtId="3" fontId="25" fillId="0" borderId="49" xfId="0" applyNumberFormat="1" applyFont="1" applyBorder="1" applyAlignment="1">
      <alignment horizontal="right" vertical="center" wrapText="1"/>
    </xf>
    <xf numFmtId="3" fontId="25" fillId="0" borderId="53" xfId="0" applyNumberFormat="1" applyFont="1" applyBorder="1" applyAlignment="1">
      <alignment horizontal="right" vertical="center" wrapText="1"/>
    </xf>
    <xf numFmtId="3" fontId="5" fillId="0" borderId="61" xfId="46" applyNumberFormat="1" applyFont="1" applyBorder="1" applyAlignment="1">
      <alignment horizontal="center" vertical="center"/>
    </xf>
    <xf numFmtId="3" fontId="5" fillId="0" borderId="49" xfId="46" applyNumberFormat="1" applyFont="1" applyBorder="1" applyAlignment="1">
      <alignment horizontal="center" vertical="center"/>
    </xf>
    <xf numFmtId="3" fontId="5" fillId="0" borderId="111" xfId="46" applyNumberFormat="1" applyFont="1" applyBorder="1" applyAlignment="1">
      <alignment horizontal="center" vertical="center"/>
    </xf>
    <xf numFmtId="3" fontId="5" fillId="0" borderId="43" xfId="46" applyNumberFormat="1" applyFont="1" applyBorder="1" applyAlignment="1">
      <alignment horizontal="center" vertical="center"/>
    </xf>
    <xf numFmtId="3" fontId="21" fillId="0" borderId="48" xfId="46" applyNumberFormat="1" applyFont="1" applyBorder="1" applyAlignment="1">
      <alignment horizontal="center" vertical="center"/>
    </xf>
    <xf numFmtId="3" fontId="21" fillId="0" borderId="49" xfId="46" applyNumberFormat="1" applyFont="1" applyBorder="1" applyAlignment="1">
      <alignment horizontal="center"/>
    </xf>
    <xf numFmtId="3" fontId="21" fillId="0" borderId="55" xfId="46" applyNumberFormat="1" applyFont="1" applyBorder="1" applyAlignment="1">
      <alignment horizontal="right"/>
    </xf>
    <xf numFmtId="3" fontId="21" fillId="0" borderId="134" xfId="46" applyNumberFormat="1" applyFont="1" applyBorder="1" applyAlignment="1">
      <alignment horizontal="center"/>
    </xf>
    <xf numFmtId="3" fontId="31" fillId="0" borderId="0" xfId="46" applyNumberFormat="1" applyFont="1" applyAlignment="1">
      <alignment horizontal="center" vertical="center"/>
    </xf>
    <xf numFmtId="3" fontId="13" fillId="0" borderId="49" xfId="46" applyNumberFormat="1" applyFont="1" applyBorder="1" applyAlignment="1">
      <alignment wrapText="1"/>
    </xf>
    <xf numFmtId="3" fontId="13" fillId="0" borderId="49" xfId="46" applyNumberFormat="1" applyFont="1" applyBorder="1" applyAlignment="1">
      <alignment horizontal="right"/>
    </xf>
    <xf numFmtId="3" fontId="13" fillId="0" borderId="55" xfId="46" applyNumberFormat="1" applyFont="1" applyBorder="1" applyAlignment="1">
      <alignment horizontal="right"/>
    </xf>
    <xf numFmtId="3" fontId="26" fillId="0" borderId="43" xfId="46" applyNumberFormat="1" applyFont="1" applyBorder="1" applyAlignment="1">
      <alignment horizontal="left" vertical="top" wrapText="1" indent="4"/>
    </xf>
    <xf numFmtId="3" fontId="26" fillId="0" borderId="49" xfId="46" applyNumberFormat="1" applyFont="1" applyBorder="1" applyAlignment="1">
      <alignment horizontal="right"/>
    </xf>
    <xf numFmtId="3" fontId="26" fillId="0" borderId="49" xfId="0" applyNumberFormat="1" applyFont="1" applyBorder="1" applyAlignment="1">
      <alignment horizontal="right" wrapText="1"/>
    </xf>
    <xf numFmtId="3" fontId="13" fillId="0" borderId="43" xfId="46" applyNumberFormat="1" applyFont="1" applyBorder="1" applyAlignment="1">
      <alignment horizontal="left" vertical="top" wrapText="1" indent="4"/>
    </xf>
    <xf numFmtId="3" fontId="13" fillId="0" borderId="48" xfId="46" applyNumberFormat="1" applyFont="1" applyBorder="1" applyAlignment="1">
      <alignment horizontal="center" vertical="center"/>
    </xf>
    <xf numFmtId="3" fontId="13" fillId="0" borderId="134" xfId="46" applyNumberFormat="1" applyFont="1" applyBorder="1" applyAlignment="1">
      <alignment horizontal="center"/>
    </xf>
    <xf numFmtId="3" fontId="22" fillId="0" borderId="49" xfId="46" applyNumberFormat="1" applyFont="1" applyBorder="1" applyAlignment="1">
      <alignment horizontal="right"/>
    </xf>
    <xf numFmtId="3" fontId="26" fillId="0" borderId="53" xfId="0" applyNumberFormat="1" applyFont="1" applyBorder="1" applyAlignment="1">
      <alignment horizontal="right" wrapText="1"/>
    </xf>
    <xf numFmtId="3" fontId="9" fillId="0" borderId="0" xfId="46" applyNumberFormat="1" applyFont="1" applyAlignment="1">
      <alignment horizontal="center" vertical="center"/>
    </xf>
    <xf numFmtId="3" fontId="22" fillId="0" borderId="49" xfId="46" applyNumberFormat="1" applyFont="1" applyBorder="1" applyAlignment="1">
      <alignment horizontal="right" vertical="center"/>
    </xf>
    <xf numFmtId="3" fontId="26" fillId="0" borderId="49" xfId="0" applyNumberFormat="1" applyFont="1" applyBorder="1" applyAlignment="1">
      <alignment horizontal="right" vertical="center" wrapText="1"/>
    </xf>
    <xf numFmtId="3" fontId="26" fillId="0" borderId="53" xfId="0" applyNumberFormat="1" applyFont="1" applyBorder="1" applyAlignment="1">
      <alignment horizontal="right" vertical="center" wrapText="1"/>
    </xf>
    <xf numFmtId="3" fontId="13" fillId="0" borderId="49" xfId="0" applyNumberFormat="1" applyFont="1" applyBorder="1" applyAlignment="1">
      <alignment horizontal="right" vertical="center" wrapText="1"/>
    </xf>
    <xf numFmtId="3" fontId="13" fillId="0" borderId="53" xfId="0" applyNumberFormat="1" applyFont="1" applyBorder="1" applyAlignment="1">
      <alignment horizontal="right" vertical="center" wrapText="1"/>
    </xf>
    <xf numFmtId="3" fontId="5" fillId="0" borderId="52" xfId="46" applyNumberFormat="1" applyFont="1" applyBorder="1" applyAlignment="1">
      <alignment horizontal="center" vertical="center"/>
    </xf>
    <xf numFmtId="3" fontId="13" fillId="0" borderId="49" xfId="46" applyNumberFormat="1" applyFont="1" applyBorder="1" applyAlignment="1">
      <alignment vertical="center" wrapText="1"/>
    </xf>
    <xf numFmtId="3" fontId="22" fillId="0" borderId="43" xfId="46" applyNumberFormat="1" applyFont="1" applyBorder="1" applyAlignment="1">
      <alignment horizontal="left" vertical="top" wrapText="1" indent="4"/>
    </xf>
    <xf numFmtId="3" fontId="13" fillId="0" borderId="51" xfId="46" applyNumberFormat="1" applyFont="1" applyBorder="1" applyAlignment="1">
      <alignment horizontal="right"/>
    </xf>
    <xf numFmtId="3" fontId="22" fillId="0" borderId="48" xfId="46" applyNumberFormat="1" applyFont="1" applyBorder="1" applyAlignment="1">
      <alignment horizontal="center" vertical="center"/>
    </xf>
    <xf numFmtId="3" fontId="22" fillId="0" borderId="55" xfId="46" applyNumberFormat="1" applyFont="1" applyBorder="1" applyAlignment="1">
      <alignment horizontal="right"/>
    </xf>
    <xf numFmtId="3" fontId="22" fillId="0" borderId="49" xfId="0" applyNumberFormat="1" applyFont="1" applyBorder="1" applyAlignment="1">
      <alignment horizontal="right" wrapText="1"/>
    </xf>
    <xf numFmtId="3" fontId="32" fillId="0" borderId="0" xfId="46" applyNumberFormat="1" applyFont="1" applyAlignment="1">
      <alignment horizontal="center" vertical="center"/>
    </xf>
    <xf numFmtId="3" fontId="22" fillId="0" borderId="134" xfId="46" applyNumberFormat="1" applyFont="1" applyBorder="1" applyAlignment="1">
      <alignment horizontal="center"/>
    </xf>
    <xf numFmtId="3" fontId="32" fillId="0" borderId="61" xfId="46" applyNumberFormat="1" applyFont="1" applyBorder="1" applyAlignment="1">
      <alignment horizontal="center" vertical="center"/>
    </xf>
    <xf numFmtId="3" fontId="32" fillId="0" borderId="49" xfId="46" applyNumberFormat="1" applyFont="1" applyBorder="1" applyAlignment="1">
      <alignment horizontal="center" vertical="center"/>
    </xf>
    <xf numFmtId="3" fontId="32" fillId="0" borderId="111" xfId="46" applyNumberFormat="1" applyFont="1" applyBorder="1" applyAlignment="1">
      <alignment horizontal="center" vertical="center"/>
    </xf>
    <xf numFmtId="3" fontId="32" fillId="0" borderId="43" xfId="46" applyNumberFormat="1" applyFont="1" applyBorder="1" applyAlignment="1">
      <alignment horizontal="center" vertical="center"/>
    </xf>
    <xf numFmtId="3" fontId="21" fillId="0" borderId="49" xfId="0" applyNumberFormat="1" applyFont="1" applyBorder="1" applyAlignment="1">
      <alignment horizontal="right" vertical="center" wrapText="1"/>
    </xf>
    <xf numFmtId="3" fontId="21" fillId="0" borderId="53" xfId="0" applyNumberFormat="1" applyFont="1" applyBorder="1" applyAlignment="1">
      <alignment horizontal="right" vertical="center" wrapText="1"/>
    </xf>
    <xf numFmtId="3" fontId="19" fillId="0" borderId="49" xfId="0" applyNumberFormat="1" applyFont="1" applyBorder="1" applyAlignment="1">
      <alignment horizontal="right" vertical="center" wrapText="1"/>
    </xf>
    <xf numFmtId="3" fontId="19" fillId="0" borderId="53" xfId="0" applyNumberFormat="1" applyFont="1" applyBorder="1" applyAlignment="1">
      <alignment horizontal="right" vertical="center" wrapText="1"/>
    </xf>
    <xf numFmtId="3" fontId="13" fillId="0" borderId="49" xfId="46" applyNumberFormat="1" applyFont="1" applyBorder="1" applyAlignment="1">
      <alignment horizontal="left" wrapText="1"/>
    </xf>
    <xf numFmtId="3" fontId="13" fillId="0" borderId="49" xfId="46" applyNumberFormat="1" applyFont="1" applyBorder="1" applyAlignment="1">
      <alignment horizontal="left" wrapText="1" indent="3"/>
    </xf>
    <xf numFmtId="3" fontId="12" fillId="0" borderId="42" xfId="46" applyNumberFormat="1" applyFont="1" applyBorder="1" applyAlignment="1">
      <alignment horizontal="center" vertical="center"/>
    </xf>
    <xf numFmtId="3" fontId="21" fillId="0" borderId="47" xfId="0" applyNumberFormat="1" applyFont="1" applyBorder="1" applyAlignment="1">
      <alignment horizontal="right" wrapText="1"/>
    </xf>
    <xf numFmtId="3" fontId="19" fillId="0" borderId="47" xfId="0" applyNumberFormat="1" applyFont="1" applyBorder="1" applyAlignment="1">
      <alignment horizontal="right" wrapText="1"/>
    </xf>
    <xf numFmtId="3" fontId="8" fillId="0" borderId="42" xfId="46" applyNumberFormat="1" applyFont="1" applyBorder="1" applyAlignment="1">
      <alignment horizontal="center"/>
    </xf>
    <xf numFmtId="3" fontId="7" fillId="0" borderId="0" xfId="46" applyNumberFormat="1" applyFont="1" applyAlignment="1">
      <alignment horizontal="center" vertical="center"/>
    </xf>
    <xf numFmtId="3" fontId="7" fillId="0" borderId="0" xfId="46" applyNumberFormat="1" applyFont="1" applyAlignment="1">
      <alignment horizontal="center"/>
    </xf>
    <xf numFmtId="3" fontId="13" fillId="0" borderId="43" xfId="46" applyNumberFormat="1" applyFont="1" applyBorder="1" applyAlignment="1">
      <alignment horizontal="right"/>
    </xf>
    <xf numFmtId="3" fontId="13" fillId="0" borderId="54" xfId="46" applyNumberFormat="1" applyFont="1" applyBorder="1" applyAlignment="1">
      <alignment horizontal="right"/>
    </xf>
    <xf numFmtId="3" fontId="19" fillId="0" borderId="48" xfId="46" applyNumberFormat="1" applyFont="1" applyBorder="1" applyAlignment="1">
      <alignment horizontal="center"/>
    </xf>
    <xf numFmtId="3" fontId="13" fillId="0" borderId="0" xfId="46" applyNumberFormat="1" applyFont="1" applyAlignment="1">
      <alignment horizontal="center" vertical="center"/>
    </xf>
    <xf numFmtId="3" fontId="12" fillId="0" borderId="0" xfId="46" applyNumberFormat="1" applyFont="1" applyAlignment="1">
      <alignment horizontal="center" vertical="center"/>
    </xf>
    <xf numFmtId="3" fontId="22" fillId="0" borderId="0" xfId="46" applyNumberFormat="1" applyFont="1" applyAlignment="1">
      <alignment horizontal="center" vertical="center"/>
    </xf>
    <xf numFmtId="3" fontId="21" fillId="0" borderId="0" xfId="46" applyNumberFormat="1" applyFont="1" applyAlignment="1">
      <alignment horizontal="center" vertical="center"/>
    </xf>
    <xf numFmtId="3" fontId="26" fillId="0" borderId="49" xfId="46" applyNumberFormat="1" applyFont="1" applyBorder="1" applyAlignment="1">
      <alignment horizontal="right" vertical="center"/>
    </xf>
    <xf numFmtId="3" fontId="8" fillId="0" borderId="48" xfId="46" applyNumberFormat="1" applyFont="1" applyBorder="1" applyAlignment="1">
      <alignment horizontal="center" vertical="center"/>
    </xf>
    <xf numFmtId="3" fontId="21" fillId="0" borderId="133" xfId="46" applyNumberFormat="1" applyFont="1" applyBorder="1" applyAlignment="1">
      <alignment horizontal="center"/>
    </xf>
    <xf numFmtId="3" fontId="19" fillId="0" borderId="48" xfId="46" applyNumberFormat="1" applyFont="1" applyBorder="1" applyAlignment="1">
      <alignment horizontal="center" vertical="center"/>
    </xf>
    <xf numFmtId="3" fontId="22" fillId="0" borderId="53" xfId="0" applyNumberFormat="1" applyFont="1" applyBorder="1" applyAlignment="1">
      <alignment horizontal="right" wrapText="1"/>
    </xf>
    <xf numFmtId="3" fontId="21" fillId="0" borderId="42" xfId="46" applyNumberFormat="1" applyFont="1" applyBorder="1" applyAlignment="1">
      <alignment horizontal="center" vertical="center"/>
    </xf>
    <xf numFmtId="3" fontId="21" fillId="0" borderId="54" xfId="46" applyNumberFormat="1" applyFont="1" applyBorder="1" applyAlignment="1">
      <alignment horizontal="right"/>
    </xf>
    <xf numFmtId="3" fontId="21" fillId="0" borderId="43" xfId="0" applyNumberFormat="1" applyFont="1" applyBorder="1" applyAlignment="1">
      <alignment horizontal="right" wrapText="1"/>
    </xf>
    <xf numFmtId="3" fontId="12" fillId="0" borderId="49" xfId="46" applyNumberFormat="1" applyFont="1" applyBorder="1" applyAlignment="1">
      <alignment horizontal="center" vertical="top"/>
    </xf>
    <xf numFmtId="3" fontId="12" fillId="0" borderId="49" xfId="0" applyNumberFormat="1" applyFont="1" applyBorder="1" applyAlignment="1">
      <alignment horizontal="right" vertical="center" wrapText="1"/>
    </xf>
    <xf numFmtId="3" fontId="12" fillId="0" borderId="49" xfId="46" applyNumberFormat="1" applyFont="1" applyBorder="1"/>
    <xf numFmtId="3" fontId="12" fillId="0" borderId="55" xfId="46" applyNumberFormat="1" applyFont="1" applyBorder="1"/>
    <xf numFmtId="3" fontId="13" fillId="0" borderId="49" xfId="46" applyNumberFormat="1" applyFont="1" applyBorder="1" applyAlignment="1">
      <alignment horizontal="left" wrapText="1" indent="2"/>
    </xf>
    <xf numFmtId="3" fontId="21" fillId="0" borderId="43" xfId="46" applyNumberFormat="1" applyFont="1" applyBorder="1" applyAlignment="1">
      <alignment horizontal="left" wrapText="1" indent="2"/>
    </xf>
    <xf numFmtId="3" fontId="8" fillId="0" borderId="43" xfId="46" applyNumberFormat="1" applyFont="1" applyBorder="1" applyAlignment="1">
      <alignment horizontal="left" vertical="top" wrapText="1" indent="2"/>
    </xf>
    <xf numFmtId="3" fontId="13" fillId="0" borderId="43" xfId="46" applyNumberFormat="1" applyFont="1" applyBorder="1" applyAlignment="1">
      <alignment horizontal="left" vertical="top" wrapText="1" indent="2"/>
    </xf>
    <xf numFmtId="3" fontId="27" fillId="0" borderId="49" xfId="46" applyNumberFormat="1" applyFont="1" applyBorder="1" applyAlignment="1">
      <alignment wrapText="1"/>
    </xf>
    <xf numFmtId="3" fontId="19" fillId="0" borderId="49" xfId="46" applyNumberFormat="1" applyFont="1" applyBorder="1" applyAlignment="1">
      <alignment horizontal="left" wrapText="1"/>
    </xf>
    <xf numFmtId="3" fontId="12" fillId="0" borderId="48" xfId="46" applyNumberFormat="1" applyFont="1" applyBorder="1" applyAlignment="1">
      <alignment horizontal="center" vertical="top"/>
    </xf>
    <xf numFmtId="3" fontId="22" fillId="0" borderId="43" xfId="46" applyNumberFormat="1" applyFont="1" applyBorder="1" applyAlignment="1">
      <alignment horizontal="left" wrapText="1" indent="4"/>
    </xf>
    <xf numFmtId="3" fontId="8" fillId="0" borderId="49" xfId="46" applyNumberFormat="1" applyFont="1" applyBorder="1" applyAlignment="1">
      <alignment horizontal="right"/>
    </xf>
    <xf numFmtId="3" fontId="8" fillId="0" borderId="53" xfId="0" applyNumberFormat="1" applyFont="1" applyBorder="1" applyAlignment="1">
      <alignment horizontal="right" wrapText="1"/>
    </xf>
    <xf numFmtId="49" fontId="13" fillId="0" borderId="49" xfId="46" applyNumberFormat="1" applyFont="1" applyBorder="1" applyAlignment="1">
      <alignment horizontal="left" vertical="center" wrapText="1" indent="4"/>
    </xf>
    <xf numFmtId="3" fontId="22" fillId="0" borderId="42" xfId="46" applyNumberFormat="1" applyFont="1" applyBorder="1" applyAlignment="1">
      <alignment horizontal="center" vertical="center"/>
    </xf>
    <xf numFmtId="3" fontId="22" fillId="0" borderId="43" xfId="46" applyNumberFormat="1" applyFont="1" applyBorder="1" applyAlignment="1">
      <alignment horizontal="right"/>
    </xf>
    <xf numFmtId="3" fontId="22" fillId="0" borderId="54" xfId="46" applyNumberFormat="1" applyFont="1" applyBorder="1" applyAlignment="1">
      <alignment horizontal="right"/>
    </xf>
    <xf numFmtId="3" fontId="22" fillId="0" borderId="133" xfId="46" applyNumberFormat="1" applyFont="1" applyBorder="1" applyAlignment="1">
      <alignment horizontal="center"/>
    </xf>
    <xf numFmtId="3" fontId="8" fillId="0" borderId="43" xfId="0" applyNumberFormat="1" applyFont="1" applyBorder="1" applyAlignment="1">
      <alignment horizontal="right" wrapText="1"/>
    </xf>
    <xf numFmtId="3" fontId="8" fillId="0" borderId="47" xfId="0" applyNumberFormat="1" applyFont="1" applyBorder="1" applyAlignment="1">
      <alignment horizontal="right" wrapText="1"/>
    </xf>
    <xf numFmtId="3" fontId="22" fillId="0" borderId="43" xfId="0" applyNumberFormat="1" applyFont="1" applyBorder="1" applyAlignment="1">
      <alignment horizontal="right" wrapText="1"/>
    </xf>
    <xf numFmtId="3" fontId="22" fillId="0" borderId="47" xfId="0" applyNumberFormat="1" applyFont="1" applyBorder="1" applyAlignment="1">
      <alignment horizontal="right" wrapText="1"/>
    </xf>
    <xf numFmtId="3" fontId="13" fillId="0" borderId="42" xfId="46" applyNumberFormat="1" applyFont="1" applyBorder="1" applyAlignment="1">
      <alignment horizontal="center"/>
    </xf>
    <xf numFmtId="3" fontId="12" fillId="0" borderId="49" xfId="46" applyNumberFormat="1" applyFont="1" applyBorder="1" applyAlignment="1">
      <alignment wrapText="1"/>
    </xf>
    <xf numFmtId="3" fontId="26" fillId="0" borderId="43" xfId="0" applyNumberFormat="1" applyFont="1" applyBorder="1" applyAlignment="1">
      <alignment horizontal="right" wrapText="1"/>
    </xf>
    <xf numFmtId="3" fontId="26" fillId="0" borderId="47" xfId="0" applyNumberFormat="1" applyFont="1" applyBorder="1" applyAlignment="1">
      <alignment horizontal="right" wrapText="1"/>
    </xf>
    <xf numFmtId="3" fontId="9" fillId="0" borderId="0" xfId="46" applyNumberFormat="1" applyFont="1" applyAlignment="1">
      <alignment horizontal="center"/>
    </xf>
    <xf numFmtId="3" fontId="13" fillId="0" borderId="92" xfId="46" applyNumberFormat="1" applyFont="1" applyBorder="1" applyAlignment="1">
      <alignment horizontal="center" vertical="center"/>
    </xf>
    <xf numFmtId="3" fontId="12" fillId="0" borderId="55" xfId="46" applyNumberFormat="1" applyFont="1" applyBorder="1" applyAlignment="1">
      <alignment horizontal="center"/>
    </xf>
    <xf numFmtId="3" fontId="12" fillId="0" borderId="50" xfId="46" applyNumberFormat="1" applyFont="1" applyBorder="1" applyAlignment="1">
      <alignment horizontal="right"/>
    </xf>
    <xf numFmtId="3" fontId="13" fillId="0" borderId="52" xfId="46" applyNumberFormat="1" applyFont="1" applyBorder="1" applyAlignment="1">
      <alignment horizontal="right"/>
    </xf>
    <xf numFmtId="3" fontId="12" fillId="0" borderId="44" xfId="46" applyNumberFormat="1" applyFont="1" applyBorder="1" applyAlignment="1">
      <alignment horizontal="center"/>
    </xf>
    <xf numFmtId="3" fontId="22" fillId="0" borderId="71" xfId="0" applyNumberFormat="1" applyFont="1" applyBorder="1" applyAlignment="1">
      <alignment horizontal="right" wrapText="1"/>
    </xf>
    <xf numFmtId="3" fontId="12" fillId="0" borderId="50" xfId="46" applyNumberFormat="1" applyFont="1" applyBorder="1" applyAlignment="1">
      <alignment horizontal="center"/>
    </xf>
    <xf numFmtId="3" fontId="13" fillId="0" borderId="109" xfId="46" applyNumberFormat="1" applyFont="1" applyBorder="1" applyAlignment="1">
      <alignment horizontal="center" vertical="center"/>
    </xf>
    <xf numFmtId="0" fontId="19" fillId="0" borderId="43" xfId="47" applyFont="1" applyBorder="1" applyAlignment="1">
      <alignment horizontal="left"/>
    </xf>
    <xf numFmtId="3" fontId="12" fillId="0" borderId="44" xfId="46" applyNumberFormat="1" applyFont="1" applyBorder="1" applyAlignment="1">
      <alignment horizontal="right"/>
    </xf>
    <xf numFmtId="3" fontId="13" fillId="0" borderId="46" xfId="46" applyNumberFormat="1" applyFont="1" applyBorder="1" applyAlignment="1">
      <alignment horizontal="right"/>
    </xf>
    <xf numFmtId="3" fontId="22" fillId="0" borderId="135" xfId="0" applyNumberFormat="1" applyFont="1" applyBorder="1" applyAlignment="1">
      <alignment horizontal="right" wrapText="1"/>
    </xf>
    <xf numFmtId="0" fontId="13" fillId="0" borderId="49" xfId="47" applyFont="1" applyBorder="1" applyAlignment="1">
      <alignment horizontal="left"/>
    </xf>
    <xf numFmtId="3" fontId="12" fillId="0" borderId="43" xfId="46" applyNumberFormat="1" applyFont="1" applyBorder="1" applyAlignment="1">
      <alignment wrapText="1"/>
    </xf>
    <xf numFmtId="3" fontId="12" fillId="0" borderId="46" xfId="46" applyNumberFormat="1" applyFont="1" applyBorder="1" applyAlignment="1">
      <alignment horizontal="right"/>
    </xf>
    <xf numFmtId="3" fontId="21" fillId="0" borderId="44" xfId="46" applyNumberFormat="1" applyFont="1" applyBorder="1" applyAlignment="1">
      <alignment horizontal="center"/>
    </xf>
    <xf numFmtId="3" fontId="31" fillId="0" borderId="0" xfId="46" applyNumberFormat="1" applyFont="1" applyAlignment="1">
      <alignment horizontal="center"/>
    </xf>
    <xf numFmtId="3" fontId="21" fillId="0" borderId="46" xfId="46" applyNumberFormat="1" applyFont="1" applyBorder="1" applyAlignment="1">
      <alignment horizontal="right"/>
    </xf>
    <xf numFmtId="3" fontId="12" fillId="0" borderId="52" xfId="46" applyNumberFormat="1" applyFont="1" applyBorder="1" applyAlignment="1">
      <alignment horizontal="right"/>
    </xf>
    <xf numFmtId="3" fontId="5" fillId="0" borderId="48" xfId="46" applyNumberFormat="1" applyFont="1" applyBorder="1" applyAlignment="1">
      <alignment horizontal="center"/>
    </xf>
    <xf numFmtId="3" fontId="5" fillId="0" borderId="50" xfId="46" applyNumberFormat="1" applyFont="1" applyBorder="1" applyAlignment="1">
      <alignment horizontal="center"/>
    </xf>
    <xf numFmtId="3" fontId="31" fillId="0" borderId="49" xfId="46" applyNumberFormat="1" applyFont="1" applyBorder="1"/>
    <xf numFmtId="3" fontId="33" fillId="0" borderId="49" xfId="46" applyNumberFormat="1" applyFont="1" applyBorder="1"/>
    <xf numFmtId="3" fontId="33" fillId="0" borderId="53" xfId="46" applyNumberFormat="1" applyFont="1" applyBorder="1"/>
    <xf numFmtId="3" fontId="21" fillId="0" borderId="49" xfId="46" applyNumberFormat="1" applyFont="1" applyBorder="1"/>
    <xf numFmtId="3" fontId="31" fillId="0" borderId="53" xfId="46" applyNumberFormat="1" applyFont="1" applyBorder="1"/>
    <xf numFmtId="3" fontId="5" fillId="0" borderId="49" xfId="46" applyNumberFormat="1" applyFont="1" applyBorder="1"/>
    <xf numFmtId="3" fontId="19" fillId="0" borderId="49" xfId="46" applyNumberFormat="1" applyFont="1" applyBorder="1"/>
    <xf numFmtId="3" fontId="13" fillId="0" borderId="49" xfId="46" applyNumberFormat="1" applyFont="1" applyBorder="1"/>
    <xf numFmtId="3" fontId="12" fillId="0" borderId="49" xfId="46" applyNumberFormat="1" applyFont="1" applyBorder="1" applyAlignment="1">
      <alignment shrinkToFit="1"/>
    </xf>
    <xf numFmtId="3" fontId="12" fillId="0" borderId="92" xfId="46" applyNumberFormat="1" applyFont="1" applyBorder="1" applyAlignment="1">
      <alignment horizontal="center" vertical="center"/>
    </xf>
    <xf numFmtId="3" fontId="8" fillId="0" borderId="109" xfId="46" applyNumberFormat="1" applyFont="1" applyBorder="1" applyAlignment="1">
      <alignment horizontal="center"/>
    </xf>
    <xf numFmtId="3" fontId="12" fillId="0" borderId="92" xfId="46" applyNumberFormat="1" applyFont="1" applyBorder="1" applyAlignment="1">
      <alignment horizontal="center"/>
    </xf>
    <xf numFmtId="3" fontId="6" fillId="0" borderId="49" xfId="46" applyNumberFormat="1" applyFont="1" applyBorder="1" applyAlignment="1">
      <alignment shrinkToFit="1"/>
    </xf>
    <xf numFmtId="3" fontId="12" fillId="0" borderId="109" xfId="46" applyNumberFormat="1" applyFont="1" applyBorder="1" applyAlignment="1">
      <alignment horizontal="center"/>
    </xf>
    <xf numFmtId="3" fontId="19" fillId="0" borderId="135" xfId="0" applyNumberFormat="1" applyFont="1" applyBorder="1" applyAlignment="1">
      <alignment horizontal="right" wrapText="1"/>
    </xf>
    <xf numFmtId="3" fontId="12" fillId="0" borderId="61" xfId="46" applyNumberFormat="1" applyFont="1" applyBorder="1" applyAlignment="1">
      <alignment wrapText="1"/>
    </xf>
    <xf numFmtId="3" fontId="21" fillId="0" borderId="54" xfId="46" applyNumberFormat="1" applyFont="1" applyBorder="1" applyAlignment="1">
      <alignment wrapText="1"/>
    </xf>
    <xf numFmtId="3" fontId="21" fillId="0" borderId="71" xfId="0" applyNumberFormat="1" applyFont="1" applyBorder="1" applyAlignment="1">
      <alignment horizontal="right" wrapText="1"/>
    </xf>
    <xf numFmtId="3" fontId="19" fillId="0" borderId="71" xfId="0" applyNumberFormat="1" applyFont="1" applyBorder="1" applyAlignment="1">
      <alignment horizontal="right" wrapText="1"/>
    </xf>
    <xf numFmtId="3" fontId="13" fillId="0" borderId="71" xfId="0" applyNumberFormat="1" applyFont="1" applyBorder="1" applyAlignment="1">
      <alignment horizontal="right" wrapText="1"/>
    </xf>
    <xf numFmtId="3" fontId="19" fillId="0" borderId="55" xfId="46" applyNumberFormat="1" applyFont="1" applyBorder="1" applyAlignment="1">
      <alignment wrapText="1"/>
    </xf>
    <xf numFmtId="3" fontId="26" fillId="0" borderId="51" xfId="0" applyNumberFormat="1" applyFont="1" applyBorder="1" applyAlignment="1">
      <alignment horizontal="right" wrapText="1"/>
    </xf>
    <xf numFmtId="3" fontId="19" fillId="0" borderId="72" xfId="46" applyNumberFormat="1" applyFont="1" applyBorder="1" applyAlignment="1">
      <alignment wrapText="1"/>
    </xf>
    <xf numFmtId="3" fontId="12" fillId="0" borderId="50" xfId="46" applyNumberFormat="1" applyFont="1" applyBorder="1" applyAlignment="1">
      <alignment horizontal="center" vertical="top"/>
    </xf>
    <xf numFmtId="3" fontId="21" fillId="0" borderId="55" xfId="46" applyNumberFormat="1" applyFont="1" applyBorder="1" applyAlignment="1">
      <alignment wrapText="1"/>
    </xf>
    <xf numFmtId="0" fontId="19" fillId="0" borderId="55" xfId="47" applyFont="1" applyBorder="1" applyAlignment="1">
      <alignment horizontal="left"/>
    </xf>
    <xf numFmtId="3" fontId="13" fillId="0" borderId="91" xfId="46" applyNumberFormat="1" applyFont="1" applyBorder="1" applyAlignment="1">
      <alignment horizontal="center" vertical="center"/>
    </xf>
    <xf numFmtId="3" fontId="12" fillId="0" borderId="61" xfId="46" applyNumberFormat="1" applyFont="1" applyBorder="1" applyAlignment="1">
      <alignment horizontal="center"/>
    </xf>
    <xf numFmtId="3" fontId="21" fillId="0" borderId="72" xfId="46" applyNumberFormat="1" applyFont="1" applyBorder="1" applyAlignment="1">
      <alignment wrapText="1"/>
    </xf>
    <xf numFmtId="3" fontId="13" fillId="0" borderId="61" xfId="46" applyNumberFormat="1" applyFont="1" applyBorder="1" applyAlignment="1">
      <alignment horizontal="right"/>
    </xf>
    <xf numFmtId="3" fontId="13" fillId="0" borderId="63" xfId="46" applyNumberFormat="1" applyFont="1" applyBorder="1" applyAlignment="1">
      <alignment horizontal="right"/>
    </xf>
    <xf numFmtId="3" fontId="12" fillId="0" borderId="62" xfId="46" applyNumberFormat="1" applyFont="1" applyBorder="1" applyAlignment="1">
      <alignment horizontal="center"/>
    </xf>
    <xf numFmtId="3" fontId="21" fillId="0" borderId="61" xfId="46" applyNumberFormat="1" applyFont="1" applyBorder="1" applyAlignment="1">
      <alignment horizontal="right"/>
    </xf>
    <xf numFmtId="3" fontId="26" fillId="0" borderId="64" xfId="0" applyNumberFormat="1" applyFont="1" applyBorder="1" applyAlignment="1">
      <alignment horizontal="right" wrapText="1"/>
    </xf>
    <xf numFmtId="3" fontId="21" fillId="0" borderId="64" xfId="0" applyNumberFormat="1" applyFont="1" applyBorder="1" applyAlignment="1">
      <alignment horizontal="right" wrapText="1"/>
    </xf>
    <xf numFmtId="3" fontId="21" fillId="0" borderId="136" xfId="0" applyNumberFormat="1" applyFont="1" applyBorder="1" applyAlignment="1">
      <alignment horizontal="right" wrapText="1"/>
    </xf>
    <xf numFmtId="3" fontId="19" fillId="0" borderId="61" xfId="46" applyNumberFormat="1" applyFont="1" applyBorder="1" applyAlignment="1">
      <alignment horizontal="right"/>
    </xf>
    <xf numFmtId="3" fontId="13" fillId="0" borderId="64" xfId="0" applyNumberFormat="1" applyFont="1" applyBorder="1" applyAlignment="1">
      <alignment horizontal="right" wrapText="1"/>
    </xf>
    <xf numFmtId="3" fontId="19" fillId="0" borderId="64" xfId="0" applyNumberFormat="1" applyFont="1" applyBorder="1" applyAlignment="1">
      <alignment horizontal="right" wrapText="1"/>
    </xf>
    <xf numFmtId="3" fontId="19" fillId="0" borderId="136" xfId="0" applyNumberFormat="1" applyFont="1" applyBorder="1" applyAlignment="1">
      <alignment horizontal="right" wrapText="1"/>
    </xf>
    <xf numFmtId="0" fontId="19" fillId="0" borderId="61" xfId="47" applyFont="1" applyBorder="1" applyAlignment="1">
      <alignment horizontal="left"/>
    </xf>
    <xf numFmtId="3" fontId="12" fillId="0" borderId="61" xfId="46" applyNumberFormat="1" applyFont="1" applyBorder="1" applyAlignment="1">
      <alignment horizontal="right"/>
    </xf>
    <xf numFmtId="3" fontId="26" fillId="0" borderId="61" xfId="0" applyNumberFormat="1" applyFont="1" applyBorder="1" applyAlignment="1">
      <alignment horizontal="right" wrapText="1"/>
    </xf>
    <xf numFmtId="3" fontId="19" fillId="0" borderId="61" xfId="0" applyNumberFormat="1" applyFont="1" applyBorder="1" applyAlignment="1">
      <alignment horizontal="right" wrapText="1"/>
    </xf>
    <xf numFmtId="3" fontId="19" fillId="0" borderId="65" xfId="0" applyNumberFormat="1" applyFont="1" applyBorder="1" applyAlignment="1">
      <alignment horizontal="right" wrapText="1"/>
    </xf>
    <xf numFmtId="3" fontId="13" fillId="0" borderId="136" xfId="0" applyNumberFormat="1" applyFont="1" applyBorder="1" applyAlignment="1">
      <alignment horizontal="right" wrapText="1"/>
    </xf>
    <xf numFmtId="3" fontId="13" fillId="0" borderId="111" xfId="46" applyNumberFormat="1" applyFont="1" applyBorder="1" applyAlignment="1">
      <alignment horizontal="right"/>
    </xf>
    <xf numFmtId="3" fontId="19" fillId="0" borderId="51" xfId="0" applyNumberFormat="1" applyFont="1" applyBorder="1" applyAlignment="1">
      <alignment horizontal="right" wrapText="1"/>
    </xf>
    <xf numFmtId="3" fontId="13" fillId="0" borderId="51" xfId="0" applyNumberFormat="1" applyFont="1" applyBorder="1" applyAlignment="1">
      <alignment horizontal="right" wrapText="1"/>
    </xf>
    <xf numFmtId="0" fontId="19" fillId="0" borderId="72" xfId="47" applyFont="1" applyBorder="1" applyAlignment="1">
      <alignment horizontal="left"/>
    </xf>
    <xf numFmtId="3" fontId="13" fillId="0" borderId="110" xfId="46" applyNumberFormat="1" applyFont="1" applyBorder="1" applyAlignment="1">
      <alignment horizontal="right"/>
    </xf>
    <xf numFmtId="3" fontId="13" fillId="0" borderId="137" xfId="46" applyNumberFormat="1" applyFont="1" applyBorder="1" applyAlignment="1">
      <alignment horizontal="center" vertical="center"/>
    </xf>
    <xf numFmtId="3" fontId="12" fillId="0" borderId="80" xfId="46" applyNumberFormat="1" applyFont="1" applyBorder="1" applyAlignment="1">
      <alignment horizontal="center"/>
    </xf>
    <xf numFmtId="3" fontId="12" fillId="0" borderId="80" xfId="46" applyNumberFormat="1" applyFont="1" applyBorder="1" applyAlignment="1">
      <alignment horizontal="right"/>
    </xf>
    <xf numFmtId="3" fontId="13" fillId="0" borderId="80" xfId="46" applyNumberFormat="1" applyFont="1" applyBorder="1" applyAlignment="1">
      <alignment horizontal="right"/>
    </xf>
    <xf numFmtId="3" fontId="13" fillId="0" borderId="138" xfId="46" applyNumberFormat="1" applyFont="1" applyBorder="1" applyAlignment="1">
      <alignment horizontal="right"/>
    </xf>
    <xf numFmtId="3" fontId="12" fillId="0" borderId="139" xfId="46" applyNumberFormat="1" applyFont="1" applyBorder="1" applyAlignment="1">
      <alignment horizontal="center"/>
    </xf>
    <xf numFmtId="3" fontId="26" fillId="0" borderId="127" xfId="0" applyNumberFormat="1" applyFont="1" applyBorder="1" applyAlignment="1">
      <alignment horizontal="right" wrapText="1"/>
    </xf>
    <xf numFmtId="3" fontId="19" fillId="0" borderId="127" xfId="0" applyNumberFormat="1" applyFont="1" applyBorder="1" applyAlignment="1">
      <alignment horizontal="right" wrapText="1"/>
    </xf>
    <xf numFmtId="3" fontId="19" fillId="0" borderId="140" xfId="0" applyNumberFormat="1" applyFont="1" applyBorder="1" applyAlignment="1">
      <alignment horizontal="right" wrapText="1"/>
    </xf>
    <xf numFmtId="3" fontId="13" fillId="0" borderId="17" xfId="46" applyNumberFormat="1" applyFont="1" applyBorder="1" applyAlignment="1">
      <alignment horizontal="center" vertical="center"/>
    </xf>
    <xf numFmtId="3" fontId="26" fillId="0" borderId="106" xfId="0" applyNumberFormat="1" applyFont="1" applyBorder="1" applyAlignment="1">
      <alignment horizontal="right" wrapText="1"/>
    </xf>
    <xf numFmtId="3" fontId="21" fillId="0" borderId="106" xfId="0" applyNumberFormat="1" applyFont="1" applyBorder="1" applyAlignment="1">
      <alignment horizontal="right" wrapText="1"/>
    </xf>
    <xf numFmtId="3" fontId="21" fillId="0" borderId="19" xfId="0" applyNumberFormat="1" applyFont="1" applyBorder="1" applyAlignment="1">
      <alignment horizontal="right" wrapText="1"/>
    </xf>
    <xf numFmtId="3" fontId="19" fillId="0" borderId="90" xfId="46" applyNumberFormat="1" applyFont="1" applyBorder="1" applyAlignment="1">
      <alignment horizontal="center" vertical="center"/>
    </xf>
    <xf numFmtId="3" fontId="12" fillId="0" borderId="61" xfId="46" applyNumberFormat="1" applyFont="1" applyBorder="1" applyAlignment="1">
      <alignment horizontal="center" wrapText="1"/>
    </xf>
    <xf numFmtId="3" fontId="21" fillId="0" borderId="62" xfId="46" applyNumberFormat="1" applyFont="1" applyBorder="1" applyAlignment="1">
      <alignment wrapText="1"/>
    </xf>
    <xf numFmtId="3" fontId="21" fillId="0" borderId="61" xfId="46" applyNumberFormat="1" applyFont="1" applyBorder="1" applyAlignment="1">
      <alignment wrapText="1"/>
    </xf>
    <xf numFmtId="3" fontId="21" fillId="0" borderId="110" xfId="46" applyNumberFormat="1" applyFont="1" applyBorder="1" applyAlignment="1">
      <alignment wrapText="1"/>
    </xf>
    <xf numFmtId="3" fontId="12" fillId="0" borderId="141" xfId="46" applyNumberFormat="1" applyFont="1" applyBorder="1" applyAlignment="1">
      <alignment horizontal="center"/>
    </xf>
    <xf numFmtId="3" fontId="21" fillId="0" borderId="136" xfId="0" applyNumberFormat="1" applyFont="1" applyBorder="1"/>
    <xf numFmtId="3" fontId="19" fillId="0" borderId="136" xfId="0" applyNumberFormat="1" applyFont="1" applyBorder="1"/>
    <xf numFmtId="3" fontId="12" fillId="0" borderId="49" xfId="46" applyNumberFormat="1" applyFont="1" applyBorder="1" applyAlignment="1">
      <alignment horizontal="center" wrapText="1"/>
    </xf>
    <xf numFmtId="3" fontId="21" fillId="0" borderId="49" xfId="46" applyNumberFormat="1" applyFont="1" applyBorder="1" applyAlignment="1">
      <alignment wrapText="1"/>
    </xf>
    <xf numFmtId="3" fontId="21" fillId="0" borderId="111" xfId="46" applyNumberFormat="1" applyFont="1" applyBorder="1" applyAlignment="1">
      <alignment wrapText="1"/>
    </xf>
    <xf numFmtId="3" fontId="19" fillId="0" borderId="86" xfId="46" applyNumberFormat="1" applyFont="1" applyBorder="1" applyAlignment="1">
      <alignment horizontal="center" vertical="center"/>
    </xf>
    <xf numFmtId="3" fontId="12" fillId="0" borderId="76" xfId="46" applyNumberFormat="1" applyFont="1" applyBorder="1" applyAlignment="1">
      <alignment horizontal="center" wrapText="1"/>
    </xf>
    <xf numFmtId="3" fontId="21" fillId="0" borderId="76" xfId="46" applyNumberFormat="1" applyFont="1" applyBorder="1" applyAlignment="1">
      <alignment wrapText="1"/>
    </xf>
    <xf numFmtId="3" fontId="21" fillId="0" borderId="142" xfId="46" applyNumberFormat="1" applyFont="1" applyBorder="1" applyAlignment="1">
      <alignment wrapText="1"/>
    </xf>
    <xf numFmtId="3" fontId="12" fillId="0" borderId="18" xfId="46" applyNumberFormat="1" applyFont="1" applyBorder="1" applyAlignment="1">
      <alignment horizontal="center"/>
    </xf>
    <xf numFmtId="3" fontId="19" fillId="0" borderId="106" xfId="0" applyNumberFormat="1" applyFont="1" applyBorder="1"/>
    <xf numFmtId="3" fontId="19" fillId="0" borderId="143" xfId="46" applyNumberFormat="1" applyFont="1" applyBorder="1" applyAlignment="1">
      <alignment horizontal="center" vertical="center"/>
    </xf>
    <xf numFmtId="3" fontId="12" fillId="0" borderId="57" xfId="46" applyNumberFormat="1" applyFont="1" applyBorder="1" applyAlignment="1">
      <alignment horizontal="center" wrapText="1"/>
    </xf>
    <xf numFmtId="3" fontId="13" fillId="0" borderId="100" xfId="0" applyNumberFormat="1" applyFont="1" applyBorder="1" applyAlignment="1">
      <alignment wrapText="1"/>
    </xf>
    <xf numFmtId="3" fontId="13" fillId="0" borderId="57" xfId="0" applyNumberFormat="1" applyFont="1" applyBorder="1" applyAlignment="1">
      <alignment wrapText="1"/>
    </xf>
    <xf numFmtId="3" fontId="13" fillId="0" borderId="144" xfId="0" applyNumberFormat="1" applyFont="1" applyBorder="1" applyAlignment="1">
      <alignment wrapText="1"/>
    </xf>
    <xf numFmtId="3" fontId="12" fillId="0" borderId="145" xfId="46" applyNumberFormat="1" applyFont="1" applyBorder="1" applyAlignment="1">
      <alignment horizontal="center"/>
    </xf>
    <xf numFmtId="3" fontId="21" fillId="0" borderId="57" xfId="0" applyNumberFormat="1" applyFont="1" applyBorder="1" applyAlignment="1">
      <alignment vertical="center"/>
    </xf>
    <xf numFmtId="3" fontId="21" fillId="0" borderId="59" xfId="0" applyNumberFormat="1" applyFont="1" applyBorder="1" applyAlignment="1">
      <alignment vertical="center"/>
    </xf>
    <xf numFmtId="3" fontId="21" fillId="0" borderId="146" xfId="0" applyNumberFormat="1" applyFont="1" applyBorder="1" applyAlignment="1">
      <alignment vertical="center"/>
    </xf>
    <xf numFmtId="3" fontId="12" fillId="0" borderId="42" xfId="0" applyNumberFormat="1" applyFont="1" applyBorder="1" applyAlignment="1">
      <alignment horizontal="center" wrapText="1"/>
    </xf>
    <xf numFmtId="3" fontId="12" fillId="0" borderId="43" xfId="0" applyNumberFormat="1" applyFont="1" applyBorder="1" applyAlignment="1">
      <alignment horizontal="center" wrapText="1"/>
    </xf>
    <xf numFmtId="0" fontId="0" fillId="0" borderId="43" xfId="0" applyBorder="1" applyAlignment="1">
      <alignment wrapText="1"/>
    </xf>
    <xf numFmtId="0" fontId="0" fillId="0" borderId="147" xfId="0" applyBorder="1" applyAlignment="1">
      <alignment wrapText="1"/>
    </xf>
    <xf numFmtId="3" fontId="12" fillId="0" borderId="133" xfId="0" applyNumberFormat="1" applyFont="1" applyBorder="1" applyAlignment="1">
      <alignment horizontal="center" wrapText="1"/>
    </xf>
    <xf numFmtId="3" fontId="25" fillId="0" borderId="0" xfId="0" applyNumberFormat="1" applyFont="1" applyAlignment="1">
      <alignment horizontal="right" wrapText="1"/>
    </xf>
    <xf numFmtId="3" fontId="13" fillId="0" borderId="55" xfId="0" applyNumberFormat="1" applyFont="1" applyBorder="1" applyAlignment="1">
      <alignment wrapText="1"/>
    </xf>
    <xf numFmtId="0" fontId="0" fillId="0" borderId="49" xfId="0" applyBorder="1" applyAlignment="1">
      <alignment wrapText="1"/>
    </xf>
    <xf numFmtId="0" fontId="0" fillId="0" borderId="111" xfId="0" applyBorder="1" applyAlignment="1">
      <alignment wrapText="1"/>
    </xf>
    <xf numFmtId="3" fontId="12" fillId="0" borderId="90" xfId="0" applyNumberFormat="1" applyFont="1" applyBorder="1" applyAlignment="1">
      <alignment horizontal="center" wrapText="1"/>
    </xf>
    <xf numFmtId="3" fontId="12" fillId="0" borderId="61" xfId="0" applyNumberFormat="1" applyFont="1" applyBorder="1" applyAlignment="1">
      <alignment horizontal="center" wrapText="1"/>
    </xf>
    <xf numFmtId="0" fontId="0" fillId="0" borderId="61" xfId="0" applyBorder="1" applyAlignment="1">
      <alignment wrapText="1"/>
    </xf>
    <xf numFmtId="0" fontId="0" fillId="0" borderId="110" xfId="0" applyBorder="1" applyAlignment="1">
      <alignment wrapText="1"/>
    </xf>
    <xf numFmtId="3" fontId="12" fillId="0" borderId="141" xfId="0" applyNumberFormat="1" applyFont="1" applyBorder="1" applyAlignment="1">
      <alignment horizontal="center" wrapText="1"/>
    </xf>
    <xf numFmtId="3" fontId="25" fillId="0" borderId="61" xfId="0" applyNumberFormat="1" applyFont="1" applyBorder="1" applyAlignment="1">
      <alignment horizontal="right" wrapText="1"/>
    </xf>
    <xf numFmtId="3" fontId="25" fillId="0" borderId="65" xfId="0" applyNumberFormat="1" applyFont="1" applyBorder="1" applyAlignment="1">
      <alignment horizontal="right" wrapText="1"/>
    </xf>
    <xf numFmtId="3" fontId="12" fillId="0" borderId="62" xfId="0" applyNumberFormat="1" applyFont="1" applyBorder="1" applyAlignment="1">
      <alignment horizontal="center" wrapText="1"/>
    </xf>
    <xf numFmtId="3" fontId="12" fillId="0" borderId="61" xfId="0" applyNumberFormat="1" applyFont="1" applyBorder="1" applyAlignment="1">
      <alignment horizontal="right" wrapText="1"/>
    </xf>
    <xf numFmtId="3" fontId="12" fillId="0" borderId="65" xfId="0" applyNumberFormat="1" applyFont="1" applyBorder="1" applyAlignment="1">
      <alignment horizontal="right" wrapText="1"/>
    </xf>
    <xf numFmtId="3" fontId="12" fillId="0" borderId="48" xfId="0" applyNumberFormat="1" applyFont="1" applyBorder="1" applyAlignment="1">
      <alignment horizontal="center" wrapText="1"/>
    </xf>
    <xf numFmtId="3" fontId="12" fillId="0" borderId="49" xfId="0" applyNumberFormat="1" applyFont="1" applyBorder="1" applyAlignment="1">
      <alignment horizontal="center" wrapText="1"/>
    </xf>
    <xf numFmtId="0" fontId="0" fillId="0" borderId="52" xfId="0" applyBorder="1" applyAlignment="1">
      <alignment wrapText="1"/>
    </xf>
    <xf numFmtId="3" fontId="12" fillId="0" borderId="50" xfId="0" applyNumberFormat="1" applyFont="1" applyBorder="1" applyAlignment="1">
      <alignment horizontal="center" wrapText="1"/>
    </xf>
    <xf numFmtId="3" fontId="13" fillId="0" borderId="61" xfId="0" applyNumberFormat="1" applyFont="1" applyBorder="1" applyAlignment="1">
      <alignment horizontal="right" wrapText="1"/>
    </xf>
    <xf numFmtId="3" fontId="13" fillId="0" borderId="65" xfId="0" applyNumberFormat="1" applyFont="1" applyBorder="1" applyAlignment="1">
      <alignment horizontal="right" wrapText="1"/>
    </xf>
    <xf numFmtId="3" fontId="12" fillId="0" borderId="95" xfId="0" applyNumberFormat="1" applyFont="1" applyBorder="1" applyAlignment="1">
      <alignment horizontal="center" wrapText="1"/>
    </xf>
    <xf numFmtId="3" fontId="12" fillId="0" borderId="80" xfId="0" applyNumberFormat="1" applyFont="1" applyBorder="1" applyAlignment="1">
      <alignment horizontal="center" wrapText="1"/>
    </xf>
    <xf numFmtId="0" fontId="0" fillId="0" borderId="80" xfId="0" applyBorder="1" applyAlignment="1">
      <alignment wrapText="1"/>
    </xf>
    <xf numFmtId="0" fontId="0" fillId="0" borderId="105" xfId="0" applyBorder="1" applyAlignment="1">
      <alignment wrapText="1"/>
    </xf>
    <xf numFmtId="3" fontId="12" fillId="0" borderId="139" xfId="0" applyNumberFormat="1" applyFont="1" applyBorder="1" applyAlignment="1">
      <alignment horizontal="center" wrapText="1"/>
    </xf>
    <xf numFmtId="3" fontId="12" fillId="0" borderId="80" xfId="0" applyNumberFormat="1" applyFont="1" applyBorder="1" applyAlignment="1">
      <alignment horizontal="right" wrapText="1"/>
    </xf>
    <xf numFmtId="3" fontId="12" fillId="0" borderId="97" xfId="0" applyNumberFormat="1" applyFont="1" applyBorder="1" applyAlignment="1">
      <alignment horizontal="right" wrapText="1"/>
    </xf>
    <xf numFmtId="1" fontId="30" fillId="0" borderId="0" xfId="46" applyNumberFormat="1" applyFont="1" applyAlignment="1">
      <alignment horizontal="left" vertical="center"/>
    </xf>
    <xf numFmtId="3" fontId="15" fillId="0" borderId="0" xfId="0" applyNumberFormat="1" applyFont="1"/>
    <xf numFmtId="3" fontId="11" fillId="0" borderId="0" xfId="0" applyNumberFormat="1" applyFont="1" applyAlignment="1">
      <alignment vertical="top"/>
    </xf>
    <xf numFmtId="3" fontId="6" fillId="0" borderId="0" xfId="46" applyNumberFormat="1" applyFont="1" applyAlignment="1">
      <alignment vertical="top" wrapText="1"/>
    </xf>
    <xf numFmtId="3" fontId="5" fillId="0" borderId="0" xfId="46" applyNumberFormat="1" applyFont="1" applyAlignment="1">
      <alignment horizontal="center" vertical="top" wrapText="1"/>
    </xf>
    <xf numFmtId="3" fontId="5" fillId="2" borderId="0" xfId="46" applyNumberFormat="1" applyFont="1" applyFill="1" applyAlignment="1">
      <alignment horizontal="center"/>
    </xf>
    <xf numFmtId="0" fontId="11" fillId="0" borderId="0" xfId="50" applyFont="1" applyAlignment="1">
      <alignment horizontal="center" vertical="center"/>
    </xf>
    <xf numFmtId="0" fontId="12" fillId="0" borderId="0" xfId="50" applyFont="1" applyAlignment="1">
      <alignment horizontal="center" vertical="center"/>
    </xf>
    <xf numFmtId="0" fontId="12" fillId="0" borderId="0" xfId="50" applyFont="1" applyAlignment="1">
      <alignment horizontal="center"/>
    </xf>
    <xf numFmtId="0" fontId="12" fillId="0" borderId="0" xfId="50" applyFont="1" applyAlignment="1">
      <alignment wrapText="1"/>
    </xf>
    <xf numFmtId="3" fontId="12" fillId="0" borderId="0" xfId="50" applyNumberFormat="1" applyFont="1" applyAlignment="1">
      <alignment horizontal="right"/>
    </xf>
    <xf numFmtId="3" fontId="12" fillId="0" borderId="0" xfId="50" applyNumberFormat="1" applyFont="1" applyAlignment="1">
      <alignment horizontal="center" vertical="center" wrapText="1"/>
    </xf>
    <xf numFmtId="3" fontId="12" fillId="0" borderId="0" xfId="50" applyNumberFormat="1" applyFont="1" applyAlignment="1">
      <alignment horizontal="right" vertical="center"/>
    </xf>
    <xf numFmtId="0" fontId="12" fillId="0" borderId="0" xfId="50" applyFont="1"/>
    <xf numFmtId="0" fontId="11" fillId="0" borderId="0" xfId="28" applyFont="1" applyAlignment="1">
      <alignment horizontal="center" vertical="center"/>
    </xf>
    <xf numFmtId="3" fontId="5" fillId="0" borderId="0" xfId="28" applyNumberFormat="1" applyFont="1" applyAlignment="1">
      <alignment horizontal="right"/>
    </xf>
    <xf numFmtId="3" fontId="5" fillId="0" borderId="0" xfId="28" applyNumberFormat="1" applyFont="1" applyAlignment="1">
      <alignment horizontal="center" vertical="center"/>
    </xf>
    <xf numFmtId="3" fontId="5" fillId="0" borderId="0" xfId="50" applyNumberFormat="1" applyFont="1" applyAlignment="1">
      <alignment horizontal="right"/>
    </xf>
    <xf numFmtId="0" fontId="5" fillId="0" borderId="0" xfId="28" applyFont="1"/>
    <xf numFmtId="0" fontId="5" fillId="0" borderId="0" xfId="50" applyFont="1"/>
    <xf numFmtId="3" fontId="13" fillId="0" borderId="0" xfId="50" applyNumberFormat="1" applyFont="1" applyAlignment="1">
      <alignment horizontal="right"/>
    </xf>
    <xf numFmtId="0" fontId="11" fillId="0" borderId="0" xfId="51" applyFont="1" applyAlignment="1">
      <alignment horizontal="center" vertical="center" wrapText="1"/>
    </xf>
    <xf numFmtId="3" fontId="11" fillId="0" borderId="0" xfId="51" applyNumberFormat="1" applyFont="1" applyAlignment="1">
      <alignment horizontal="center"/>
    </xf>
    <xf numFmtId="3" fontId="11" fillId="0" borderId="0" xfId="51" applyNumberFormat="1" applyFont="1" applyAlignment="1">
      <alignment horizontal="center" vertical="center"/>
    </xf>
    <xf numFmtId="0" fontId="11" fillId="0" borderId="0" xfId="0" applyFont="1" applyAlignment="1">
      <alignment vertical="center"/>
    </xf>
    <xf numFmtId="3" fontId="12" fillId="0" borderId="150" xfId="50" applyNumberFormat="1" applyFont="1" applyBorder="1" applyAlignment="1">
      <alignment horizontal="center" vertical="center" wrapText="1"/>
    </xf>
    <xf numFmtId="3" fontId="12" fillId="0" borderId="8" xfId="50" applyNumberFormat="1" applyFont="1" applyBorder="1" applyAlignment="1">
      <alignment horizontal="center" vertical="center" wrapText="1"/>
    </xf>
    <xf numFmtId="3" fontId="12" fillId="0" borderId="41" xfId="50" applyNumberFormat="1" applyFont="1" applyBorder="1" applyAlignment="1">
      <alignment horizontal="center" vertical="center" wrapText="1"/>
    </xf>
    <xf numFmtId="3" fontId="11" fillId="0" borderId="0" xfId="50" applyNumberFormat="1" applyFont="1" applyAlignment="1">
      <alignment horizontal="center" vertical="center"/>
    </xf>
    <xf numFmtId="0" fontId="12" fillId="0" borderId="42" xfId="50" applyFont="1" applyBorder="1" applyAlignment="1">
      <alignment horizontal="center"/>
    </xf>
    <xf numFmtId="3" fontId="12" fillId="0" borderId="87" xfId="48" applyNumberFormat="1" applyFont="1" applyBorder="1" applyAlignment="1">
      <alignment horizontal="left" vertical="center" wrapText="1"/>
    </xf>
    <xf numFmtId="3" fontId="12" fillId="0" borderId="83" xfId="50" applyNumberFormat="1" applyFont="1" applyBorder="1" applyAlignment="1">
      <alignment horizontal="right" vertical="center"/>
    </xf>
    <xf numFmtId="3" fontId="12" fillId="0" borderId="83" xfId="47" applyNumberFormat="1" applyFont="1" applyBorder="1" applyAlignment="1">
      <alignment horizontal="right" vertical="center"/>
    </xf>
    <xf numFmtId="3" fontId="12" fillId="0" borderId="84" xfId="50" applyNumberFormat="1" applyFont="1" applyBorder="1" applyAlignment="1">
      <alignment horizontal="right" vertical="center"/>
    </xf>
    <xf numFmtId="0" fontId="12" fillId="0" borderId="45" xfId="50" applyFont="1" applyBorder="1" applyAlignment="1">
      <alignment horizontal="center" vertical="center" wrapText="1"/>
    </xf>
    <xf numFmtId="3" fontId="12" fillId="0" borderId="89" xfId="47" applyNumberFormat="1" applyFont="1" applyBorder="1" applyAlignment="1">
      <alignment horizontal="right" vertical="center" wrapText="1"/>
    </xf>
    <xf numFmtId="3" fontId="12" fillId="0" borderId="83" xfId="47" applyNumberFormat="1" applyFont="1" applyBorder="1" applyAlignment="1">
      <alignment horizontal="right" vertical="center" wrapText="1"/>
    </xf>
    <xf numFmtId="3" fontId="12" fillId="0" borderId="84" xfId="47" applyNumberFormat="1" applyFont="1" applyBorder="1" applyAlignment="1">
      <alignment horizontal="right" vertical="center" wrapText="1"/>
    </xf>
    <xf numFmtId="3" fontId="12" fillId="0" borderId="151" xfId="50" applyNumberFormat="1" applyFont="1" applyBorder="1" applyAlignment="1">
      <alignment horizontal="right" vertical="center"/>
    </xf>
    <xf numFmtId="0" fontId="12" fillId="0" borderId="48" xfId="50" applyFont="1" applyBorder="1" applyAlignment="1">
      <alignment horizontal="center" vertical="center"/>
    </xf>
    <xf numFmtId="0" fontId="5" fillId="0" borderId="49" xfId="50" applyFont="1" applyBorder="1" applyAlignment="1">
      <alignment horizontal="center" vertical="top"/>
    </xf>
    <xf numFmtId="0" fontId="5" fillId="0" borderId="49" xfId="47" applyFont="1" applyBorder="1" applyAlignment="1">
      <alignment vertical="center" wrapText="1"/>
    </xf>
    <xf numFmtId="3" fontId="5" fillId="0" borderId="49" xfId="50" applyNumberFormat="1" applyFont="1" applyBorder="1" applyAlignment="1">
      <alignment horizontal="right" vertical="center"/>
    </xf>
    <xf numFmtId="3" fontId="5" fillId="0" borderId="49" xfId="47" applyNumberFormat="1" applyFont="1" applyBorder="1" applyAlignment="1">
      <alignment horizontal="right" vertical="center"/>
    </xf>
    <xf numFmtId="3" fontId="5" fillId="0" borderId="52" xfId="50" applyNumberFormat="1" applyFont="1" applyBorder="1" applyAlignment="1">
      <alignment horizontal="right" vertical="center"/>
    </xf>
    <xf numFmtId="0" fontId="5" fillId="0" borderId="51" xfId="50" applyFont="1" applyBorder="1" applyAlignment="1">
      <alignment horizontal="center" vertical="center" wrapText="1"/>
    </xf>
    <xf numFmtId="3" fontId="5" fillId="0" borderId="51" xfId="47" applyNumberFormat="1" applyFont="1" applyBorder="1" applyAlignment="1">
      <alignment horizontal="right" vertical="center" wrapText="1"/>
    </xf>
    <xf numFmtId="3" fontId="5" fillId="0" borderId="49" xfId="47" applyNumberFormat="1" applyFont="1" applyBorder="1" applyAlignment="1">
      <alignment horizontal="right" vertical="center" wrapText="1"/>
    </xf>
    <xf numFmtId="3" fontId="5" fillId="0" borderId="52" xfId="47" applyNumberFormat="1" applyFont="1" applyBorder="1" applyAlignment="1">
      <alignment horizontal="right" vertical="center" wrapText="1"/>
    </xf>
    <xf numFmtId="3" fontId="5" fillId="0" borderId="152" xfId="50" applyNumberFormat="1" applyFont="1" applyBorder="1" applyAlignment="1">
      <alignment horizontal="right" vertical="center"/>
    </xf>
    <xf numFmtId="0" fontId="5" fillId="0" borderId="49" xfId="50" applyFont="1" applyBorder="1" applyAlignment="1">
      <alignment horizontal="center"/>
    </xf>
    <xf numFmtId="3" fontId="31" fillId="0" borderId="43" xfId="46" applyNumberFormat="1" applyFont="1" applyBorder="1" applyAlignment="1">
      <alignment horizontal="left" wrapText="1"/>
    </xf>
    <xf numFmtId="3" fontId="31" fillId="0" borderId="49" xfId="50" applyNumberFormat="1" applyFont="1" applyBorder="1" applyAlignment="1">
      <alignment horizontal="right" vertical="center"/>
    </xf>
    <xf numFmtId="3" fontId="31" fillId="0" borderId="49" xfId="47" applyNumberFormat="1" applyFont="1" applyBorder="1" applyAlignment="1">
      <alignment horizontal="right" vertical="center"/>
    </xf>
    <xf numFmtId="3" fontId="31" fillId="0" borderId="52" xfId="50" applyNumberFormat="1" applyFont="1" applyBorder="1" applyAlignment="1">
      <alignment horizontal="right" vertical="center"/>
    </xf>
    <xf numFmtId="0" fontId="31" fillId="0" borderId="51" xfId="50" applyFont="1" applyBorder="1" applyAlignment="1">
      <alignment horizontal="center" vertical="center" wrapText="1"/>
    </xf>
    <xf numFmtId="3" fontId="31" fillId="0" borderId="51" xfId="47" applyNumberFormat="1" applyFont="1" applyBorder="1" applyAlignment="1">
      <alignment horizontal="right" vertical="center" wrapText="1"/>
    </xf>
    <xf numFmtId="3" fontId="31" fillId="0" borderId="49" xfId="47" applyNumberFormat="1" applyFont="1" applyBorder="1" applyAlignment="1">
      <alignment horizontal="right" vertical="center" wrapText="1"/>
    </xf>
    <xf numFmtId="3" fontId="31" fillId="0" borderId="52" xfId="47" applyNumberFormat="1" applyFont="1" applyBorder="1" applyAlignment="1">
      <alignment horizontal="right" vertical="center" wrapText="1"/>
    </xf>
    <xf numFmtId="0" fontId="6" fillId="0" borderId="54" xfId="47" applyFont="1" applyBorder="1" applyAlignment="1">
      <alignment horizontal="left"/>
    </xf>
    <xf numFmtId="3" fontId="6" fillId="0" borderId="51" xfId="47" applyNumberFormat="1" applyFont="1" applyBorder="1" applyAlignment="1">
      <alignment horizontal="right" vertical="center" wrapText="1"/>
    </xf>
    <xf numFmtId="3" fontId="6" fillId="0" borderId="49" xfId="47" applyNumberFormat="1" applyFont="1" applyBorder="1" applyAlignment="1">
      <alignment horizontal="right" vertical="center" wrapText="1"/>
    </xf>
    <xf numFmtId="3" fontId="6" fillId="0" borderId="52" xfId="47" applyNumberFormat="1" applyFont="1" applyBorder="1" applyAlignment="1">
      <alignment horizontal="right" vertical="center" wrapText="1"/>
    </xf>
    <xf numFmtId="0" fontId="9" fillId="0" borderId="55" xfId="47" applyFont="1" applyBorder="1" applyAlignment="1">
      <alignment horizontal="left"/>
    </xf>
    <xf numFmtId="3" fontId="9" fillId="0" borderId="49" xfId="50" applyNumberFormat="1" applyFont="1" applyBorder="1" applyAlignment="1">
      <alignment horizontal="right" vertical="center"/>
    </xf>
    <xf numFmtId="3" fontId="9" fillId="0" borderId="49" xfId="47" applyNumberFormat="1" applyFont="1" applyBorder="1" applyAlignment="1">
      <alignment horizontal="right" vertical="center"/>
    </xf>
    <xf numFmtId="3" fontId="9" fillId="0" borderId="52" xfId="50" applyNumberFormat="1" applyFont="1" applyBorder="1" applyAlignment="1">
      <alignment horizontal="right" vertical="center"/>
    </xf>
    <xf numFmtId="0" fontId="9" fillId="0" borderId="51" xfId="50" applyFont="1" applyBorder="1" applyAlignment="1">
      <alignment horizontal="center" vertical="center" wrapText="1"/>
    </xf>
    <xf numFmtId="3" fontId="9" fillId="0" borderId="51" xfId="47" applyNumberFormat="1" applyFont="1" applyBorder="1" applyAlignment="1">
      <alignment horizontal="right" vertical="center" wrapText="1"/>
    </xf>
    <xf numFmtId="3" fontId="9" fillId="0" borderId="49" xfId="47" applyNumberFormat="1" applyFont="1" applyBorder="1" applyAlignment="1">
      <alignment horizontal="right" vertical="center" wrapText="1"/>
    </xf>
    <xf numFmtId="3" fontId="9" fillId="0" borderId="52" xfId="47" applyNumberFormat="1" applyFont="1" applyBorder="1" applyAlignment="1">
      <alignment horizontal="right" wrapText="1"/>
    </xf>
    <xf numFmtId="3" fontId="6" fillId="0" borderId="49" xfId="50" applyNumberFormat="1" applyFont="1" applyBorder="1" applyAlignment="1">
      <alignment horizontal="right" vertical="center"/>
    </xf>
    <xf numFmtId="3" fontId="6" fillId="0" borderId="49" xfId="47" applyNumberFormat="1" applyFont="1" applyBorder="1" applyAlignment="1">
      <alignment horizontal="right" vertical="center"/>
    </xf>
    <xf numFmtId="3" fontId="6" fillId="0" borderId="52" xfId="50" applyNumberFormat="1" applyFont="1" applyBorder="1" applyAlignment="1">
      <alignment horizontal="right" vertical="center"/>
    </xf>
    <xf numFmtId="0" fontId="6" fillId="0" borderId="51" xfId="50" applyFont="1" applyBorder="1" applyAlignment="1">
      <alignment horizontal="center" vertical="center" wrapText="1"/>
    </xf>
    <xf numFmtId="3" fontId="6" fillId="0" borderId="52" xfId="47" applyNumberFormat="1" applyFont="1" applyBorder="1" applyAlignment="1">
      <alignment horizontal="right" wrapText="1"/>
    </xf>
    <xf numFmtId="0" fontId="5" fillId="0" borderId="49" xfId="47" applyFont="1" applyBorder="1" applyAlignment="1">
      <alignment wrapText="1"/>
    </xf>
    <xf numFmtId="0" fontId="5" fillId="0" borderId="49" xfId="50" applyFont="1" applyBorder="1" applyAlignment="1">
      <alignment wrapText="1"/>
    </xf>
    <xf numFmtId="3" fontId="5" fillId="0" borderId="51" xfId="50" applyNumberFormat="1" applyFont="1" applyBorder="1" applyAlignment="1">
      <alignment horizontal="right" vertical="center"/>
    </xf>
    <xf numFmtId="0" fontId="12" fillId="0" borderId="0" xfId="50" applyFont="1" applyAlignment="1">
      <alignment vertical="center"/>
    </xf>
    <xf numFmtId="3" fontId="5" fillId="0" borderId="71" xfId="50" applyNumberFormat="1" applyFont="1" applyBorder="1" applyAlignment="1">
      <alignment horizontal="right" vertical="center"/>
    </xf>
    <xf numFmtId="0" fontId="10" fillId="0" borderId="49" xfId="47" applyFont="1" applyBorder="1" applyAlignment="1">
      <alignment wrapText="1"/>
    </xf>
    <xf numFmtId="3" fontId="5" fillId="0" borderId="63" xfId="47" applyNumberFormat="1" applyFont="1" applyBorder="1" applyAlignment="1">
      <alignment horizontal="right" vertical="center" wrapText="1"/>
    </xf>
    <xf numFmtId="3" fontId="31" fillId="0" borderId="76" xfId="46" applyNumberFormat="1" applyFont="1" applyBorder="1" applyAlignment="1">
      <alignment wrapText="1"/>
    </xf>
    <xf numFmtId="3" fontId="6" fillId="0" borderId="63" xfId="47" applyNumberFormat="1" applyFont="1" applyBorder="1" applyAlignment="1">
      <alignment horizontal="right" vertical="center" wrapText="1"/>
    </xf>
    <xf numFmtId="3" fontId="13" fillId="0" borderId="49" xfId="50" applyNumberFormat="1" applyFont="1" applyBorder="1" applyAlignment="1">
      <alignment horizontal="right" vertical="center"/>
    </xf>
    <xf numFmtId="3" fontId="12" fillId="0" borderId="49" xfId="47" applyNumberFormat="1" applyFont="1" applyBorder="1" applyAlignment="1">
      <alignment horizontal="right" vertical="center"/>
    </xf>
    <xf numFmtId="3" fontId="12" fillId="0" borderId="52" xfId="50" applyNumberFormat="1" applyFont="1" applyBorder="1" applyAlignment="1">
      <alignment horizontal="right" vertical="center"/>
    </xf>
    <xf numFmtId="0" fontId="12" fillId="0" borderId="51" xfId="50" applyFont="1" applyBorder="1" applyAlignment="1">
      <alignment horizontal="center" vertical="center" wrapText="1"/>
    </xf>
    <xf numFmtId="3" fontId="12" fillId="0" borderId="49" xfId="50" applyNumberFormat="1" applyFont="1" applyBorder="1" applyAlignment="1">
      <alignment horizontal="right" vertical="center"/>
    </xf>
    <xf numFmtId="3" fontId="34" fillId="0" borderId="49" xfId="50" applyNumberFormat="1" applyFont="1" applyBorder="1" applyAlignment="1">
      <alignment horizontal="right" vertical="center"/>
    </xf>
    <xf numFmtId="3" fontId="34" fillId="0" borderId="63" xfId="47" applyNumberFormat="1" applyFont="1" applyBorder="1" applyAlignment="1">
      <alignment horizontal="right" vertical="center" wrapText="1"/>
    </xf>
    <xf numFmtId="3" fontId="12" fillId="0" borderId="71" xfId="50" applyNumberFormat="1" applyFont="1" applyBorder="1" applyAlignment="1">
      <alignment horizontal="right" vertical="center"/>
    </xf>
    <xf numFmtId="3" fontId="21" fillId="0" borderId="49" xfId="50" applyNumberFormat="1" applyFont="1" applyBorder="1" applyAlignment="1">
      <alignment horizontal="right" vertical="center"/>
    </xf>
    <xf numFmtId="3" fontId="21" fillId="0" borderId="49" xfId="47" applyNumberFormat="1" applyFont="1" applyBorder="1" applyAlignment="1">
      <alignment horizontal="right" vertical="center"/>
    </xf>
    <xf numFmtId="3" fontId="21" fillId="0" borderId="52" xfId="50" applyNumberFormat="1" applyFont="1" applyBorder="1" applyAlignment="1">
      <alignment horizontal="right" vertical="center"/>
    </xf>
    <xf numFmtId="0" fontId="21" fillId="0" borderId="51" xfId="50" applyFont="1" applyBorder="1" applyAlignment="1">
      <alignment horizontal="center" vertical="center" wrapText="1"/>
    </xf>
    <xf numFmtId="3" fontId="22" fillId="0" borderId="49" xfId="50" applyNumberFormat="1" applyFont="1" applyBorder="1" applyAlignment="1">
      <alignment horizontal="right" vertical="center"/>
    </xf>
    <xf numFmtId="3" fontId="22" fillId="0" borderId="63" xfId="47" applyNumberFormat="1" applyFont="1" applyBorder="1" applyAlignment="1">
      <alignment horizontal="right" vertical="center" wrapText="1"/>
    </xf>
    <xf numFmtId="3" fontId="8" fillId="0" borderId="43" xfId="46" applyNumberFormat="1" applyFont="1" applyBorder="1" applyAlignment="1">
      <alignment horizontal="left" vertical="top" wrapText="1" indent="4"/>
    </xf>
    <xf numFmtId="3" fontId="8" fillId="0" borderId="49" xfId="50" applyNumberFormat="1" applyFont="1" applyBorder="1" applyAlignment="1">
      <alignment horizontal="right" vertical="center"/>
    </xf>
    <xf numFmtId="3" fontId="13" fillId="0" borderId="52" xfId="47" applyNumberFormat="1" applyFont="1" applyBorder="1" applyAlignment="1">
      <alignment horizontal="right" wrapText="1"/>
    </xf>
    <xf numFmtId="3" fontId="19" fillId="0" borderId="49" xfId="50" applyNumberFormat="1" applyFont="1" applyBorder="1" applyAlignment="1">
      <alignment horizontal="right" vertical="center"/>
    </xf>
    <xf numFmtId="3" fontId="19" fillId="0" borderId="49" xfId="47" applyNumberFormat="1" applyFont="1" applyBorder="1" applyAlignment="1">
      <alignment horizontal="right" vertical="center"/>
    </xf>
    <xf numFmtId="3" fontId="19" fillId="0" borderId="52" xfId="50" applyNumberFormat="1" applyFont="1" applyBorder="1" applyAlignment="1">
      <alignment horizontal="right" vertical="center"/>
    </xf>
    <xf numFmtId="0" fontId="19" fillId="0" borderId="51" xfId="50" applyFont="1" applyBorder="1" applyAlignment="1">
      <alignment horizontal="center" vertical="center" wrapText="1"/>
    </xf>
    <xf numFmtId="3" fontId="19" fillId="0" borderId="52" xfId="47" applyNumberFormat="1" applyFont="1" applyBorder="1" applyAlignment="1">
      <alignment horizontal="right" wrapText="1"/>
    </xf>
    <xf numFmtId="3" fontId="12" fillId="0" borderId="63" xfId="47" applyNumberFormat="1" applyFont="1" applyBorder="1" applyAlignment="1">
      <alignment horizontal="right" vertical="center" wrapText="1"/>
    </xf>
    <xf numFmtId="3" fontId="8" fillId="0" borderId="63" xfId="47" applyNumberFormat="1" applyFont="1" applyBorder="1" applyAlignment="1">
      <alignment horizontal="right" vertical="center" wrapText="1"/>
    </xf>
    <xf numFmtId="3" fontId="13" fillId="0" borderId="63" xfId="47" applyNumberFormat="1" applyFont="1" applyBorder="1" applyAlignment="1">
      <alignment horizontal="right" vertical="center" wrapText="1"/>
    </xf>
    <xf numFmtId="3" fontId="8" fillId="0" borderId="52" xfId="47" applyNumberFormat="1" applyFont="1" applyBorder="1" applyAlignment="1">
      <alignment horizontal="right" wrapText="1"/>
    </xf>
    <xf numFmtId="3" fontId="19" fillId="0" borderId="63" xfId="47" applyNumberFormat="1" applyFont="1" applyBorder="1" applyAlignment="1">
      <alignment horizontal="right" wrapText="1"/>
    </xf>
    <xf numFmtId="3" fontId="8" fillId="0" borderId="49" xfId="50" applyNumberFormat="1" applyFont="1" applyBorder="1" applyAlignment="1">
      <alignment horizontal="right"/>
    </xf>
    <xf numFmtId="3" fontId="19" fillId="0" borderId="52" xfId="47" applyNumberFormat="1" applyFont="1" applyBorder="1" applyAlignment="1">
      <alignment horizontal="right" vertical="center" wrapText="1"/>
    </xf>
    <xf numFmtId="3" fontId="8" fillId="0" borderId="52" xfId="47" applyNumberFormat="1" applyFont="1" applyBorder="1" applyAlignment="1">
      <alignment horizontal="right" vertical="center" wrapText="1"/>
    </xf>
    <xf numFmtId="0" fontId="5" fillId="0" borderId="61" xfId="50" applyFont="1" applyBorder="1" applyAlignment="1">
      <alignment horizontal="center"/>
    </xf>
    <xf numFmtId="3" fontId="5" fillId="0" borderId="19" xfId="50" applyNumberFormat="1" applyFont="1" applyBorder="1" applyAlignment="1">
      <alignment horizontal="right" vertical="center"/>
    </xf>
    <xf numFmtId="0" fontId="12" fillId="0" borderId="92" xfId="50" applyFont="1" applyBorder="1" applyAlignment="1">
      <alignment horizontal="center" vertical="center"/>
    </xf>
    <xf numFmtId="3" fontId="5" fillId="0" borderId="111" xfId="50" applyNumberFormat="1" applyFont="1" applyBorder="1" applyAlignment="1">
      <alignment horizontal="right" vertical="center"/>
    </xf>
    <xf numFmtId="0" fontId="5" fillId="0" borderId="49" xfId="47" applyFont="1" applyBorder="1" applyAlignment="1">
      <alignment wrapText="1" shrinkToFit="1"/>
    </xf>
    <xf numFmtId="3" fontId="31" fillId="0" borderId="43" xfId="46" applyNumberFormat="1" applyFont="1" applyBorder="1" applyAlignment="1">
      <alignment wrapText="1"/>
    </xf>
    <xf numFmtId="0" fontId="5" fillId="0" borderId="49" xfId="0" applyFont="1" applyBorder="1" applyAlignment="1">
      <alignment wrapText="1" shrinkToFit="1"/>
    </xf>
    <xf numFmtId="0" fontId="5" fillId="0" borderId="49" xfId="0" applyFont="1" applyBorder="1" applyAlignment="1">
      <alignment shrinkToFit="1"/>
    </xf>
    <xf numFmtId="0" fontId="5" fillId="0" borderId="49" xfId="0" applyFont="1" applyBorder="1" applyAlignment="1">
      <alignment wrapText="1"/>
    </xf>
    <xf numFmtId="3" fontId="6" fillId="0" borderId="111" xfId="50" applyNumberFormat="1" applyFont="1" applyBorder="1" applyAlignment="1">
      <alignment horizontal="right" vertical="center"/>
    </xf>
    <xf numFmtId="0" fontId="5" fillId="0" borderId="49" xfId="47" applyFont="1" applyBorder="1" applyAlignment="1">
      <alignment shrinkToFit="1"/>
    </xf>
    <xf numFmtId="0" fontId="12" fillId="0" borderId="109" xfId="50" applyFont="1" applyBorder="1" applyAlignment="1">
      <alignment horizontal="center" vertical="center"/>
    </xf>
    <xf numFmtId="3" fontId="5" fillId="0" borderId="135" xfId="50" applyNumberFormat="1" applyFont="1" applyBorder="1" applyAlignment="1">
      <alignment horizontal="right" vertical="center"/>
    </xf>
    <xf numFmtId="3" fontId="10" fillId="0" borderId="43" xfId="49" applyNumberFormat="1" applyFont="1" applyBorder="1" applyAlignment="1" applyProtection="1">
      <alignment horizontal="left"/>
      <protection locked="0"/>
    </xf>
    <xf numFmtId="3" fontId="5" fillId="0" borderId="44" xfId="50" applyNumberFormat="1" applyFont="1" applyBorder="1" applyAlignment="1">
      <alignment horizontal="right" vertical="center"/>
    </xf>
    <xf numFmtId="3" fontId="5" fillId="0" borderId="147" xfId="50" applyNumberFormat="1" applyFont="1" applyBorder="1" applyAlignment="1">
      <alignment horizontal="right" vertical="center"/>
    </xf>
    <xf numFmtId="0" fontId="5" fillId="0" borderId="45" xfId="50" applyFont="1" applyBorder="1" applyAlignment="1">
      <alignment horizontal="center" vertical="center" wrapText="1"/>
    </xf>
    <xf numFmtId="3" fontId="5" fillId="0" borderId="43" xfId="50" applyNumberFormat="1" applyFont="1" applyBorder="1" applyAlignment="1">
      <alignment horizontal="right" vertical="center"/>
    </xf>
    <xf numFmtId="3" fontId="5" fillId="0" borderId="46" xfId="47" applyNumberFormat="1" applyFont="1" applyBorder="1" applyAlignment="1">
      <alignment horizontal="right" vertical="center" wrapText="1"/>
    </xf>
    <xf numFmtId="0" fontId="5" fillId="0" borderId="43" xfId="50" applyFont="1" applyBorder="1" applyAlignment="1">
      <alignment horizontal="center"/>
    </xf>
    <xf numFmtId="0" fontId="35" fillId="0" borderId="49" xfId="50" applyFont="1" applyBorder="1" applyAlignment="1">
      <alignment horizontal="left" wrapText="1"/>
    </xf>
    <xf numFmtId="3" fontId="5" fillId="0" borderId="43" xfId="47" applyNumberFormat="1" applyFont="1" applyBorder="1" applyAlignment="1">
      <alignment horizontal="right" vertical="center"/>
    </xf>
    <xf numFmtId="0" fontId="12" fillId="0" borderId="17" xfId="50" applyFont="1" applyBorder="1" applyAlignment="1">
      <alignment horizontal="center" vertical="center"/>
    </xf>
    <xf numFmtId="0" fontId="5" fillId="0" borderId="76" xfId="50" applyFont="1" applyBorder="1" applyAlignment="1">
      <alignment horizontal="center"/>
    </xf>
    <xf numFmtId="0" fontId="12" fillId="0" borderId="90" xfId="50" applyFont="1" applyBorder="1" applyAlignment="1">
      <alignment horizontal="center" vertical="center"/>
    </xf>
    <xf numFmtId="3" fontId="5" fillId="0" borderId="136" xfId="50" applyNumberFormat="1" applyFont="1" applyBorder="1" applyAlignment="1">
      <alignment horizontal="right" vertical="center"/>
    </xf>
    <xf numFmtId="0" fontId="6" fillId="0" borderId="107" xfId="47" applyFont="1" applyBorder="1" applyAlignment="1">
      <alignment horizontal="left"/>
    </xf>
    <xf numFmtId="3" fontId="6" fillId="0" borderId="63" xfId="47" applyNumberFormat="1" applyFont="1" applyBorder="1" applyAlignment="1">
      <alignment horizontal="right" wrapText="1"/>
    </xf>
    <xf numFmtId="0" fontId="6" fillId="0" borderId="49" xfId="47" applyFont="1" applyBorder="1" applyAlignment="1">
      <alignment horizontal="left"/>
    </xf>
    <xf numFmtId="0" fontId="5" fillId="0" borderId="43" xfId="50" applyFont="1" applyBorder="1" applyAlignment="1">
      <alignment horizontal="center" vertical="top"/>
    </xf>
    <xf numFmtId="0" fontId="36" fillId="0" borderId="0" xfId="47" applyFont="1" applyAlignment="1">
      <alignment horizontal="left" wrapText="1"/>
    </xf>
    <xf numFmtId="3" fontId="5" fillId="0" borderId="54" xfId="50" applyNumberFormat="1" applyFont="1" applyBorder="1" applyAlignment="1">
      <alignment horizontal="right" vertical="center"/>
    </xf>
    <xf numFmtId="3" fontId="6" fillId="0" borderId="43" xfId="50" applyNumberFormat="1" applyFont="1" applyBorder="1" applyAlignment="1">
      <alignment horizontal="right" vertical="center"/>
    </xf>
    <xf numFmtId="3" fontId="9" fillId="0" borderId="43" xfId="50" applyNumberFormat="1" applyFont="1" applyBorder="1" applyAlignment="1">
      <alignment horizontal="right" vertical="center"/>
    </xf>
    <xf numFmtId="0" fontId="6" fillId="0" borderId="55" xfId="47" applyFont="1" applyBorder="1" applyAlignment="1">
      <alignment horizontal="left"/>
    </xf>
    <xf numFmtId="3" fontId="5" fillId="0" borderId="55" xfId="50" applyNumberFormat="1" applyFont="1" applyBorder="1" applyAlignment="1">
      <alignment horizontal="right" vertical="center"/>
    </xf>
    <xf numFmtId="3" fontId="5" fillId="0" borderId="107" xfId="50" applyNumberFormat="1" applyFont="1" applyBorder="1" applyAlignment="1">
      <alignment horizontal="right" vertical="center"/>
    </xf>
    <xf numFmtId="3" fontId="5" fillId="0" borderId="76" xfId="47" applyNumberFormat="1" applyFont="1" applyBorder="1" applyAlignment="1">
      <alignment horizontal="right" vertical="center"/>
    </xf>
    <xf numFmtId="0" fontId="5" fillId="0" borderId="45" xfId="50" applyFont="1" applyBorder="1" applyAlignment="1">
      <alignment horizontal="center" vertical="top" wrapText="1"/>
    </xf>
    <xf numFmtId="3" fontId="6" fillId="0" borderId="77" xfId="47" applyNumberFormat="1" applyFont="1" applyBorder="1" applyAlignment="1">
      <alignment horizontal="right" wrapText="1"/>
    </xf>
    <xf numFmtId="0" fontId="5" fillId="0" borderId="54" xfId="47" applyFont="1" applyBorder="1" applyAlignment="1">
      <alignment horizontal="left"/>
    </xf>
    <xf numFmtId="3" fontId="6" fillId="0" borderId="46" xfId="47" applyNumberFormat="1" applyFont="1" applyBorder="1" applyAlignment="1">
      <alignment horizontal="right" wrapText="1"/>
    </xf>
    <xf numFmtId="0" fontId="5" fillId="0" borderId="54" xfId="47" applyFont="1" applyBorder="1" applyAlignment="1">
      <alignment horizontal="left" wrapText="1"/>
    </xf>
    <xf numFmtId="3" fontId="5" fillId="0" borderId="61" xfId="50" applyNumberFormat="1" applyFont="1" applyBorder="1" applyAlignment="1">
      <alignment horizontal="right" vertical="center"/>
    </xf>
    <xf numFmtId="3" fontId="5" fillId="0" borderId="61" xfId="47" applyNumberFormat="1" applyFont="1" applyBorder="1" applyAlignment="1">
      <alignment horizontal="right" vertical="center"/>
    </xf>
    <xf numFmtId="3" fontId="6" fillId="0" borderId="43" xfId="50" applyNumberFormat="1" applyFont="1" applyBorder="1" applyAlignment="1">
      <alignment horizontal="right"/>
    </xf>
    <xf numFmtId="0" fontId="5" fillId="0" borderId="55" xfId="47" applyFont="1" applyBorder="1" applyAlignment="1">
      <alignment vertical="center" wrapText="1"/>
    </xf>
    <xf numFmtId="3" fontId="5" fillId="0" borderId="76" xfId="50" applyNumberFormat="1" applyFont="1" applyBorder="1" applyAlignment="1">
      <alignment horizontal="right" vertical="center"/>
    </xf>
    <xf numFmtId="3" fontId="5" fillId="0" borderId="56" xfId="50" applyNumberFormat="1" applyFont="1" applyBorder="1" applyAlignment="1">
      <alignment horizontal="right" vertical="center"/>
    </xf>
    <xf numFmtId="3" fontId="5" fillId="0" borderId="56" xfId="47" applyNumberFormat="1" applyFont="1" applyBorder="1" applyAlignment="1">
      <alignment horizontal="right" vertical="center"/>
    </xf>
    <xf numFmtId="3" fontId="19" fillId="0" borderId="153" xfId="47" applyNumberFormat="1" applyFont="1" applyBorder="1" applyAlignment="1">
      <alignment vertical="center" wrapText="1"/>
    </xf>
    <xf numFmtId="3" fontId="6" fillId="0" borderId="57" xfId="47" applyNumberFormat="1" applyFont="1" applyBorder="1" applyAlignment="1">
      <alignment wrapText="1"/>
    </xf>
    <xf numFmtId="0" fontId="5" fillId="0" borderId="59" xfId="50" applyFont="1" applyBorder="1" applyAlignment="1">
      <alignment horizontal="center" vertical="center" wrapText="1"/>
    </xf>
    <xf numFmtId="3" fontId="5" fillId="0" borderId="57" xfId="50" applyNumberFormat="1" applyFont="1" applyBorder="1" applyAlignment="1">
      <alignment horizontal="right" vertical="center"/>
    </xf>
    <xf numFmtId="3" fontId="5" fillId="0" borderId="58" xfId="47" applyNumberFormat="1" applyFont="1" applyBorder="1" applyAlignment="1">
      <alignment horizontal="right" vertical="center" wrapText="1"/>
    </xf>
    <xf numFmtId="3" fontId="5" fillId="0" borderId="146" xfId="50" applyNumberFormat="1" applyFont="1" applyBorder="1" applyAlignment="1">
      <alignment horizontal="right" vertical="center"/>
    </xf>
    <xf numFmtId="3" fontId="19" fillId="0" borderId="92" xfId="47" applyNumberFormat="1" applyFont="1" applyBorder="1" applyAlignment="1">
      <alignment vertical="center" wrapText="1"/>
    </xf>
    <xf numFmtId="3" fontId="6" fillId="0" borderId="49" xfId="47" applyNumberFormat="1" applyFont="1" applyBorder="1" applyAlignment="1">
      <alignment wrapText="1"/>
    </xf>
    <xf numFmtId="3" fontId="6" fillId="0" borderId="152" xfId="47" applyNumberFormat="1" applyFont="1" applyBorder="1" applyAlignment="1">
      <alignment horizontal="right" vertical="center" wrapText="1"/>
    </xf>
    <xf numFmtId="3" fontId="6" fillId="0" borderId="71" xfId="47" applyNumberFormat="1" applyFont="1" applyBorder="1" applyAlignment="1">
      <alignment horizontal="right" vertical="center" wrapText="1"/>
    </xf>
    <xf numFmtId="3" fontId="9" fillId="0" borderId="52" xfId="47" applyNumberFormat="1" applyFont="1" applyBorder="1" applyAlignment="1">
      <alignment horizontal="right" vertical="center" wrapText="1"/>
    </xf>
    <xf numFmtId="3" fontId="19" fillId="0" borderId="120" xfId="47" applyNumberFormat="1" applyFont="1" applyBorder="1" applyAlignment="1">
      <alignment vertical="center" wrapText="1"/>
    </xf>
    <xf numFmtId="3" fontId="6" fillId="0" borderId="56" xfId="47" applyNumberFormat="1" applyFont="1" applyBorder="1" applyAlignment="1">
      <alignment wrapText="1"/>
    </xf>
    <xf numFmtId="3" fontId="6" fillId="0" borderId="154" xfId="47" applyNumberFormat="1" applyFont="1" applyBorder="1" applyAlignment="1">
      <alignment horizontal="right" vertical="center" wrapText="1"/>
    </xf>
    <xf numFmtId="3" fontId="19" fillId="0" borderId="143" xfId="47" applyNumberFormat="1" applyFont="1" applyBorder="1" applyAlignment="1">
      <alignment vertical="center" wrapText="1"/>
    </xf>
    <xf numFmtId="3" fontId="9" fillId="0" borderId="57" xfId="0" applyNumberFormat="1" applyFont="1" applyBorder="1" applyAlignment="1">
      <alignment wrapText="1"/>
    </xf>
    <xf numFmtId="3" fontId="9" fillId="0" borderId="144" xfId="0" applyNumberFormat="1" applyFont="1" applyBorder="1" applyAlignment="1">
      <alignment wrapText="1"/>
    </xf>
    <xf numFmtId="3" fontId="7" fillId="0" borderId="59" xfId="47" applyNumberFormat="1" applyFont="1" applyBorder="1" applyAlignment="1">
      <alignment horizontal="right" vertical="center" wrapText="1"/>
    </xf>
    <xf numFmtId="3" fontId="7" fillId="0" borderId="57" xfId="47" applyNumberFormat="1" applyFont="1" applyBorder="1" applyAlignment="1">
      <alignment horizontal="right" vertical="center" wrapText="1"/>
    </xf>
    <xf numFmtId="3" fontId="7" fillId="0" borderId="58" xfId="47" applyNumberFormat="1" applyFont="1" applyBorder="1" applyAlignment="1">
      <alignment horizontal="right" vertical="center" wrapText="1"/>
    </xf>
    <xf numFmtId="3" fontId="7" fillId="0" borderId="146" xfId="47" applyNumberFormat="1" applyFont="1" applyBorder="1" applyAlignment="1">
      <alignment horizontal="right" vertical="center" wrapText="1"/>
    </xf>
    <xf numFmtId="3" fontId="19" fillId="0" borderId="48" xfId="47" applyNumberFormat="1" applyFont="1" applyBorder="1" applyAlignment="1">
      <alignment vertical="center" wrapText="1"/>
    </xf>
    <xf numFmtId="3" fontId="22" fillId="0" borderId="43" xfId="46" applyNumberFormat="1" applyFont="1" applyBorder="1" applyAlignment="1">
      <alignment wrapText="1"/>
    </xf>
    <xf numFmtId="0" fontId="24" fillId="0" borderId="49" xfId="0" applyFont="1" applyBorder="1" applyAlignment="1">
      <alignment wrapText="1"/>
    </xf>
    <xf numFmtId="0" fontId="24" fillId="0" borderId="111" xfId="0" applyFont="1" applyBorder="1" applyAlignment="1">
      <alignment wrapText="1"/>
    </xf>
    <xf numFmtId="3" fontId="22" fillId="0" borderId="51" xfId="47" applyNumberFormat="1" applyFont="1" applyBorder="1" applyAlignment="1">
      <alignment horizontal="right" vertical="center" wrapText="1"/>
    </xf>
    <xf numFmtId="3" fontId="22" fillId="0" borderId="49" xfId="50" applyNumberFormat="1" applyFont="1" applyBorder="1" applyAlignment="1">
      <alignment horizontal="right"/>
    </xf>
    <xf numFmtId="3" fontId="22" fillId="0" borderId="51" xfId="50" applyNumberFormat="1" applyFont="1" applyBorder="1" applyAlignment="1">
      <alignment horizontal="right"/>
    </xf>
    <xf numFmtId="3" fontId="22" fillId="0" borderId="50" xfId="50" applyNumberFormat="1" applyFont="1" applyBorder="1" applyAlignment="1">
      <alignment horizontal="right"/>
    </xf>
    <xf numFmtId="3" fontId="22" fillId="0" borderId="52" xfId="47" applyNumberFormat="1" applyFont="1" applyBorder="1" applyAlignment="1">
      <alignment horizontal="right" vertical="center" wrapText="1"/>
    </xf>
    <xf numFmtId="3" fontId="7" fillId="0" borderId="71" xfId="47" applyNumberFormat="1" applyFont="1" applyBorder="1" applyAlignment="1">
      <alignment horizontal="right" vertical="center" wrapText="1"/>
    </xf>
    <xf numFmtId="0" fontId="8" fillId="0" borderId="54" xfId="47" applyFont="1" applyBorder="1" applyAlignment="1">
      <alignment horizontal="left"/>
    </xf>
    <xf numFmtId="0" fontId="17" fillId="0" borderId="49" xfId="0" applyFont="1" applyBorder="1" applyAlignment="1">
      <alignment horizontal="left" wrapText="1"/>
    </xf>
    <xf numFmtId="0" fontId="17" fillId="0" borderId="111" xfId="0" applyFont="1" applyBorder="1" applyAlignment="1">
      <alignment horizontal="left" wrapText="1"/>
    </xf>
    <xf numFmtId="3" fontId="8" fillId="0" borderId="51" xfId="47" applyNumberFormat="1" applyFont="1" applyBorder="1" applyAlignment="1">
      <alignment horizontal="right" vertical="center" wrapText="1"/>
    </xf>
    <xf numFmtId="3" fontId="13" fillId="0" borderId="49" xfId="50" applyNumberFormat="1" applyFont="1" applyBorder="1" applyAlignment="1">
      <alignment horizontal="right"/>
    </xf>
    <xf numFmtId="3" fontId="13" fillId="0" borderId="49" xfId="0" applyNumberFormat="1" applyFont="1" applyBorder="1" applyAlignment="1">
      <alignment wrapText="1"/>
    </xf>
    <xf numFmtId="0" fontId="17" fillId="0" borderId="49" xfId="0" applyFont="1" applyBorder="1" applyAlignment="1">
      <alignment wrapText="1"/>
    </xf>
    <xf numFmtId="0" fontId="17" fillId="0" borderId="111" xfId="0" applyFont="1" applyBorder="1" applyAlignment="1">
      <alignment wrapText="1"/>
    </xf>
    <xf numFmtId="3" fontId="8" fillId="0" borderId="49" xfId="47" applyNumberFormat="1" applyFont="1" applyBorder="1" applyAlignment="1">
      <alignment horizontal="right" vertical="center" wrapText="1"/>
    </xf>
    <xf numFmtId="3" fontId="22" fillId="0" borderId="49" xfId="47" applyNumberFormat="1" applyFont="1" applyBorder="1" applyAlignment="1">
      <alignment horizontal="right" vertical="center" wrapText="1"/>
    </xf>
    <xf numFmtId="0" fontId="17" fillId="0" borderId="52" xfId="0" applyFont="1" applyBorder="1" applyAlignment="1">
      <alignment horizontal="left" wrapText="1"/>
    </xf>
    <xf numFmtId="3" fontId="13" fillId="0" borderId="49" xfId="47" applyNumberFormat="1" applyFont="1" applyBorder="1" applyAlignment="1">
      <alignment horizontal="right" vertical="center" wrapText="1"/>
    </xf>
    <xf numFmtId="3" fontId="7" fillId="0" borderId="53" xfId="47" applyNumberFormat="1" applyFont="1" applyBorder="1" applyAlignment="1">
      <alignment horizontal="right" vertical="center" wrapText="1"/>
    </xf>
    <xf numFmtId="3" fontId="19" fillId="0" borderId="95" xfId="47" applyNumberFormat="1" applyFont="1" applyBorder="1" applyAlignment="1">
      <alignment vertical="center" wrapText="1"/>
    </xf>
    <xf numFmtId="3" fontId="6" fillId="0" borderId="80" xfId="47" applyNumberFormat="1" applyFont="1" applyBorder="1" applyAlignment="1">
      <alignment wrapText="1"/>
    </xf>
    <xf numFmtId="0" fontId="8" fillId="0" borderId="96" xfId="47" applyFont="1" applyBorder="1" applyAlignment="1">
      <alignment horizontal="left"/>
    </xf>
    <xf numFmtId="0" fontId="17" fillId="0" borderId="80" xfId="0" applyFont="1" applyBorder="1" applyAlignment="1">
      <alignment horizontal="left" wrapText="1"/>
    </xf>
    <xf numFmtId="0" fontId="17" fillId="0" borderId="105" xfId="0" applyFont="1" applyBorder="1" applyAlignment="1">
      <alignment horizontal="left" wrapText="1"/>
    </xf>
    <xf numFmtId="3" fontId="8" fillId="0" borderId="127" xfId="47" applyNumberFormat="1" applyFont="1" applyBorder="1" applyAlignment="1">
      <alignment horizontal="right" vertical="center" wrapText="1"/>
    </xf>
    <xf numFmtId="3" fontId="8" fillId="0" borderId="80" xfId="47" applyNumberFormat="1" applyFont="1" applyBorder="1" applyAlignment="1">
      <alignment horizontal="right" vertical="center" wrapText="1"/>
    </xf>
    <xf numFmtId="3" fontId="8" fillId="0" borderId="105" xfId="47" applyNumberFormat="1" applyFont="1" applyBorder="1" applyAlignment="1">
      <alignment horizontal="right" wrapText="1"/>
    </xf>
    <xf numFmtId="3" fontId="7" fillId="0" borderId="97" xfId="47" applyNumberFormat="1" applyFont="1" applyBorder="1" applyAlignment="1">
      <alignment horizontal="right" vertical="center" wrapText="1"/>
    </xf>
    <xf numFmtId="3" fontId="12" fillId="0" borderId="0" xfId="28" applyNumberFormat="1" applyFont="1" applyAlignment="1">
      <alignment horizontal="left" vertical="top"/>
    </xf>
    <xf numFmtId="3" fontId="12" fillId="0" borderId="0" xfId="28" applyNumberFormat="1" applyFont="1" applyAlignment="1">
      <alignment horizontal="left"/>
    </xf>
    <xf numFmtId="3" fontId="12" fillId="0" borderId="0" xfId="51" applyNumberFormat="1" applyFont="1" applyAlignment="1">
      <alignment horizontal="right"/>
    </xf>
    <xf numFmtId="3" fontId="12" fillId="0" borderId="0" xfId="51" applyNumberFormat="1" applyFont="1" applyAlignment="1">
      <alignment horizontal="right" wrapText="1"/>
    </xf>
    <xf numFmtId="3" fontId="12" fillId="0" borderId="0" xfId="28" applyNumberFormat="1" applyFont="1" applyAlignment="1">
      <alignment horizontal="center" vertical="center"/>
    </xf>
    <xf numFmtId="3" fontId="12" fillId="0" borderId="0" xfId="28" applyNumberFormat="1" applyFont="1" applyAlignment="1">
      <alignment horizontal="right"/>
    </xf>
    <xf numFmtId="3" fontId="5" fillId="0" borderId="155" xfId="50" applyNumberFormat="1" applyFont="1" applyBorder="1" applyAlignment="1">
      <alignment horizontal="right" vertical="center"/>
    </xf>
    <xf numFmtId="0" fontId="10" fillId="0" borderId="49" xfId="50" applyFont="1" applyBorder="1" applyAlignment="1">
      <alignment wrapText="1"/>
    </xf>
    <xf numFmtId="0" fontId="7" fillId="0" borderId="49" xfId="50" applyFont="1" applyBorder="1" applyAlignment="1">
      <alignment wrapText="1"/>
    </xf>
    <xf numFmtId="0" fontId="35" fillId="0" borderId="49" xfId="50" applyFont="1" applyBorder="1" applyAlignment="1">
      <alignment wrapText="1"/>
    </xf>
    <xf numFmtId="0" fontId="37" fillId="0" borderId="49" xfId="50" applyFont="1" applyBorder="1" applyAlignment="1">
      <alignment horizontal="left"/>
    </xf>
    <xf numFmtId="0" fontId="38" fillId="0" borderId="49" xfId="50" applyFont="1" applyBorder="1" applyAlignment="1">
      <alignment horizontal="left"/>
    </xf>
    <xf numFmtId="0" fontId="39" fillId="0" borderId="49" xfId="50" applyFont="1" applyBorder="1" applyAlignment="1">
      <alignment wrapText="1"/>
    </xf>
    <xf numFmtId="0" fontId="35" fillId="0" borderId="49" xfId="50" applyFont="1" applyBorder="1" applyAlignment="1">
      <alignment shrinkToFit="1"/>
    </xf>
    <xf numFmtId="0" fontId="37" fillId="0" borderId="49" xfId="50" applyFont="1" applyBorder="1" applyAlignment="1">
      <alignment horizontal="left" wrapText="1"/>
    </xf>
    <xf numFmtId="0" fontId="37" fillId="0" borderId="49" xfId="50" applyFont="1" applyBorder="1" applyAlignment="1">
      <alignment horizontal="left" shrinkToFit="1"/>
    </xf>
    <xf numFmtId="3" fontId="5" fillId="0" borderId="156" xfId="50" applyNumberFormat="1" applyFont="1" applyBorder="1" applyAlignment="1">
      <alignment horizontal="right" vertical="center"/>
    </xf>
    <xf numFmtId="0" fontId="12" fillId="0" borderId="91" xfId="50" applyFont="1" applyBorder="1" applyAlignment="1">
      <alignment horizontal="center" vertical="center"/>
    </xf>
    <xf numFmtId="0" fontId="35" fillId="0" borderId="61" xfId="50" applyFont="1" applyBorder="1" applyAlignment="1">
      <alignment wrapText="1"/>
    </xf>
    <xf numFmtId="3" fontId="5" fillId="0" borderId="63" xfId="50" applyNumberFormat="1" applyFont="1" applyBorder="1" applyAlignment="1">
      <alignment horizontal="right" vertical="center"/>
    </xf>
    <xf numFmtId="0" fontId="5" fillId="0" borderId="64" xfId="50" applyFont="1" applyBorder="1" applyAlignment="1">
      <alignment horizontal="center" vertical="center" wrapText="1"/>
    </xf>
    <xf numFmtId="3" fontId="5" fillId="0" borderId="61" xfId="47" applyNumberFormat="1" applyFont="1" applyBorder="1" applyAlignment="1">
      <alignment horizontal="right" vertical="center" wrapText="1"/>
    </xf>
    <xf numFmtId="3" fontId="6" fillId="0" borderId="61" xfId="47" applyNumberFormat="1" applyFont="1" applyBorder="1" applyAlignment="1">
      <alignment horizontal="right" vertical="center" wrapText="1"/>
    </xf>
    <xf numFmtId="0" fontId="9" fillId="0" borderId="49" xfId="47" applyFont="1" applyBorder="1" applyAlignment="1">
      <alignment horizontal="left"/>
    </xf>
    <xf numFmtId="3" fontId="5" fillId="0" borderId="142" xfId="50" applyNumberFormat="1" applyFont="1" applyBorder="1" applyAlignment="1">
      <alignment horizontal="right" vertical="center"/>
    </xf>
    <xf numFmtId="0" fontId="5" fillId="0" borderId="106" xfId="50" applyFont="1" applyBorder="1" applyAlignment="1">
      <alignment horizontal="center" vertical="center" wrapText="1"/>
    </xf>
    <xf numFmtId="3" fontId="5" fillId="0" borderId="106" xfId="47" applyNumberFormat="1" applyFont="1" applyBorder="1" applyAlignment="1">
      <alignment horizontal="right" vertical="center" wrapText="1"/>
    </xf>
    <xf numFmtId="3" fontId="6" fillId="0" borderId="76" xfId="47" applyNumberFormat="1" applyFont="1" applyBorder="1" applyAlignment="1">
      <alignment horizontal="right" vertical="center" wrapText="1"/>
    </xf>
    <xf numFmtId="0" fontId="5" fillId="0" borderId="55" xfId="0" applyFont="1" applyBorder="1" applyAlignment="1">
      <alignment wrapText="1" shrinkToFit="1"/>
    </xf>
    <xf numFmtId="3" fontId="5" fillId="0" borderId="45" xfId="50" applyNumberFormat="1" applyFont="1" applyBorder="1" applyAlignment="1">
      <alignment horizontal="right" vertical="center"/>
    </xf>
    <xf numFmtId="3" fontId="5" fillId="0" borderId="151" xfId="50" applyNumberFormat="1" applyFont="1" applyBorder="1" applyAlignment="1">
      <alignment horizontal="right" vertical="center"/>
    </xf>
    <xf numFmtId="3" fontId="5" fillId="0" borderId="59" xfId="47" applyNumberFormat="1" applyFont="1" applyBorder="1" applyAlignment="1">
      <alignment horizontal="right" vertical="center" wrapText="1"/>
    </xf>
    <xf numFmtId="3" fontId="5" fillId="0" borderId="57" xfId="47" applyNumberFormat="1" applyFont="1" applyBorder="1" applyAlignment="1">
      <alignment horizontal="right" vertical="center" wrapText="1"/>
    </xf>
    <xf numFmtId="3" fontId="5" fillId="0" borderId="157" xfId="50" applyNumberFormat="1" applyFont="1" applyBorder="1" applyAlignment="1">
      <alignment horizontal="right" vertical="center"/>
    </xf>
    <xf numFmtId="3" fontId="19" fillId="0" borderId="158" xfId="47" applyNumberFormat="1" applyFont="1" applyBorder="1" applyAlignment="1">
      <alignment vertical="center" wrapText="1"/>
    </xf>
    <xf numFmtId="0" fontId="6" fillId="0" borderId="73" xfId="47" applyFont="1" applyBorder="1" applyAlignment="1">
      <alignment horizontal="left"/>
    </xf>
    <xf numFmtId="3" fontId="6" fillId="0" borderId="56" xfId="50" applyNumberFormat="1" applyFont="1" applyBorder="1" applyAlignment="1">
      <alignment horizontal="right" vertical="center"/>
    </xf>
    <xf numFmtId="3" fontId="6" fillId="0" borderId="56" xfId="47" applyNumberFormat="1" applyFont="1" applyBorder="1" applyAlignment="1">
      <alignment horizontal="right" vertical="center"/>
    </xf>
    <xf numFmtId="3" fontId="6" fillId="0" borderId="74" xfId="50" applyNumberFormat="1" applyFont="1" applyBorder="1" applyAlignment="1">
      <alignment horizontal="right" vertical="center"/>
    </xf>
    <xf numFmtId="0" fontId="6" fillId="0" borderId="103" xfId="50" applyFont="1" applyBorder="1" applyAlignment="1">
      <alignment horizontal="center" vertical="center" wrapText="1"/>
    </xf>
    <xf numFmtId="3" fontId="6" fillId="0" borderId="103" xfId="47" applyNumberFormat="1" applyFont="1" applyBorder="1" applyAlignment="1">
      <alignment horizontal="right" vertical="center" wrapText="1"/>
    </xf>
    <xf numFmtId="3" fontId="6" fillId="0" borderId="74" xfId="47" applyNumberFormat="1" applyFont="1" applyBorder="1" applyAlignment="1">
      <alignment horizontal="right" wrapText="1"/>
    </xf>
    <xf numFmtId="3" fontId="19" fillId="0" borderId="42" xfId="47" applyNumberFormat="1" applyFont="1" applyBorder="1" applyAlignment="1">
      <alignment vertical="center" wrapText="1"/>
    </xf>
    <xf numFmtId="3" fontId="6" fillId="0" borderId="43" xfId="47" applyNumberFormat="1" applyFont="1" applyBorder="1" applyAlignment="1">
      <alignment wrapText="1"/>
    </xf>
    <xf numFmtId="3" fontId="13" fillId="0" borderId="54" xfId="0" applyNumberFormat="1" applyFont="1" applyBorder="1" applyAlignment="1">
      <alignment wrapText="1"/>
    </xf>
    <xf numFmtId="3" fontId="13" fillId="0" borderId="43" xfId="0" applyNumberFormat="1" applyFont="1" applyBorder="1" applyAlignment="1">
      <alignment wrapText="1"/>
    </xf>
    <xf numFmtId="3" fontId="13" fillId="0" borderId="147" xfId="0" applyNumberFormat="1" applyFont="1" applyBorder="1" applyAlignment="1">
      <alignment wrapText="1"/>
    </xf>
    <xf numFmtId="3" fontId="19" fillId="0" borderId="45" xfId="47" applyNumberFormat="1" applyFont="1" applyBorder="1" applyAlignment="1">
      <alignment horizontal="right" vertical="center" wrapText="1"/>
    </xf>
    <xf numFmtId="3" fontId="19" fillId="0" borderId="43" xfId="47" applyNumberFormat="1" applyFont="1" applyBorder="1" applyAlignment="1">
      <alignment horizontal="right" vertical="center" wrapText="1"/>
    </xf>
    <xf numFmtId="3" fontId="19" fillId="0" borderId="46" xfId="47" applyNumberFormat="1" applyFont="1" applyBorder="1" applyAlignment="1">
      <alignment horizontal="right" vertical="center" wrapText="1"/>
    </xf>
    <xf numFmtId="3" fontId="6" fillId="0" borderId="135" xfId="47" applyNumberFormat="1" applyFont="1" applyBorder="1" applyAlignment="1">
      <alignment horizontal="right" vertical="center" wrapText="1"/>
    </xf>
    <xf numFmtId="0" fontId="23" fillId="0" borderId="43" xfId="0" applyFont="1" applyBorder="1" applyAlignment="1">
      <alignment wrapText="1"/>
    </xf>
    <xf numFmtId="0" fontId="23" fillId="0" borderId="147" xfId="0" applyFont="1" applyBorder="1" applyAlignment="1">
      <alignment wrapText="1"/>
    </xf>
    <xf numFmtId="3" fontId="21" fillId="0" borderId="51" xfId="47" applyNumberFormat="1" applyFont="1" applyBorder="1" applyAlignment="1">
      <alignment horizontal="right" vertical="center" wrapText="1"/>
    </xf>
    <xf numFmtId="0" fontId="0" fillId="0" borderId="43" xfId="0" applyBorder="1" applyAlignment="1">
      <alignment horizontal="left" wrapText="1"/>
    </xf>
    <xf numFmtId="0" fontId="0" fillId="0" borderId="147" xfId="0" applyBorder="1" applyAlignment="1">
      <alignment horizontal="left" wrapText="1"/>
    </xf>
    <xf numFmtId="3" fontId="19" fillId="0" borderId="51" xfId="47" applyNumberFormat="1" applyFont="1" applyBorder="1" applyAlignment="1">
      <alignment horizontal="right" vertical="center" wrapText="1"/>
    </xf>
    <xf numFmtId="0" fontId="40" fillId="0" borderId="43" xfId="0" applyFont="1" applyBorder="1" applyAlignment="1">
      <alignment horizontal="left" wrapText="1"/>
    </xf>
    <xf numFmtId="0" fontId="40" fillId="0" borderId="147" xfId="0" applyFont="1" applyBorder="1" applyAlignment="1">
      <alignment horizontal="left" wrapText="1"/>
    </xf>
    <xf numFmtId="0" fontId="23" fillId="0" borderId="49" xfId="0" applyFont="1" applyBorder="1" applyAlignment="1">
      <alignment wrapText="1"/>
    </xf>
    <xf numFmtId="0" fontId="23" fillId="0" borderId="52" xfId="0" applyFont="1" applyBorder="1" applyAlignment="1">
      <alignment wrapText="1"/>
    </xf>
    <xf numFmtId="0" fontId="0" fillId="0" borderId="49" xfId="0" applyBorder="1" applyAlignment="1">
      <alignment horizontal="left" wrapText="1"/>
    </xf>
    <xf numFmtId="0" fontId="0" fillId="0" borderId="52" xfId="0" applyBorder="1" applyAlignment="1">
      <alignment horizontal="left" wrapText="1"/>
    </xf>
    <xf numFmtId="0" fontId="40" fillId="0" borderId="80" xfId="0" applyFont="1" applyBorder="1" applyAlignment="1">
      <alignment horizontal="left" wrapText="1"/>
    </xf>
    <xf numFmtId="0" fontId="40" fillId="0" borderId="105" xfId="0" applyFont="1" applyBorder="1" applyAlignment="1">
      <alignment horizontal="left" wrapText="1"/>
    </xf>
    <xf numFmtId="3" fontId="19" fillId="0" borderId="127" xfId="47" applyNumberFormat="1" applyFont="1" applyBorder="1" applyAlignment="1">
      <alignment horizontal="right" vertical="center" wrapText="1"/>
    </xf>
    <xf numFmtId="3" fontId="6" fillId="0" borderId="140" xfId="47" applyNumberFormat="1" applyFont="1" applyBorder="1" applyAlignment="1">
      <alignment horizontal="right" vertical="center" wrapText="1"/>
    </xf>
    <xf numFmtId="3" fontId="12" fillId="0" borderId="116" xfId="28" applyNumberFormat="1" applyFont="1" applyBorder="1" applyAlignment="1">
      <alignment horizontal="left" vertical="top"/>
    </xf>
    <xf numFmtId="3" fontId="12" fillId="0" borderId="116" xfId="28" applyNumberFormat="1" applyFont="1" applyBorder="1" applyAlignment="1">
      <alignment horizontal="left"/>
    </xf>
    <xf numFmtId="3" fontId="12" fillId="0" borderId="116" xfId="51" applyNumberFormat="1" applyFont="1" applyBorder="1" applyAlignment="1">
      <alignment horizontal="right"/>
    </xf>
    <xf numFmtId="3" fontId="12" fillId="0" borderId="116" xfId="51" applyNumberFormat="1" applyFont="1" applyBorder="1" applyAlignment="1">
      <alignment horizontal="right" wrapText="1"/>
    </xf>
    <xf numFmtId="3" fontId="12" fillId="0" borderId="116" xfId="28" applyNumberFormat="1" applyFont="1" applyBorder="1" applyAlignment="1">
      <alignment horizontal="center" vertical="center"/>
    </xf>
    <xf numFmtId="3" fontId="5" fillId="0" borderId="116" xfId="51" applyNumberFormat="1" applyFont="1" applyBorder="1" applyAlignment="1">
      <alignment horizontal="right"/>
    </xf>
    <xf numFmtId="3" fontId="12" fillId="0" borderId="116" xfId="50" applyNumberFormat="1" applyFont="1" applyBorder="1" applyAlignment="1">
      <alignment horizontal="right" vertical="center"/>
    </xf>
    <xf numFmtId="0" fontId="5" fillId="0" borderId="0" xfId="50" applyFont="1" applyAlignment="1">
      <alignment horizontal="center"/>
    </xf>
    <xf numFmtId="3" fontId="5" fillId="0" borderId="0" xfId="50" applyNumberFormat="1" applyFont="1" applyAlignment="1">
      <alignment horizontal="center" wrapText="1"/>
    </xf>
    <xf numFmtId="3" fontId="6" fillId="0" borderId="0" xfId="50" applyNumberFormat="1" applyFont="1" applyAlignment="1">
      <alignment horizontal="right"/>
    </xf>
    <xf numFmtId="0" fontId="5" fillId="0" borderId="0" xfId="51" applyFont="1"/>
    <xf numFmtId="0" fontId="5" fillId="0" borderId="0" xfId="51" applyFont="1" applyAlignment="1">
      <alignment horizontal="center"/>
    </xf>
    <xf numFmtId="3" fontId="5" fillId="0" borderId="0" xfId="28" applyNumberFormat="1" applyFont="1" applyAlignment="1">
      <alignment horizontal="center"/>
    </xf>
    <xf numFmtId="3" fontId="12" fillId="0" borderId="0" xfId="50" applyNumberFormat="1" applyFont="1" applyAlignment="1">
      <alignment horizontal="center" wrapText="1"/>
    </xf>
    <xf numFmtId="3" fontId="19" fillId="0" borderId="0" xfId="50" applyNumberFormat="1" applyFont="1" applyAlignment="1">
      <alignment horizontal="right"/>
    </xf>
    <xf numFmtId="0" fontId="11" fillId="0" borderId="0" xfId="50" applyFont="1" applyAlignment="1">
      <alignment horizontal="center"/>
    </xf>
    <xf numFmtId="0" fontId="11" fillId="0" borderId="0" xfId="51" applyFont="1" applyAlignment="1">
      <alignment horizontal="center" wrapText="1"/>
    </xf>
    <xf numFmtId="3" fontId="5" fillId="0" borderId="115" xfId="50" applyNumberFormat="1" applyFont="1" applyBorder="1" applyAlignment="1">
      <alignment horizontal="center" vertical="center" wrapText="1"/>
    </xf>
    <xf numFmtId="3" fontId="5" fillId="0" borderId="41" xfId="50" applyNumberFormat="1" applyFont="1" applyBorder="1" applyAlignment="1">
      <alignment horizontal="center" vertical="center" wrapText="1"/>
    </xf>
    <xf numFmtId="3" fontId="5" fillId="0" borderId="112" xfId="50" applyNumberFormat="1" applyFont="1" applyBorder="1" applyAlignment="1">
      <alignment horizontal="center" vertical="center" wrapText="1"/>
    </xf>
    <xf numFmtId="3" fontId="12" fillId="0" borderId="0" xfId="50" applyNumberFormat="1" applyFont="1" applyAlignment="1">
      <alignment horizontal="center" vertical="center"/>
    </xf>
    <xf numFmtId="0" fontId="6" fillId="0" borderId="42" xfId="50" applyFont="1" applyBorder="1" applyAlignment="1">
      <alignment horizontal="center"/>
    </xf>
    <xf numFmtId="0" fontId="10" fillId="0" borderId="43" xfId="50" applyFont="1" applyBorder="1" applyAlignment="1">
      <alignment horizontal="left"/>
    </xf>
    <xf numFmtId="3" fontId="5" fillId="0" borderId="44" xfId="48" applyNumberFormat="1" applyFont="1" applyBorder="1" applyAlignment="1">
      <alignment horizontal="left"/>
    </xf>
    <xf numFmtId="3" fontId="5" fillId="0" borderId="43" xfId="50" applyNumberFormat="1" applyFont="1" applyBorder="1" applyAlignment="1">
      <alignment horizontal="right"/>
    </xf>
    <xf numFmtId="3" fontId="5" fillId="0" borderId="43" xfId="47" applyNumberFormat="1" applyFont="1" applyBorder="1" applyAlignment="1">
      <alignment horizontal="right"/>
    </xf>
    <xf numFmtId="3" fontId="5" fillId="0" borderId="54" xfId="50" applyNumberFormat="1" applyFont="1" applyBorder="1" applyAlignment="1">
      <alignment horizontal="right"/>
    </xf>
    <xf numFmtId="0" fontId="5" fillId="0" borderId="98" xfId="50" applyFont="1" applyBorder="1" applyAlignment="1">
      <alignment horizontal="center" wrapText="1"/>
    </xf>
    <xf numFmtId="3" fontId="33" fillId="0" borderId="163" xfId="47" applyNumberFormat="1" applyFont="1" applyBorder="1" applyAlignment="1">
      <alignment horizontal="right" wrapText="1"/>
    </xf>
    <xf numFmtId="3" fontId="33" fillId="0" borderId="164" xfId="47" applyNumberFormat="1" applyFont="1" applyBorder="1" applyAlignment="1">
      <alignment horizontal="right" wrapText="1"/>
    </xf>
    <xf numFmtId="3" fontId="31" fillId="0" borderId="165" xfId="47" applyNumberFormat="1" applyFont="1" applyBorder="1" applyAlignment="1">
      <alignment horizontal="right" wrapText="1"/>
    </xf>
    <xf numFmtId="3" fontId="5" fillId="0" borderId="151" xfId="50" applyNumberFormat="1" applyFont="1" applyBorder="1" applyAlignment="1">
      <alignment horizontal="right"/>
    </xf>
    <xf numFmtId="0" fontId="6" fillId="0" borderId="0" xfId="50" applyFont="1"/>
    <xf numFmtId="0" fontId="6" fillId="0" borderId="48" xfId="50" applyFont="1" applyBorder="1" applyAlignment="1">
      <alignment horizontal="center"/>
    </xf>
    <xf numFmtId="0" fontId="5" fillId="0" borderId="50" xfId="47" applyFont="1" applyBorder="1" applyAlignment="1">
      <alignment vertical="top" wrapText="1"/>
    </xf>
    <xf numFmtId="3" fontId="5" fillId="0" borderId="49" xfId="50" applyNumberFormat="1" applyFont="1" applyBorder="1" applyAlignment="1">
      <alignment horizontal="right" vertical="top"/>
    </xf>
    <xf numFmtId="3" fontId="5" fillId="0" borderId="49" xfId="50" applyNumberFormat="1" applyFont="1" applyBorder="1" applyAlignment="1">
      <alignment horizontal="right"/>
    </xf>
    <xf numFmtId="3" fontId="5" fillId="0" borderId="55" xfId="50" applyNumberFormat="1" applyFont="1" applyBorder="1" applyAlignment="1">
      <alignment horizontal="right" vertical="top"/>
    </xf>
    <xf numFmtId="0" fontId="5" fillId="0" borderId="99" xfId="50" applyFont="1" applyBorder="1" applyAlignment="1">
      <alignment horizontal="center" vertical="top" wrapText="1"/>
    </xf>
    <xf numFmtId="3" fontId="31" fillId="0" borderId="51" xfId="50" applyNumberFormat="1" applyFont="1" applyBorder="1" applyAlignment="1">
      <alignment horizontal="right"/>
    </xf>
    <xf numFmtId="3" fontId="31" fillId="0" borderId="49" xfId="50" applyNumberFormat="1" applyFont="1" applyBorder="1" applyAlignment="1">
      <alignment horizontal="right"/>
    </xf>
    <xf numFmtId="3" fontId="33" fillId="0" borderId="49" xfId="50" applyNumberFormat="1" applyFont="1" applyBorder="1" applyAlignment="1">
      <alignment horizontal="right"/>
    </xf>
    <xf numFmtId="3" fontId="31" fillId="0" borderId="52" xfId="50" applyNumberFormat="1" applyFont="1" applyBorder="1" applyAlignment="1">
      <alignment horizontal="right"/>
    </xf>
    <xf numFmtId="3" fontId="5" fillId="0" borderId="152" xfId="50" applyNumberFormat="1" applyFont="1" applyBorder="1" applyAlignment="1">
      <alignment horizontal="right"/>
    </xf>
    <xf numFmtId="0" fontId="5" fillId="0" borderId="48" xfId="50" applyFont="1" applyBorder="1" applyAlignment="1">
      <alignment horizontal="center"/>
    </xf>
    <xf numFmtId="0" fontId="31" fillId="0" borderId="50" xfId="47" applyFont="1" applyBorder="1"/>
    <xf numFmtId="3" fontId="5" fillId="0" borderId="55" xfId="50" applyNumberFormat="1" applyFont="1" applyBorder="1" applyAlignment="1">
      <alignment horizontal="right"/>
    </xf>
    <xf numFmtId="0" fontId="5" fillId="0" borderId="99" xfId="50" applyFont="1" applyBorder="1" applyAlignment="1">
      <alignment horizontal="center" wrapText="1"/>
    </xf>
    <xf numFmtId="3" fontId="31" fillId="0" borderId="52" xfId="47" applyNumberFormat="1" applyFont="1" applyBorder="1" applyAlignment="1">
      <alignment horizontal="right" wrapText="1"/>
    </xf>
    <xf numFmtId="0" fontId="6" fillId="0" borderId="50" xfId="47" applyFont="1" applyBorder="1" applyAlignment="1">
      <alignment horizontal="left"/>
    </xf>
    <xf numFmtId="3" fontId="6" fillId="0" borderId="51" xfId="50" applyNumberFormat="1" applyFont="1" applyBorder="1" applyAlignment="1">
      <alignment horizontal="right"/>
    </xf>
    <xf numFmtId="3" fontId="6" fillId="0" borderId="49" xfId="50" applyNumberFormat="1" applyFont="1" applyBorder="1" applyAlignment="1">
      <alignment horizontal="right"/>
    </xf>
    <xf numFmtId="0" fontId="9" fillId="0" borderId="50" xfId="47" applyFont="1" applyBorder="1" applyAlignment="1">
      <alignment horizontal="left"/>
    </xf>
    <xf numFmtId="0" fontId="5" fillId="0" borderId="49" xfId="47" applyFont="1" applyBorder="1" applyAlignment="1">
      <alignment vertical="top" wrapText="1"/>
    </xf>
    <xf numFmtId="3" fontId="5" fillId="0" borderId="49" xfId="47" applyNumberFormat="1" applyFont="1" applyBorder="1" applyAlignment="1">
      <alignment horizontal="right" vertical="top"/>
    </xf>
    <xf numFmtId="3" fontId="31" fillId="0" borderId="51" xfId="47" applyNumberFormat="1" applyFont="1" applyBorder="1" applyAlignment="1">
      <alignment horizontal="right" wrapText="1"/>
    </xf>
    <xf numFmtId="3" fontId="31" fillId="0" borderId="49" xfId="47" applyNumberFormat="1" applyFont="1" applyBorder="1" applyAlignment="1">
      <alignment horizontal="right" wrapText="1"/>
    </xf>
    <xf numFmtId="3" fontId="33" fillId="0" borderId="49" xfId="47" applyNumberFormat="1" applyFont="1" applyBorder="1" applyAlignment="1">
      <alignment horizontal="right" wrapText="1"/>
    </xf>
    <xf numFmtId="3" fontId="5" fillId="0" borderId="49" xfId="47" applyNumberFormat="1" applyFont="1" applyBorder="1" applyAlignment="1">
      <alignment horizontal="right"/>
    </xf>
    <xf numFmtId="3" fontId="6" fillId="0" borderId="49" xfId="47" applyNumberFormat="1" applyFont="1" applyBorder="1" applyAlignment="1">
      <alignment horizontal="right" wrapText="1"/>
    </xf>
    <xf numFmtId="3" fontId="5" fillId="0" borderId="49" xfId="47" applyNumberFormat="1" applyFont="1" applyBorder="1" applyAlignment="1">
      <alignment horizontal="right" wrapText="1"/>
    </xf>
    <xf numFmtId="3" fontId="9" fillId="0" borderId="49" xfId="47" applyNumberFormat="1" applyFont="1" applyBorder="1" applyAlignment="1">
      <alignment horizontal="right" wrapText="1"/>
    </xf>
    <xf numFmtId="3" fontId="6" fillId="0" borderId="51" xfId="47" applyNumberFormat="1" applyFont="1" applyBorder="1" applyAlignment="1">
      <alignment horizontal="right" wrapText="1"/>
    </xf>
    <xf numFmtId="2" fontId="5" fillId="0" borderId="49" xfId="47" applyNumberFormat="1" applyFont="1" applyBorder="1" applyAlignment="1">
      <alignment wrapText="1"/>
    </xf>
    <xf numFmtId="3" fontId="9" fillId="0" borderId="49" xfId="50" applyNumberFormat="1" applyFont="1" applyBorder="1" applyAlignment="1">
      <alignment horizontal="right"/>
    </xf>
    <xf numFmtId="0" fontId="5" fillId="0" borderId="49" xfId="47" applyFont="1" applyBorder="1"/>
    <xf numFmtId="0" fontId="6" fillId="0" borderId="90" xfId="50" applyFont="1" applyBorder="1" applyAlignment="1">
      <alignment horizontal="center"/>
    </xf>
    <xf numFmtId="0" fontId="5" fillId="0" borderId="61" xfId="50" applyFont="1" applyBorder="1" applyAlignment="1">
      <alignment horizontal="center" vertical="top"/>
    </xf>
    <xf numFmtId="0" fontId="31" fillId="0" borderId="62" xfId="47" applyFont="1" applyBorder="1"/>
    <xf numFmtId="3" fontId="5" fillId="0" borderId="61" xfId="50" applyNumberFormat="1" applyFont="1" applyBorder="1" applyAlignment="1">
      <alignment horizontal="right"/>
    </xf>
    <xf numFmtId="3" fontId="5" fillId="0" borderId="72" xfId="50" applyNumberFormat="1" applyFont="1" applyBorder="1" applyAlignment="1">
      <alignment horizontal="right"/>
    </xf>
    <xf numFmtId="0" fontId="5" fillId="0" borderId="102" xfId="50" applyFont="1" applyBorder="1" applyAlignment="1">
      <alignment horizontal="center" wrapText="1"/>
    </xf>
    <xf numFmtId="3" fontId="31" fillId="0" borderId="64" xfId="50" applyNumberFormat="1" applyFont="1" applyBorder="1" applyAlignment="1">
      <alignment horizontal="right"/>
    </xf>
    <xf numFmtId="3" fontId="31" fillId="0" borderId="61" xfId="50" applyNumberFormat="1" applyFont="1" applyBorder="1" applyAlignment="1">
      <alignment horizontal="right"/>
    </xf>
    <xf numFmtId="3" fontId="33" fillId="0" borderId="61" xfId="50" applyNumberFormat="1" applyFont="1" applyBorder="1" applyAlignment="1">
      <alignment horizontal="right"/>
    </xf>
    <xf numFmtId="3" fontId="31" fillId="0" borderId="63" xfId="47" applyNumberFormat="1" applyFont="1" applyBorder="1" applyAlignment="1">
      <alignment horizontal="right" wrapText="1"/>
    </xf>
    <xf numFmtId="3" fontId="5" fillId="0" borderId="156" xfId="50" applyNumberFormat="1" applyFont="1" applyBorder="1" applyAlignment="1">
      <alignment horizontal="right"/>
    </xf>
    <xf numFmtId="0" fontId="6" fillId="0" borderId="91" xfId="50" applyFont="1" applyBorder="1" applyAlignment="1">
      <alignment horizontal="center"/>
    </xf>
    <xf numFmtId="3" fontId="5" fillId="0" borderId="62" xfId="50" applyNumberFormat="1" applyFont="1" applyBorder="1" applyAlignment="1">
      <alignment horizontal="right"/>
    </xf>
    <xf numFmtId="3" fontId="6" fillId="0" borderId="64" xfId="50" applyNumberFormat="1" applyFont="1" applyBorder="1" applyAlignment="1">
      <alignment horizontal="right"/>
    </xf>
    <xf numFmtId="3" fontId="5" fillId="0" borderId="64" xfId="50" applyNumberFormat="1" applyFont="1" applyBorder="1" applyAlignment="1">
      <alignment horizontal="right"/>
    </xf>
    <xf numFmtId="3" fontId="9" fillId="0" borderId="64" xfId="50" applyNumberFormat="1" applyFont="1" applyBorder="1" applyAlignment="1">
      <alignment horizontal="right"/>
    </xf>
    <xf numFmtId="3" fontId="33" fillId="0" borderId="64" xfId="50" applyNumberFormat="1" applyFont="1" applyBorder="1" applyAlignment="1">
      <alignment horizontal="right"/>
    </xf>
    <xf numFmtId="3" fontId="5" fillId="0" borderId="62" xfId="50" applyNumberFormat="1" applyFont="1" applyBorder="1" applyAlignment="1">
      <alignment horizontal="right" vertical="top"/>
    </xf>
    <xf numFmtId="0" fontId="5" fillId="0" borderId="102" xfId="50" applyFont="1" applyBorder="1" applyAlignment="1">
      <alignment horizontal="center" vertical="top" wrapText="1"/>
    </xf>
    <xf numFmtId="3" fontId="31" fillId="0" borderId="53" xfId="50" applyNumberFormat="1" applyFont="1" applyBorder="1" applyAlignment="1">
      <alignment horizontal="right"/>
    </xf>
    <xf numFmtId="3" fontId="31" fillId="0" borderId="136" xfId="50" applyNumberFormat="1" applyFont="1" applyBorder="1" applyAlignment="1">
      <alignment horizontal="right"/>
    </xf>
    <xf numFmtId="3" fontId="31" fillId="0" borderId="156" xfId="50" applyNumberFormat="1" applyFont="1" applyBorder="1" applyAlignment="1">
      <alignment horizontal="right"/>
    </xf>
    <xf numFmtId="3" fontId="5" fillId="0" borderId="50" xfId="50" applyNumberFormat="1" applyFont="1" applyBorder="1" applyAlignment="1">
      <alignment horizontal="right"/>
    </xf>
    <xf numFmtId="3" fontId="9" fillId="0" borderId="51" xfId="50" applyNumberFormat="1" applyFont="1" applyBorder="1" applyAlignment="1">
      <alignment horizontal="right"/>
    </xf>
    <xf numFmtId="3" fontId="33" fillId="0" borderId="51" xfId="50" applyNumberFormat="1" applyFont="1" applyBorder="1" applyAlignment="1">
      <alignment horizontal="right"/>
    </xf>
    <xf numFmtId="3" fontId="31" fillId="0" borderId="152" xfId="50" applyNumberFormat="1" applyFont="1" applyBorder="1" applyAlignment="1">
      <alignment horizontal="right"/>
    </xf>
    <xf numFmtId="0" fontId="6" fillId="0" borderId="61" xfId="47" applyFont="1" applyBorder="1" applyAlignment="1">
      <alignment horizontal="left"/>
    </xf>
    <xf numFmtId="0" fontId="6" fillId="0" borderId="92" xfId="50" applyFont="1" applyBorder="1" applyAlignment="1">
      <alignment horizontal="center"/>
    </xf>
    <xf numFmtId="0" fontId="5" fillId="0" borderId="51" xfId="47" applyFont="1" applyBorder="1" applyAlignment="1">
      <alignment wrapText="1"/>
    </xf>
    <xf numFmtId="3" fontId="5" fillId="0" borderId="61" xfId="50" applyNumberFormat="1" applyFont="1" applyBorder="1" applyAlignment="1">
      <alignment horizontal="right" vertical="top"/>
    </xf>
    <xf numFmtId="0" fontId="5" fillId="0" borderId="101" xfId="50" applyFont="1" applyBorder="1" applyAlignment="1">
      <alignment horizontal="center" wrapText="1"/>
    </xf>
    <xf numFmtId="3" fontId="31" fillId="0" borderId="59" xfId="50" applyNumberFormat="1" applyFont="1" applyBorder="1" applyAlignment="1">
      <alignment horizontal="right"/>
    </xf>
    <xf numFmtId="3" fontId="33" fillId="0" borderId="59" xfId="50" applyNumberFormat="1" applyFont="1" applyBorder="1" applyAlignment="1">
      <alignment horizontal="right"/>
    </xf>
    <xf numFmtId="3" fontId="31" fillId="0" borderId="58" xfId="47" applyNumberFormat="1" applyFont="1" applyBorder="1" applyAlignment="1">
      <alignment horizontal="right" wrapText="1"/>
    </xf>
    <xf numFmtId="3" fontId="5" fillId="0" borderId="157" xfId="50" applyNumberFormat="1" applyFont="1" applyBorder="1" applyAlignment="1">
      <alignment horizontal="right"/>
    </xf>
    <xf numFmtId="3" fontId="41" fillId="0" borderId="90" xfId="47" applyNumberFormat="1" applyFont="1" applyBorder="1" applyAlignment="1">
      <alignment vertical="center" wrapText="1"/>
    </xf>
    <xf numFmtId="3" fontId="41" fillId="0" borderId="61" xfId="47" applyNumberFormat="1" applyFont="1" applyBorder="1" applyAlignment="1">
      <alignment vertical="center" wrapText="1"/>
    </xf>
    <xf numFmtId="3" fontId="41" fillId="0" borderId="49" xfId="47" applyNumberFormat="1" applyFont="1" applyBorder="1" applyAlignment="1">
      <alignment vertical="center" wrapText="1"/>
    </xf>
    <xf numFmtId="3" fontId="41" fillId="0" borderId="110" xfId="47" applyNumberFormat="1" applyFont="1" applyBorder="1" applyAlignment="1">
      <alignment vertical="center" wrapText="1"/>
    </xf>
    <xf numFmtId="3" fontId="5" fillId="0" borderId="102" xfId="47" applyNumberFormat="1" applyFont="1" applyBorder="1" applyAlignment="1">
      <alignment horizontal="right" vertical="center" wrapText="1"/>
    </xf>
    <xf numFmtId="3" fontId="41" fillId="0" borderId="64" xfId="47" applyNumberFormat="1" applyFont="1" applyBorder="1" applyAlignment="1">
      <alignment horizontal="right" vertical="center" wrapText="1"/>
    </xf>
    <xf numFmtId="3" fontId="41" fillId="0" borderId="63" xfId="47" applyNumberFormat="1" applyFont="1" applyBorder="1" applyAlignment="1">
      <alignment horizontal="right" vertical="center" wrapText="1"/>
    </xf>
    <xf numFmtId="3" fontId="41" fillId="0" borderId="156" xfId="47" applyNumberFormat="1" applyFont="1" applyBorder="1" applyAlignment="1">
      <alignment horizontal="right" vertical="center" wrapText="1"/>
    </xf>
    <xf numFmtId="0" fontId="5" fillId="0" borderId="0" xfId="50" applyFont="1" applyAlignment="1">
      <alignment vertical="center"/>
    </xf>
    <xf numFmtId="3" fontId="5" fillId="0" borderId="64" xfId="47" applyNumberFormat="1" applyFont="1" applyBorder="1" applyAlignment="1">
      <alignment horizontal="right" vertical="center" wrapText="1"/>
    </xf>
    <xf numFmtId="3" fontId="6" fillId="0" borderId="64" xfId="47" applyNumberFormat="1" applyFont="1" applyBorder="1" applyAlignment="1">
      <alignment horizontal="right" vertical="center" wrapText="1"/>
    </xf>
    <xf numFmtId="3" fontId="41" fillId="0" borderId="136" xfId="47" applyNumberFormat="1" applyFont="1" applyBorder="1" applyAlignment="1">
      <alignment horizontal="right" vertical="center" wrapText="1"/>
    </xf>
    <xf numFmtId="3" fontId="41" fillId="0" borderId="48" xfId="47" applyNumberFormat="1" applyFont="1" applyBorder="1" applyAlignment="1">
      <alignment vertical="center" wrapText="1"/>
    </xf>
    <xf numFmtId="3" fontId="41" fillId="0" borderId="52" xfId="47" applyNumberFormat="1" applyFont="1" applyBorder="1" applyAlignment="1">
      <alignment vertical="center" wrapText="1"/>
    </xf>
    <xf numFmtId="3" fontId="41" fillId="0" borderId="71" xfId="47" applyNumberFormat="1" applyFont="1" applyBorder="1" applyAlignment="1">
      <alignment horizontal="right" vertical="center" wrapText="1"/>
    </xf>
    <xf numFmtId="3" fontId="41" fillId="0" borderId="95" xfId="47" applyNumberFormat="1" applyFont="1" applyBorder="1" applyAlignment="1">
      <alignment vertical="center" wrapText="1"/>
    </xf>
    <xf numFmtId="3" fontId="41" fillId="0" borderId="80" xfId="47" applyNumberFormat="1" applyFont="1" applyBorder="1" applyAlignment="1">
      <alignment vertical="center" wrapText="1"/>
    </xf>
    <xf numFmtId="0" fontId="6" fillId="0" borderId="80" xfId="47" applyFont="1" applyBorder="1" applyAlignment="1">
      <alignment horizontal="left"/>
    </xf>
    <xf numFmtId="3" fontId="41" fillId="0" borderId="105" xfId="47" applyNumberFormat="1" applyFont="1" applyBorder="1" applyAlignment="1">
      <alignment vertical="center" wrapText="1"/>
    </xf>
    <xf numFmtId="3" fontId="5" fillId="0" borderId="127" xfId="47" applyNumberFormat="1" applyFont="1" applyBorder="1" applyAlignment="1">
      <alignment horizontal="right" vertical="center" wrapText="1"/>
    </xf>
    <xf numFmtId="3" fontId="6" fillId="0" borderId="80" xfId="47" applyNumberFormat="1" applyFont="1" applyBorder="1" applyAlignment="1">
      <alignment horizontal="right" vertical="center" wrapText="1"/>
    </xf>
    <xf numFmtId="3" fontId="6" fillId="0" borderId="105" xfId="47" applyNumberFormat="1" applyFont="1" applyBorder="1" applyAlignment="1">
      <alignment horizontal="right" wrapText="1"/>
    </xf>
    <xf numFmtId="3" fontId="41" fillId="0" borderId="140" xfId="47" applyNumberFormat="1" applyFont="1" applyBorder="1" applyAlignment="1">
      <alignment horizontal="right" vertical="center" wrapText="1"/>
    </xf>
    <xf numFmtId="3" fontId="5" fillId="0" borderId="0" xfId="28" applyNumberFormat="1" applyFont="1" applyAlignment="1">
      <alignment horizontal="left"/>
    </xf>
    <xf numFmtId="3" fontId="42" fillId="0" borderId="0" xfId="28" applyNumberFormat="1" applyFont="1" applyAlignment="1">
      <alignment horizontal="left"/>
    </xf>
    <xf numFmtId="3" fontId="5" fillId="0" borderId="0" xfId="51" applyNumberFormat="1" applyFont="1" applyAlignment="1">
      <alignment horizontal="right"/>
    </xf>
    <xf numFmtId="3" fontId="5" fillId="0" borderId="0" xfId="51" applyNumberFormat="1" applyFont="1" applyAlignment="1">
      <alignment horizontal="right" wrapText="1"/>
    </xf>
    <xf numFmtId="3" fontId="6" fillId="0" borderId="0" xfId="51" applyNumberFormat="1" applyFont="1" applyAlignment="1">
      <alignment horizontal="right"/>
    </xf>
    <xf numFmtId="0" fontId="5" fillId="0" borderId="0" xfId="50" applyFont="1" applyAlignment="1">
      <alignment horizontal="left"/>
    </xf>
    <xf numFmtId="3" fontId="5" fillId="0" borderId="0" xfId="35" applyNumberFormat="1" applyFont="1" applyAlignment="1">
      <alignment horizontal="right"/>
    </xf>
    <xf numFmtId="3" fontId="5" fillId="0" borderId="0" xfId="35" applyNumberFormat="1" applyFont="1" applyAlignment="1">
      <alignment horizontal="center"/>
    </xf>
    <xf numFmtId="0" fontId="5" fillId="0" borderId="0" xfId="35" applyFont="1"/>
    <xf numFmtId="3" fontId="5" fillId="0" borderId="163" xfId="47" applyNumberFormat="1" applyFont="1" applyBorder="1" applyAlignment="1">
      <alignment horizontal="right" wrapText="1"/>
    </xf>
    <xf numFmtId="3" fontId="5" fillId="0" borderId="164" xfId="47" applyNumberFormat="1" applyFont="1" applyBorder="1" applyAlignment="1">
      <alignment horizontal="right" wrapText="1"/>
    </xf>
    <xf numFmtId="3" fontId="6" fillId="0" borderId="165" xfId="47" applyNumberFormat="1" applyFont="1" applyBorder="1" applyAlignment="1">
      <alignment horizontal="right" wrapText="1"/>
    </xf>
    <xf numFmtId="0" fontId="5" fillId="0" borderId="49" xfId="47" applyFont="1" applyBorder="1" applyAlignment="1">
      <alignment horizontal="left"/>
    </xf>
    <xf numFmtId="3" fontId="33" fillId="0" borderId="51" xfId="47" applyNumberFormat="1" applyFont="1" applyBorder="1" applyAlignment="1">
      <alignment horizontal="right" wrapText="1"/>
    </xf>
    <xf numFmtId="0" fontId="31" fillId="0" borderId="48" xfId="50" applyFont="1" applyBorder="1" applyAlignment="1">
      <alignment horizontal="center"/>
    </xf>
    <xf numFmtId="0" fontId="31" fillId="0" borderId="49" xfId="50" applyFont="1" applyBorder="1" applyAlignment="1">
      <alignment horizontal="center"/>
    </xf>
    <xf numFmtId="0" fontId="31" fillId="0" borderId="49" xfId="47" applyFont="1" applyBorder="1" applyAlignment="1">
      <alignment horizontal="left"/>
    </xf>
    <xf numFmtId="0" fontId="31" fillId="0" borderId="99" xfId="50" applyFont="1" applyBorder="1" applyAlignment="1">
      <alignment horizontal="center" wrapText="1"/>
    </xf>
    <xf numFmtId="3" fontId="12" fillId="0" borderId="53" xfId="47" applyNumberFormat="1" applyFont="1" applyBorder="1" applyAlignment="1">
      <alignment horizontal="right" wrapText="1"/>
    </xf>
    <xf numFmtId="0" fontId="33" fillId="0" borderId="0" xfId="50" applyFont="1"/>
    <xf numFmtId="0" fontId="31" fillId="0" borderId="0" xfId="50" applyFont="1"/>
    <xf numFmtId="3" fontId="12" fillId="0" borderId="71" xfId="47" applyNumberFormat="1" applyFont="1" applyBorder="1" applyAlignment="1">
      <alignment horizontal="right" wrapText="1"/>
    </xf>
    <xf numFmtId="3" fontId="7" fillId="0" borderId="51" xfId="47" applyNumberFormat="1" applyFont="1" applyBorder="1" applyAlignment="1">
      <alignment horizontal="right" wrapText="1"/>
    </xf>
    <xf numFmtId="3" fontId="7" fillId="0" borderId="49" xfId="47" applyNumberFormat="1" applyFont="1" applyBorder="1" applyAlignment="1">
      <alignment horizontal="right" wrapText="1"/>
    </xf>
    <xf numFmtId="3" fontId="32" fillId="0" borderId="49" xfId="47" applyNumberFormat="1" applyFont="1" applyBorder="1" applyAlignment="1">
      <alignment horizontal="right" wrapText="1"/>
    </xf>
    <xf numFmtId="3" fontId="7" fillId="0" borderId="52" xfId="47" applyNumberFormat="1" applyFont="1" applyBorder="1" applyAlignment="1">
      <alignment horizontal="right" wrapText="1"/>
    </xf>
    <xf numFmtId="3" fontId="5" fillId="0" borderId="51" xfId="47" applyNumberFormat="1" applyFont="1" applyBorder="1" applyAlignment="1">
      <alignment horizontal="right" wrapText="1"/>
    </xf>
    <xf numFmtId="0" fontId="5" fillId="0" borderId="50" xfId="47" applyFont="1" applyBorder="1"/>
    <xf numFmtId="0" fontId="5" fillId="0" borderId="49" xfId="50" applyFont="1" applyBorder="1" applyAlignment="1">
      <alignment horizontal="center" vertical="center"/>
    </xf>
    <xf numFmtId="0" fontId="5" fillId="0" borderId="50" xfId="47" applyFont="1" applyBorder="1" applyAlignment="1">
      <alignment wrapText="1"/>
    </xf>
    <xf numFmtId="3" fontId="5" fillId="0" borderId="61" xfId="47" applyNumberFormat="1" applyFont="1" applyBorder="1" applyAlignment="1">
      <alignment horizontal="right"/>
    </xf>
    <xf numFmtId="3" fontId="33" fillId="0" borderId="64" xfId="47" applyNumberFormat="1" applyFont="1" applyBorder="1" applyAlignment="1">
      <alignment horizontal="right" wrapText="1"/>
    </xf>
    <xf numFmtId="3" fontId="33" fillId="0" borderId="61" xfId="47" applyNumberFormat="1" applyFont="1" applyBorder="1" applyAlignment="1">
      <alignment horizontal="right" wrapText="1"/>
    </xf>
    <xf numFmtId="3" fontId="31" fillId="0" borderId="61" xfId="47" applyNumberFormat="1" applyFont="1" applyBorder="1" applyAlignment="1">
      <alignment horizontal="right" wrapText="1"/>
    </xf>
    <xf numFmtId="3" fontId="9" fillId="0" borderId="51" xfId="47" applyNumberFormat="1" applyFont="1" applyBorder="1" applyAlignment="1">
      <alignment horizontal="right" wrapText="1"/>
    </xf>
    <xf numFmtId="0" fontId="5" fillId="0" borderId="167" xfId="50" applyFont="1" applyBorder="1" applyAlignment="1">
      <alignment horizontal="center" wrapText="1"/>
    </xf>
    <xf numFmtId="3" fontId="33" fillId="0" borderId="106" xfId="47" applyNumberFormat="1" applyFont="1" applyBorder="1" applyAlignment="1">
      <alignment horizontal="right" wrapText="1"/>
    </xf>
    <xf numFmtId="3" fontId="31" fillId="0" borderId="106" xfId="47" applyNumberFormat="1" applyFont="1" applyBorder="1" applyAlignment="1">
      <alignment horizontal="right" wrapText="1"/>
    </xf>
    <xf numFmtId="3" fontId="6" fillId="0" borderId="106" xfId="47" applyNumberFormat="1" applyFont="1" applyBorder="1" applyAlignment="1">
      <alignment horizontal="right" wrapText="1"/>
    </xf>
    <xf numFmtId="3" fontId="5" fillId="0" borderId="155" xfId="50" applyNumberFormat="1" applyFont="1" applyBorder="1" applyAlignment="1">
      <alignment horizontal="right"/>
    </xf>
    <xf numFmtId="3" fontId="5" fillId="0" borderId="52" xfId="50" applyNumberFormat="1" applyFont="1" applyBorder="1" applyAlignment="1">
      <alignment horizontal="right"/>
    </xf>
    <xf numFmtId="0" fontId="5" fillId="0" borderId="51" xfId="50" applyFont="1" applyBorder="1" applyAlignment="1">
      <alignment horizontal="center" wrapText="1"/>
    </xf>
    <xf numFmtId="3" fontId="5" fillId="0" borderId="71" xfId="50" applyNumberFormat="1" applyFont="1" applyBorder="1" applyAlignment="1">
      <alignment horizontal="right"/>
    </xf>
    <xf numFmtId="0" fontId="6" fillId="0" borderId="17" xfId="50" applyFont="1" applyBorder="1" applyAlignment="1">
      <alignment horizontal="center"/>
    </xf>
    <xf numFmtId="0" fontId="5" fillId="0" borderId="93" xfId="50" applyFont="1" applyBorder="1" applyAlignment="1">
      <alignment horizontal="center" vertical="top"/>
    </xf>
    <xf numFmtId="3" fontId="5" fillId="0" borderId="93" xfId="50" applyNumberFormat="1" applyFont="1" applyBorder="1" applyAlignment="1">
      <alignment horizontal="right"/>
    </xf>
    <xf numFmtId="3" fontId="5" fillId="0" borderId="80" xfId="47" applyNumberFormat="1" applyFont="1" applyBorder="1" applyAlignment="1">
      <alignment horizontal="right"/>
    </xf>
    <xf numFmtId="0" fontId="5" fillId="0" borderId="108" xfId="50" applyFont="1" applyBorder="1" applyAlignment="1">
      <alignment horizontal="center" wrapText="1"/>
    </xf>
    <xf numFmtId="3" fontId="33" fillId="0" borderId="89" xfId="47" applyNumberFormat="1" applyFont="1" applyBorder="1" applyAlignment="1">
      <alignment horizontal="right" wrapText="1"/>
    </xf>
    <xf numFmtId="3" fontId="31" fillId="0" borderId="89" xfId="47" applyNumberFormat="1" applyFont="1" applyBorder="1" applyAlignment="1">
      <alignment horizontal="right" wrapText="1"/>
    </xf>
    <xf numFmtId="3" fontId="31" fillId="0" borderId="84" xfId="47" applyNumberFormat="1" applyFont="1" applyBorder="1" applyAlignment="1">
      <alignment horizontal="right" wrapText="1"/>
    </xf>
    <xf numFmtId="3" fontId="5" fillId="0" borderId="169" xfId="50" applyNumberFormat="1" applyFont="1" applyBorder="1" applyAlignment="1">
      <alignment horizontal="right"/>
    </xf>
    <xf numFmtId="3" fontId="41" fillId="0" borderId="167" xfId="47" applyNumberFormat="1" applyFont="1" applyBorder="1" applyAlignment="1">
      <alignment horizontal="right" vertical="center" wrapText="1"/>
    </xf>
    <xf numFmtId="3" fontId="41" fillId="0" borderId="155" xfId="47" applyNumberFormat="1" applyFont="1" applyBorder="1" applyAlignment="1">
      <alignment horizontal="right" vertical="center" wrapText="1"/>
    </xf>
    <xf numFmtId="3" fontId="41" fillId="0" borderId="51" xfId="47" applyNumberFormat="1" applyFont="1" applyBorder="1" applyAlignment="1">
      <alignment horizontal="right" vertical="center" wrapText="1"/>
    </xf>
    <xf numFmtId="3" fontId="6" fillId="0" borderId="61" xfId="47" applyNumberFormat="1" applyFont="1" applyBorder="1" applyAlignment="1">
      <alignment horizontal="right" wrapText="1"/>
    </xf>
    <xf numFmtId="3" fontId="9" fillId="0" borderId="61" xfId="47" applyNumberFormat="1" applyFont="1" applyBorder="1" applyAlignment="1">
      <alignment horizontal="right" wrapText="1"/>
    </xf>
    <xf numFmtId="3" fontId="9" fillId="0" borderId="63" xfId="47" applyNumberFormat="1" applyFont="1" applyBorder="1" applyAlignment="1">
      <alignment horizontal="right" wrapText="1"/>
    </xf>
    <xf numFmtId="3" fontId="41" fillId="0" borderId="127" xfId="47" applyNumberFormat="1" applyFont="1" applyBorder="1" applyAlignment="1">
      <alignment horizontal="right" vertical="center" wrapText="1"/>
    </xf>
    <xf numFmtId="3" fontId="6" fillId="0" borderId="80" xfId="47" applyNumberFormat="1" applyFont="1" applyBorder="1" applyAlignment="1">
      <alignment horizontal="right" wrapText="1"/>
    </xf>
    <xf numFmtId="3" fontId="5" fillId="0" borderId="0" xfId="35" applyNumberFormat="1" applyFont="1" applyAlignment="1">
      <alignment horizontal="left"/>
    </xf>
    <xf numFmtId="3" fontId="42" fillId="0" borderId="0" xfId="35" applyNumberFormat="1" applyFont="1" applyAlignment="1">
      <alignment horizontal="left"/>
    </xf>
    <xf numFmtId="0" fontId="43" fillId="0" borderId="43" xfId="47" applyFont="1" applyBorder="1" applyAlignment="1">
      <alignment horizontal="left"/>
    </xf>
    <xf numFmtId="3" fontId="6" fillId="0" borderId="54" xfId="50" applyNumberFormat="1" applyFont="1" applyBorder="1" applyAlignment="1">
      <alignment horizontal="right"/>
    </xf>
    <xf numFmtId="3" fontId="6" fillId="0" borderId="45" xfId="47" applyNumberFormat="1" applyFont="1" applyBorder="1" applyAlignment="1">
      <alignment horizontal="right" wrapText="1"/>
    </xf>
    <xf numFmtId="3" fontId="6" fillId="0" borderId="44" xfId="47" applyNumberFormat="1" applyFont="1" applyBorder="1" applyAlignment="1">
      <alignment horizontal="right" wrapText="1"/>
    </xf>
    <xf numFmtId="3" fontId="6" fillId="0" borderId="151" xfId="50" applyNumberFormat="1" applyFont="1" applyBorder="1" applyAlignment="1">
      <alignment horizontal="right"/>
    </xf>
    <xf numFmtId="3" fontId="5" fillId="0" borderId="107" xfId="50" applyNumberFormat="1" applyFont="1" applyBorder="1" applyAlignment="1">
      <alignment horizontal="right"/>
    </xf>
    <xf numFmtId="0" fontId="6" fillId="0" borderId="167" xfId="50" applyFont="1" applyBorder="1" applyAlignment="1">
      <alignment horizontal="center" wrapText="1"/>
    </xf>
    <xf numFmtId="3" fontId="6" fillId="0" borderId="0" xfId="47" applyNumberFormat="1" applyFont="1" applyAlignment="1">
      <alignment horizontal="right" wrapText="1"/>
    </xf>
    <xf numFmtId="3" fontId="6" fillId="0" borderId="155" xfId="50" applyNumberFormat="1" applyFont="1" applyBorder="1" applyAlignment="1">
      <alignment horizontal="right"/>
    </xf>
    <xf numFmtId="0" fontId="5" fillId="0" borderId="55" xfId="50" applyFont="1" applyBorder="1" applyAlignment="1">
      <alignment horizontal="center"/>
    </xf>
    <xf numFmtId="0" fontId="31" fillId="0" borderId="49" xfId="47" applyFont="1" applyBorder="1"/>
    <xf numFmtId="3" fontId="6" fillId="0" borderId="111" xfId="50" applyNumberFormat="1" applyFont="1" applyBorder="1" applyAlignment="1">
      <alignment horizontal="right"/>
    </xf>
    <xf numFmtId="0" fontId="6" fillId="0" borderId="51" xfId="50" applyFont="1" applyBorder="1" applyAlignment="1">
      <alignment horizontal="center" wrapText="1"/>
    </xf>
    <xf numFmtId="3" fontId="6" fillId="0" borderId="71" xfId="50" applyNumberFormat="1" applyFont="1" applyBorder="1" applyAlignment="1">
      <alignment horizontal="right"/>
    </xf>
    <xf numFmtId="0" fontId="5" fillId="0" borderId="43" xfId="47" applyFont="1" applyBorder="1" applyAlignment="1">
      <alignment horizontal="left"/>
    </xf>
    <xf numFmtId="3" fontId="5" fillId="0" borderId="111" xfId="50" applyNumberFormat="1" applyFont="1" applyBorder="1" applyAlignment="1">
      <alignment horizontal="right"/>
    </xf>
    <xf numFmtId="3" fontId="6" fillId="0" borderId="52" xfId="50" applyNumberFormat="1" applyFont="1" applyBorder="1" applyAlignment="1">
      <alignment horizontal="right"/>
    </xf>
    <xf numFmtId="0" fontId="5" fillId="0" borderId="72" xfId="50" applyFont="1" applyBorder="1" applyAlignment="1">
      <alignment horizontal="center"/>
    </xf>
    <xf numFmtId="0" fontId="31" fillId="0" borderId="61" xfId="47" applyFont="1" applyBorder="1"/>
    <xf numFmtId="3" fontId="6" fillId="0" borderId="61" xfId="50" applyNumberFormat="1" applyFont="1" applyBorder="1" applyAlignment="1">
      <alignment horizontal="right"/>
    </xf>
    <xf numFmtId="3" fontId="6" fillId="0" borderId="63" xfId="50" applyNumberFormat="1" applyFont="1" applyBorder="1" applyAlignment="1">
      <alignment horizontal="right"/>
    </xf>
    <xf numFmtId="0" fontId="6" fillId="0" borderId="64" xfId="50" applyFont="1" applyBorder="1" applyAlignment="1">
      <alignment horizontal="center" wrapText="1"/>
    </xf>
    <xf numFmtId="3" fontId="6" fillId="0" borderId="136" xfId="50" applyNumberFormat="1" applyFont="1" applyBorder="1" applyAlignment="1">
      <alignment horizontal="right"/>
    </xf>
    <xf numFmtId="3" fontId="5" fillId="0" borderId="61" xfId="47" applyNumberFormat="1" applyFont="1" applyBorder="1" applyAlignment="1">
      <alignment horizontal="right" wrapText="1"/>
    </xf>
    <xf numFmtId="0" fontId="5" fillId="0" borderId="170" xfId="50" applyFont="1" applyBorder="1" applyAlignment="1">
      <alignment horizontal="center"/>
    </xf>
    <xf numFmtId="0" fontId="6" fillId="0" borderId="171" xfId="47" applyFont="1" applyBorder="1" applyAlignment="1">
      <alignment horizontal="left"/>
    </xf>
    <xf numFmtId="3" fontId="5" fillId="0" borderId="172" xfId="50" applyNumberFormat="1" applyFont="1" applyBorder="1" applyAlignment="1">
      <alignment horizontal="right"/>
    </xf>
    <xf numFmtId="3" fontId="6" fillId="0" borderId="172" xfId="50" applyNumberFormat="1" applyFont="1" applyBorder="1" applyAlignment="1">
      <alignment horizontal="right"/>
    </xf>
    <xf numFmtId="3" fontId="6" fillId="0" borderId="173" xfId="50" applyNumberFormat="1" applyFont="1" applyBorder="1" applyAlignment="1">
      <alignment horizontal="right"/>
    </xf>
    <xf numFmtId="0" fontId="6" fillId="0" borderId="171" xfId="50" applyFont="1" applyBorder="1" applyAlignment="1">
      <alignment horizontal="center" wrapText="1"/>
    </xf>
    <xf numFmtId="3" fontId="6" fillId="0" borderId="172" xfId="47" applyNumberFormat="1" applyFont="1" applyBorder="1" applyAlignment="1">
      <alignment horizontal="right" wrapText="1"/>
    </xf>
    <xf numFmtId="3" fontId="33" fillId="0" borderId="172" xfId="47" applyNumberFormat="1" applyFont="1" applyBorder="1" applyAlignment="1">
      <alignment horizontal="right" wrapText="1"/>
    </xf>
    <xf numFmtId="3" fontId="5" fillId="0" borderId="172" xfId="47" applyNumberFormat="1" applyFont="1" applyBorder="1" applyAlignment="1">
      <alignment horizontal="right" wrapText="1"/>
    </xf>
    <xf numFmtId="3" fontId="6" fillId="0" borderId="173" xfId="47" applyNumberFormat="1" applyFont="1" applyBorder="1" applyAlignment="1">
      <alignment horizontal="right" wrapText="1"/>
    </xf>
    <xf numFmtId="3" fontId="6" fillId="0" borderId="174" xfId="50" applyNumberFormat="1" applyFont="1" applyBorder="1" applyAlignment="1">
      <alignment horizontal="right"/>
    </xf>
    <xf numFmtId="0" fontId="5" fillId="0" borderId="107" xfId="50" applyFont="1" applyBorder="1" applyAlignment="1">
      <alignment horizontal="center"/>
    </xf>
    <xf numFmtId="0" fontId="6" fillId="0" borderId="76" xfId="47" applyFont="1" applyBorder="1" applyAlignment="1">
      <alignment horizontal="center"/>
    </xf>
    <xf numFmtId="3" fontId="5" fillId="0" borderId="76" xfId="50" applyNumberFormat="1" applyFont="1" applyBorder="1" applyAlignment="1">
      <alignment horizontal="right"/>
    </xf>
    <xf numFmtId="3" fontId="5" fillId="0" borderId="175" xfId="50" applyNumberFormat="1" applyFont="1" applyBorder="1" applyAlignment="1">
      <alignment horizontal="right"/>
    </xf>
    <xf numFmtId="0" fontId="6" fillId="0" borderId="106" xfId="50" applyFont="1" applyBorder="1" applyAlignment="1">
      <alignment horizontal="center" wrapText="1"/>
    </xf>
    <xf numFmtId="3" fontId="6" fillId="0" borderId="76" xfId="47" applyNumberFormat="1" applyFont="1" applyBorder="1" applyAlignment="1">
      <alignment horizontal="right" wrapText="1"/>
    </xf>
    <xf numFmtId="3" fontId="6" fillId="0" borderId="19" xfId="50" applyNumberFormat="1" applyFont="1" applyBorder="1" applyAlignment="1">
      <alignment horizontal="right"/>
    </xf>
    <xf numFmtId="3" fontId="41" fillId="0" borderId="61" xfId="47" applyNumberFormat="1" applyFont="1" applyBorder="1" applyAlignment="1">
      <alignment horizontal="right" wrapText="1"/>
    </xf>
    <xf numFmtId="3" fontId="41" fillId="0" borderId="52" xfId="47" applyNumberFormat="1" applyFont="1" applyBorder="1" applyAlignment="1">
      <alignment horizontal="right" wrapText="1"/>
    </xf>
    <xf numFmtId="0" fontId="5" fillId="0" borderId="90" xfId="50" applyFont="1" applyBorder="1" applyAlignment="1">
      <alignment horizontal="center"/>
    </xf>
    <xf numFmtId="3" fontId="6" fillId="0" borderId="53" xfId="50" applyNumberFormat="1" applyFont="1" applyBorder="1" applyAlignment="1">
      <alignment horizontal="right"/>
    </xf>
    <xf numFmtId="0" fontId="5" fillId="0" borderId="56" xfId="50" applyFont="1" applyBorder="1" applyAlignment="1">
      <alignment horizontal="center"/>
    </xf>
    <xf numFmtId="0" fontId="6" fillId="0" borderId="56" xfId="47" applyFont="1" applyBorder="1" applyAlignment="1">
      <alignment horizontal="left"/>
    </xf>
    <xf numFmtId="3" fontId="6" fillId="0" borderId="56" xfId="50" applyNumberFormat="1" applyFont="1" applyBorder="1" applyAlignment="1">
      <alignment horizontal="right"/>
    </xf>
    <xf numFmtId="3" fontId="6" fillId="0" borderId="74" xfId="50" applyNumberFormat="1" applyFont="1" applyBorder="1" applyAlignment="1">
      <alignment horizontal="right"/>
    </xf>
    <xf numFmtId="0" fontId="6" fillId="0" borderId="103" xfId="50" applyFont="1" applyBorder="1" applyAlignment="1">
      <alignment horizontal="center" wrapText="1"/>
    </xf>
    <xf numFmtId="3" fontId="6" fillId="0" borderId="56" xfId="47" applyNumberFormat="1" applyFont="1" applyBorder="1" applyAlignment="1">
      <alignment horizontal="right" wrapText="1"/>
    </xf>
    <xf numFmtId="3" fontId="6" fillId="0" borderId="75" xfId="50" applyNumberFormat="1" applyFont="1" applyBorder="1" applyAlignment="1">
      <alignment horizontal="right"/>
    </xf>
    <xf numFmtId="0" fontId="5" fillId="0" borderId="107" xfId="50" applyFont="1" applyBorder="1" applyAlignment="1">
      <alignment horizontal="center" vertical="top"/>
    </xf>
    <xf numFmtId="0" fontId="43" fillId="0" borderId="76" xfId="47" applyFont="1" applyBorder="1" applyAlignment="1">
      <alignment horizontal="left" wrapText="1"/>
    </xf>
    <xf numFmtId="3" fontId="5" fillId="0" borderId="176" xfId="47" applyNumberFormat="1" applyFont="1" applyBorder="1" applyAlignment="1">
      <alignment horizontal="right"/>
    </xf>
    <xf numFmtId="3" fontId="44" fillId="0" borderId="106" xfId="47" applyNumberFormat="1" applyFont="1" applyBorder="1" applyAlignment="1">
      <alignment horizontal="right" wrapText="1"/>
    </xf>
    <xf numFmtId="3" fontId="5" fillId="0" borderId="106" xfId="47" applyNumberFormat="1" applyFont="1" applyBorder="1" applyAlignment="1">
      <alignment horizontal="right" wrapText="1"/>
    </xf>
    <xf numFmtId="3" fontId="41" fillId="0" borderId="0" xfId="47" applyNumberFormat="1" applyFont="1" applyAlignment="1">
      <alignment horizontal="right" wrapText="1"/>
    </xf>
    <xf numFmtId="0" fontId="5" fillId="0" borderId="92" xfId="50" applyFont="1" applyBorder="1" applyAlignment="1">
      <alignment horizontal="center"/>
    </xf>
    <xf numFmtId="3" fontId="44" fillId="0" borderId="64" xfId="47" applyNumberFormat="1" applyFont="1" applyBorder="1" applyAlignment="1">
      <alignment horizontal="right" wrapText="1"/>
    </xf>
    <xf numFmtId="3" fontId="5" fillId="0" borderId="64" xfId="47" applyNumberFormat="1" applyFont="1" applyBorder="1" applyAlignment="1">
      <alignment horizontal="right" wrapText="1"/>
    </xf>
    <xf numFmtId="3" fontId="41" fillId="0" borderId="63" xfId="47" applyNumberFormat="1" applyFont="1" applyBorder="1" applyAlignment="1">
      <alignment horizontal="right" wrapText="1"/>
    </xf>
    <xf numFmtId="0" fontId="5" fillId="0" borderId="109" xfId="50" applyFont="1" applyBorder="1" applyAlignment="1">
      <alignment horizontal="center"/>
    </xf>
    <xf numFmtId="3" fontId="5" fillId="0" borderId="136" xfId="50" applyNumberFormat="1" applyFont="1" applyBorder="1" applyAlignment="1">
      <alignment horizontal="right"/>
    </xf>
    <xf numFmtId="3" fontId="44" fillId="0" borderId="51" xfId="47" applyNumberFormat="1" applyFont="1" applyBorder="1" applyAlignment="1">
      <alignment horizontal="right" wrapText="1"/>
    </xf>
    <xf numFmtId="0" fontId="5" fillId="0" borderId="73" xfId="50" applyFont="1" applyBorder="1" applyAlignment="1">
      <alignment horizontal="center"/>
    </xf>
    <xf numFmtId="3" fontId="5" fillId="0" borderId="79" xfId="50" applyNumberFormat="1" applyFont="1" applyBorder="1" applyAlignment="1">
      <alignment horizontal="right"/>
    </xf>
    <xf numFmtId="3" fontId="5" fillId="0" borderId="56" xfId="47" applyNumberFormat="1" applyFont="1" applyBorder="1" applyAlignment="1">
      <alignment horizontal="right"/>
    </xf>
    <xf numFmtId="3" fontId="5" fillId="0" borderId="74" xfId="50" applyNumberFormat="1" applyFont="1" applyBorder="1" applyAlignment="1">
      <alignment horizontal="right"/>
    </xf>
    <xf numFmtId="0" fontId="5" fillId="0" borderId="103" xfId="50" applyFont="1" applyBorder="1" applyAlignment="1">
      <alignment horizontal="center" wrapText="1"/>
    </xf>
    <xf numFmtId="3" fontId="44" fillId="0" borderId="103" xfId="47" applyNumberFormat="1" applyFont="1" applyBorder="1" applyAlignment="1">
      <alignment horizontal="right" wrapText="1"/>
    </xf>
    <xf numFmtId="3" fontId="5" fillId="0" borderId="103" xfId="47" applyNumberFormat="1" applyFont="1" applyBorder="1" applyAlignment="1">
      <alignment horizontal="right" wrapText="1"/>
    </xf>
    <xf numFmtId="3" fontId="5" fillId="0" borderId="154" xfId="50" applyNumberFormat="1" applyFont="1" applyBorder="1" applyAlignment="1">
      <alignment horizontal="right"/>
    </xf>
    <xf numFmtId="0" fontId="5" fillId="0" borderId="42" xfId="50" applyFont="1" applyBorder="1" applyAlignment="1">
      <alignment horizontal="center"/>
    </xf>
    <xf numFmtId="0" fontId="5" fillId="0" borderId="54" xfId="50" applyFont="1" applyBorder="1" applyAlignment="1">
      <alignment horizontal="center"/>
    </xf>
    <xf numFmtId="3" fontId="6" fillId="0" borderId="76" xfId="50" applyNumberFormat="1" applyFont="1" applyBorder="1" applyAlignment="1">
      <alignment horizontal="right"/>
    </xf>
    <xf numFmtId="3" fontId="6" fillId="0" borderId="77" xfId="50" applyNumberFormat="1" applyFont="1" applyBorder="1" applyAlignment="1">
      <alignment horizontal="right"/>
    </xf>
    <xf numFmtId="0" fontId="5" fillId="0" borderId="106" xfId="50" applyFont="1" applyBorder="1" applyAlignment="1">
      <alignment horizontal="center" wrapText="1"/>
    </xf>
    <xf numFmtId="3" fontId="41" fillId="0" borderId="76" xfId="47" applyNumberFormat="1" applyFont="1" applyBorder="1" applyAlignment="1">
      <alignment horizontal="right" wrapText="1"/>
    </xf>
    <xf numFmtId="3" fontId="41" fillId="0" borderId="77" xfId="47" applyNumberFormat="1" applyFont="1" applyBorder="1" applyAlignment="1">
      <alignment horizontal="right" wrapText="1"/>
    </xf>
    <xf numFmtId="0" fontId="5" fillId="0" borderId="49" xfId="47" applyFont="1" applyBorder="1" applyAlignment="1">
      <alignment horizontal="left" wrapText="1"/>
    </xf>
    <xf numFmtId="3" fontId="41" fillId="0" borderId="49" xfId="47" applyNumberFormat="1" applyFont="1" applyBorder="1" applyAlignment="1">
      <alignment horizontal="right" wrapText="1"/>
    </xf>
    <xf numFmtId="3" fontId="44" fillId="0" borderId="49" xfId="47" applyNumberFormat="1" applyFont="1" applyBorder="1" applyAlignment="1">
      <alignment horizontal="right" wrapText="1"/>
    </xf>
    <xf numFmtId="3" fontId="41" fillId="0" borderId="51" xfId="47" applyNumberFormat="1" applyFont="1" applyBorder="1" applyAlignment="1">
      <alignment horizontal="right" wrapText="1"/>
    </xf>
    <xf numFmtId="3" fontId="5" fillId="0" borderId="56" xfId="50" applyNumberFormat="1" applyFont="1" applyBorder="1" applyAlignment="1">
      <alignment horizontal="right"/>
    </xf>
    <xf numFmtId="3" fontId="41" fillId="0" borderId="103" xfId="47" applyNumberFormat="1" applyFont="1" applyBorder="1" applyAlignment="1">
      <alignment horizontal="right" wrapText="1"/>
    </xf>
    <xf numFmtId="3" fontId="6" fillId="0" borderId="154" xfId="50" applyNumberFormat="1" applyFont="1" applyBorder="1" applyAlignment="1">
      <alignment horizontal="right"/>
    </xf>
    <xf numFmtId="3" fontId="6" fillId="0" borderId="46" xfId="50" applyNumberFormat="1" applyFont="1" applyBorder="1" applyAlignment="1">
      <alignment horizontal="right"/>
    </xf>
    <xf numFmtId="3" fontId="6" fillId="0" borderId="135" xfId="50" applyNumberFormat="1" applyFont="1" applyBorder="1" applyAlignment="1">
      <alignment horizontal="right"/>
    </xf>
    <xf numFmtId="0" fontId="5" fillId="0" borderId="49" xfId="47" applyFont="1" applyBorder="1" applyAlignment="1">
      <alignment horizontal="left" wrapText="1" shrinkToFit="1"/>
    </xf>
    <xf numFmtId="3" fontId="5" fillId="0" borderId="52" xfId="50" applyNumberFormat="1" applyFont="1" applyBorder="1" applyAlignment="1">
      <alignment horizontal="right" vertical="top"/>
    </xf>
    <xf numFmtId="0" fontId="5" fillId="0" borderId="43" xfId="47" applyFont="1" applyBorder="1" applyAlignment="1">
      <alignment horizontal="left" wrapText="1" shrinkToFit="1"/>
    </xf>
    <xf numFmtId="3" fontId="5" fillId="0" borderId="63" xfId="50" applyNumberFormat="1" applyFont="1" applyBorder="1" applyAlignment="1">
      <alignment horizontal="right"/>
    </xf>
    <xf numFmtId="3" fontId="6" fillId="0" borderId="64" xfId="47" applyNumberFormat="1" applyFont="1" applyBorder="1" applyAlignment="1">
      <alignment horizontal="right" wrapText="1"/>
    </xf>
    <xf numFmtId="3" fontId="5" fillId="0" borderId="173" xfId="50" applyNumberFormat="1" applyFont="1" applyBorder="1" applyAlignment="1">
      <alignment horizontal="right"/>
    </xf>
    <xf numFmtId="3" fontId="6" fillId="0" borderId="171" xfId="47" applyNumberFormat="1" applyFont="1" applyBorder="1" applyAlignment="1">
      <alignment horizontal="right" wrapText="1"/>
    </xf>
    <xf numFmtId="3" fontId="44" fillId="0" borderId="171" xfId="47" applyNumberFormat="1" applyFont="1" applyBorder="1" applyAlignment="1">
      <alignment horizontal="right" wrapText="1"/>
    </xf>
    <xf numFmtId="3" fontId="5" fillId="0" borderId="171" xfId="47" applyNumberFormat="1" applyFont="1" applyBorder="1" applyAlignment="1">
      <alignment horizontal="right" wrapText="1"/>
    </xf>
    <xf numFmtId="0" fontId="6" fillId="0" borderId="43" xfId="47" applyFont="1" applyBorder="1" applyAlignment="1">
      <alignment horizontal="center"/>
    </xf>
    <xf numFmtId="3" fontId="5" fillId="0" borderId="46" xfId="50" applyNumberFormat="1" applyFont="1" applyBorder="1" applyAlignment="1">
      <alignment horizontal="right"/>
    </xf>
    <xf numFmtId="0" fontId="6" fillId="0" borderId="45" xfId="50" applyFont="1" applyBorder="1" applyAlignment="1">
      <alignment horizontal="center" wrapText="1"/>
    </xf>
    <xf numFmtId="0" fontId="31" fillId="0" borderId="61" xfId="47" applyFont="1" applyBorder="1" applyAlignment="1">
      <alignment horizontal="left"/>
    </xf>
    <xf numFmtId="3" fontId="41" fillId="0" borderId="64" xfId="47" applyNumberFormat="1" applyFont="1" applyBorder="1" applyAlignment="1">
      <alignment horizontal="right" wrapText="1"/>
    </xf>
    <xf numFmtId="0" fontId="5" fillId="0" borderId="45" xfId="50" applyFont="1" applyBorder="1" applyAlignment="1">
      <alignment horizontal="center" wrapText="1"/>
    </xf>
    <xf numFmtId="3" fontId="6" fillId="0" borderId="43" xfId="47" applyNumberFormat="1" applyFont="1" applyBorder="1" applyAlignment="1">
      <alignment horizontal="right" wrapText="1"/>
    </xf>
    <xf numFmtId="3" fontId="33" fillId="0" borderId="43" xfId="47" applyNumberFormat="1" applyFont="1" applyBorder="1" applyAlignment="1">
      <alignment horizontal="right" wrapText="1"/>
    </xf>
    <xf numFmtId="0" fontId="5" fillId="0" borderId="66" xfId="50" applyFont="1" applyBorder="1" applyAlignment="1">
      <alignment horizontal="center"/>
    </xf>
    <xf numFmtId="3" fontId="5" fillId="0" borderId="66" xfId="50" applyNumberFormat="1" applyFont="1" applyBorder="1" applyAlignment="1">
      <alignment horizontal="right"/>
    </xf>
    <xf numFmtId="3" fontId="6" fillId="0" borderId="66" xfId="50" applyNumberFormat="1" applyFont="1" applyBorder="1" applyAlignment="1">
      <alignment horizontal="right"/>
    </xf>
    <xf numFmtId="3" fontId="6" fillId="0" borderId="68" xfId="50" applyNumberFormat="1" applyFont="1" applyBorder="1" applyAlignment="1">
      <alignment horizontal="right"/>
    </xf>
    <xf numFmtId="0" fontId="6" fillId="0" borderId="177" xfId="50" applyFont="1" applyBorder="1" applyAlignment="1">
      <alignment horizontal="center" wrapText="1"/>
    </xf>
    <xf numFmtId="3" fontId="6" fillId="0" borderId="66" xfId="47" applyNumberFormat="1" applyFont="1" applyBorder="1" applyAlignment="1">
      <alignment horizontal="right" wrapText="1"/>
    </xf>
    <xf numFmtId="3" fontId="5" fillId="0" borderId="66" xfId="47" applyNumberFormat="1" applyFont="1" applyBorder="1" applyAlignment="1">
      <alignment horizontal="right" wrapText="1"/>
    </xf>
    <xf numFmtId="3" fontId="6" fillId="0" borderId="178" xfId="50" applyNumberFormat="1" applyFont="1" applyBorder="1" applyAlignment="1">
      <alignment horizontal="right"/>
    </xf>
    <xf numFmtId="0" fontId="6" fillId="0" borderId="103" xfId="47" applyFont="1" applyBorder="1" applyAlignment="1">
      <alignment horizontal="left"/>
    </xf>
    <xf numFmtId="3" fontId="5" fillId="0" borderId="56" xfId="47" applyNumberFormat="1" applyFont="1" applyBorder="1" applyAlignment="1">
      <alignment horizontal="right" wrapText="1"/>
    </xf>
    <xf numFmtId="3" fontId="6" fillId="0" borderId="179" xfId="50" applyNumberFormat="1" applyFont="1" applyBorder="1" applyAlignment="1">
      <alignment horizontal="right"/>
    </xf>
    <xf numFmtId="3" fontId="33" fillId="0" borderId="56" xfId="47" applyNumberFormat="1" applyFont="1" applyBorder="1" applyAlignment="1">
      <alignment horizontal="right" wrapText="1"/>
    </xf>
    <xf numFmtId="3" fontId="6" fillId="0" borderId="103" xfId="47" applyNumberFormat="1" applyFont="1" applyBorder="1" applyAlignment="1">
      <alignment horizontal="right" wrapText="1"/>
    </xf>
    <xf numFmtId="3" fontId="33" fillId="0" borderId="103" xfId="47" applyNumberFormat="1" applyFont="1" applyBorder="1" applyAlignment="1">
      <alignment horizontal="right" wrapText="1"/>
    </xf>
    <xf numFmtId="3" fontId="6" fillId="0" borderId="49" xfId="50" applyNumberFormat="1" applyFont="1" applyBorder="1" applyAlignment="1">
      <alignment horizontal="right" vertical="top"/>
    </xf>
    <xf numFmtId="3" fontId="6" fillId="0" borderId="62" xfId="50" applyNumberFormat="1" applyFont="1" applyBorder="1" applyAlignment="1">
      <alignment horizontal="right"/>
    </xf>
    <xf numFmtId="3" fontId="6" fillId="0" borderId="50" xfId="50" applyNumberFormat="1" applyFont="1" applyBorder="1" applyAlignment="1">
      <alignment horizontal="right"/>
    </xf>
    <xf numFmtId="3" fontId="6" fillId="0" borderId="79" xfId="50" applyNumberFormat="1" applyFont="1" applyBorder="1" applyAlignment="1">
      <alignment horizontal="right"/>
    </xf>
    <xf numFmtId="0" fontId="5" fillId="0" borderId="72" xfId="47" applyFont="1" applyBorder="1" applyAlignment="1">
      <alignment horizontal="left" wrapText="1" shrinkToFit="1"/>
    </xf>
    <xf numFmtId="3" fontId="5" fillId="0" borderId="111" xfId="50" applyNumberFormat="1" applyFont="1" applyBorder="1" applyAlignment="1">
      <alignment horizontal="right" vertical="top"/>
    </xf>
    <xf numFmtId="3" fontId="41" fillId="0" borderId="50" xfId="47" applyNumberFormat="1" applyFont="1" applyBorder="1" applyAlignment="1">
      <alignment horizontal="right" wrapText="1"/>
    </xf>
    <xf numFmtId="0" fontId="5" fillId="0" borderId="64" xfId="50" applyFont="1" applyBorder="1" applyAlignment="1">
      <alignment horizontal="center" wrapText="1"/>
    </xf>
    <xf numFmtId="3" fontId="9" fillId="0" borderId="64" xfId="47" applyNumberFormat="1" applyFont="1" applyBorder="1" applyAlignment="1">
      <alignment horizontal="right" wrapText="1"/>
    </xf>
    <xf numFmtId="3" fontId="5" fillId="0" borderId="180" xfId="50" applyNumberFormat="1" applyFont="1" applyBorder="1" applyAlignment="1">
      <alignment horizontal="right"/>
    </xf>
    <xf numFmtId="0" fontId="45" fillId="0" borderId="49" xfId="47" applyFont="1" applyBorder="1" applyAlignment="1">
      <alignment horizontal="left" wrapText="1" shrinkToFit="1"/>
    </xf>
    <xf numFmtId="0" fontId="5" fillId="0" borderId="49" xfId="47" applyFont="1" applyBorder="1" applyAlignment="1">
      <alignment horizontal="left" shrinkToFit="1"/>
    </xf>
    <xf numFmtId="3" fontId="44" fillId="0" borderId="66" xfId="47" applyNumberFormat="1" applyFont="1" applyBorder="1" applyAlignment="1">
      <alignment horizontal="right" wrapText="1"/>
    </xf>
    <xf numFmtId="3" fontId="5" fillId="0" borderId="45" xfId="47" applyNumberFormat="1" applyFont="1" applyBorder="1" applyAlignment="1">
      <alignment horizontal="right" wrapText="1"/>
    </xf>
    <xf numFmtId="3" fontId="5" fillId="0" borderId="46" xfId="50" applyNumberFormat="1" applyFont="1" applyBorder="1" applyAlignment="1">
      <alignment horizontal="right" vertical="top"/>
    </xf>
    <xf numFmtId="0" fontId="5" fillId="0" borderId="55" xfId="47" applyFont="1" applyBorder="1" applyAlignment="1">
      <alignment horizontal="left" wrapText="1" shrinkToFit="1"/>
    </xf>
    <xf numFmtId="0" fontId="6" fillId="0" borderId="104" xfId="50" applyFont="1" applyBorder="1" applyAlignment="1">
      <alignment horizontal="center" wrapText="1"/>
    </xf>
    <xf numFmtId="0" fontId="5" fillId="0" borderId="17" xfId="50" applyFont="1" applyBorder="1" applyAlignment="1">
      <alignment horizontal="center"/>
    </xf>
    <xf numFmtId="0" fontId="5" fillId="0" borderId="176" xfId="50" applyFont="1" applyBorder="1" applyAlignment="1">
      <alignment horizontal="center"/>
    </xf>
    <xf numFmtId="0" fontId="43" fillId="0" borderId="57" xfId="47" applyFont="1" applyBorder="1" applyAlignment="1">
      <alignment horizontal="left"/>
    </xf>
    <xf numFmtId="3" fontId="5" fillId="0" borderId="176" xfId="50" applyNumberFormat="1" applyFont="1" applyBorder="1" applyAlignment="1">
      <alignment horizontal="right"/>
    </xf>
    <xf numFmtId="3" fontId="5" fillId="0" borderId="181" xfId="50" applyNumberFormat="1" applyFont="1" applyBorder="1" applyAlignment="1">
      <alignment horizontal="right"/>
    </xf>
    <xf numFmtId="3" fontId="6" fillId="0" borderId="181" xfId="50" applyNumberFormat="1" applyFont="1" applyBorder="1" applyAlignment="1">
      <alignment horizontal="right"/>
    </xf>
    <xf numFmtId="3" fontId="5" fillId="0" borderId="182" xfId="50" applyNumberFormat="1" applyFont="1" applyBorder="1" applyAlignment="1">
      <alignment horizontal="right"/>
    </xf>
    <xf numFmtId="0" fontId="5" fillId="0" borderId="91" xfId="50" applyFont="1" applyBorder="1" applyAlignment="1">
      <alignment horizontal="center"/>
    </xf>
    <xf numFmtId="0" fontId="5" fillId="0" borderId="104" xfId="50" applyFont="1" applyBorder="1" applyAlignment="1">
      <alignment horizontal="center" wrapText="1"/>
    </xf>
    <xf numFmtId="3" fontId="5" fillId="0" borderId="179" xfId="50" applyNumberFormat="1" applyFont="1" applyBorder="1" applyAlignment="1">
      <alignment horizontal="right"/>
    </xf>
    <xf numFmtId="3" fontId="5" fillId="0" borderId="44" xfId="50" applyNumberFormat="1" applyFont="1" applyBorder="1" applyAlignment="1">
      <alignment horizontal="right"/>
    </xf>
    <xf numFmtId="3" fontId="44" fillId="0" borderId="45" xfId="47" applyNumberFormat="1" applyFont="1" applyBorder="1" applyAlignment="1">
      <alignment horizontal="right" wrapText="1"/>
    </xf>
    <xf numFmtId="3" fontId="6" fillId="0" borderId="50" xfId="47" applyNumberFormat="1" applyFont="1" applyBorder="1" applyAlignment="1">
      <alignment horizontal="right" wrapText="1"/>
    </xf>
    <xf numFmtId="0" fontId="5" fillId="0" borderId="137" xfId="50" applyFont="1" applyBorder="1" applyAlignment="1">
      <alignment horizontal="center"/>
    </xf>
    <xf numFmtId="0" fontId="5" fillId="0" borderId="80" xfId="50" applyFont="1" applyBorder="1" applyAlignment="1">
      <alignment horizontal="center"/>
    </xf>
    <xf numFmtId="3" fontId="5" fillId="0" borderId="80" xfId="50" applyNumberFormat="1" applyFont="1" applyBorder="1" applyAlignment="1">
      <alignment horizontal="right"/>
    </xf>
    <xf numFmtId="3" fontId="5" fillId="0" borderId="139" xfId="50" applyNumberFormat="1" applyFont="1" applyBorder="1" applyAlignment="1">
      <alignment horizontal="right"/>
    </xf>
    <xf numFmtId="0" fontId="5" fillId="0" borderId="81" xfId="50" applyFont="1" applyBorder="1" applyAlignment="1">
      <alignment horizontal="center" wrapText="1"/>
    </xf>
    <xf numFmtId="3" fontId="5" fillId="0" borderId="127" xfId="47" applyNumberFormat="1" applyFont="1" applyBorder="1" applyAlignment="1">
      <alignment horizontal="right" wrapText="1"/>
    </xf>
    <xf numFmtId="3" fontId="5" fillId="0" borderId="183" xfId="50" applyNumberFormat="1" applyFont="1" applyBorder="1" applyAlignment="1">
      <alignment horizontal="right"/>
    </xf>
    <xf numFmtId="3" fontId="33" fillId="0" borderId="45" xfId="47" applyNumberFormat="1" applyFont="1" applyBorder="1" applyAlignment="1">
      <alignment horizontal="right" wrapText="1"/>
    </xf>
    <xf numFmtId="3" fontId="41" fillId="0" borderId="44" xfId="47" applyNumberFormat="1" applyFont="1" applyBorder="1" applyAlignment="1">
      <alignment horizontal="right" wrapText="1"/>
    </xf>
    <xf numFmtId="3" fontId="41" fillId="0" borderId="62" xfId="47" applyNumberFormat="1" applyFont="1" applyBorder="1" applyAlignment="1">
      <alignment vertical="center" wrapText="1"/>
    </xf>
    <xf numFmtId="3" fontId="6" fillId="0" borderId="156" xfId="47" applyNumberFormat="1" applyFont="1" applyBorder="1" applyAlignment="1">
      <alignment horizontal="right" vertical="center" wrapText="1"/>
    </xf>
    <xf numFmtId="3" fontId="6" fillId="0" borderId="136" xfId="47" applyNumberFormat="1" applyFont="1" applyBorder="1" applyAlignment="1">
      <alignment horizontal="right" vertical="center" wrapText="1"/>
    </xf>
    <xf numFmtId="3" fontId="41" fillId="0" borderId="185" xfId="47" applyNumberFormat="1" applyFont="1" applyBorder="1" applyAlignment="1">
      <alignment vertical="center" wrapText="1"/>
    </xf>
    <xf numFmtId="3" fontId="41" fillId="0" borderId="93" xfId="47" applyNumberFormat="1" applyFont="1" applyBorder="1" applyAlignment="1">
      <alignment vertical="center" wrapText="1"/>
    </xf>
    <xf numFmtId="0" fontId="6" fillId="0" borderId="93" xfId="47" applyFont="1" applyBorder="1" applyAlignment="1">
      <alignment horizontal="left"/>
    </xf>
    <xf numFmtId="3" fontId="41" fillId="0" borderId="186" xfId="47" applyNumberFormat="1" applyFont="1" applyBorder="1" applyAlignment="1">
      <alignment vertical="center" wrapText="1"/>
    </xf>
    <xf numFmtId="3" fontId="5" fillId="0" borderId="113" xfId="47" applyNumberFormat="1" applyFont="1" applyBorder="1" applyAlignment="1">
      <alignment horizontal="right" vertical="center" wrapText="1"/>
    </xf>
    <xf numFmtId="3" fontId="6" fillId="0" borderId="93" xfId="47" applyNumberFormat="1" applyFont="1" applyBorder="1" applyAlignment="1">
      <alignment horizontal="right" vertical="center" wrapText="1"/>
    </xf>
    <xf numFmtId="3" fontId="6" fillId="0" borderId="115" xfId="47" applyNumberFormat="1" applyFont="1" applyBorder="1" applyAlignment="1">
      <alignment horizontal="right" vertical="center" wrapText="1"/>
    </xf>
    <xf numFmtId="0" fontId="5" fillId="0" borderId="0" xfId="0" applyFont="1" applyAlignment="1">
      <alignment horizontal="right" vertical="center"/>
    </xf>
    <xf numFmtId="0" fontId="12" fillId="0" borderId="0" xfId="0" applyFont="1" applyAlignment="1">
      <alignment horizontal="center" vertical="center"/>
    </xf>
    <xf numFmtId="0" fontId="19" fillId="0" borderId="0" xfId="0" applyFont="1" applyAlignment="1">
      <alignment horizontal="center" vertical="center"/>
    </xf>
    <xf numFmtId="0" fontId="12" fillId="0" borderId="0" xfId="0" applyFont="1" applyAlignment="1">
      <alignment vertical="center"/>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87" xfId="0" applyFont="1" applyBorder="1" applyAlignment="1">
      <alignment horizontal="center" vertical="center"/>
    </xf>
    <xf numFmtId="3" fontId="5" fillId="0" borderId="188" xfId="0" applyNumberFormat="1" applyFont="1" applyBorder="1" applyAlignment="1">
      <alignment horizontal="center" vertical="center" wrapText="1"/>
    </xf>
    <xf numFmtId="3" fontId="5" fillId="0" borderId="189" xfId="0" applyNumberFormat="1" applyFont="1" applyBorder="1" applyAlignment="1">
      <alignment horizontal="center" vertical="center" wrapText="1"/>
    </xf>
    <xf numFmtId="3" fontId="5" fillId="0" borderId="190" xfId="0" applyNumberFormat="1" applyFont="1" applyBorder="1" applyAlignment="1">
      <alignment horizontal="center" vertical="center" wrapText="1"/>
    </xf>
    <xf numFmtId="0" fontId="5" fillId="0" borderId="191" xfId="0" applyFont="1" applyBorder="1" applyAlignment="1">
      <alignment horizontal="center" vertical="center" wrapText="1"/>
    </xf>
    <xf numFmtId="3" fontId="6" fillId="0" borderId="192" xfId="0" applyNumberFormat="1" applyFont="1" applyBorder="1" applyAlignment="1">
      <alignment horizontal="right"/>
    </xf>
    <xf numFmtId="3" fontId="6" fillId="0" borderId="193" xfId="0" applyNumberFormat="1" applyFont="1" applyBorder="1" applyAlignment="1">
      <alignment horizontal="right"/>
    </xf>
    <xf numFmtId="3" fontId="5" fillId="0" borderId="192" xfId="0" applyNumberFormat="1" applyFont="1" applyBorder="1" applyAlignment="1">
      <alignment horizontal="right" vertical="center" textRotation="180"/>
    </xf>
    <xf numFmtId="3" fontId="5" fillId="0" borderId="194" xfId="0" applyNumberFormat="1" applyFont="1" applyBorder="1" applyAlignment="1">
      <alignment horizontal="right" vertical="center" textRotation="180"/>
    </xf>
    <xf numFmtId="0" fontId="5" fillId="0" borderId="195" xfId="0" applyFont="1" applyBorder="1"/>
    <xf numFmtId="3" fontId="5" fillId="0" borderId="192" xfId="0" applyNumberFormat="1" applyFont="1" applyBorder="1"/>
    <xf numFmtId="3" fontId="5" fillId="0" borderId="193" xfId="0" applyNumberFormat="1" applyFont="1" applyBorder="1"/>
    <xf numFmtId="3" fontId="5" fillId="0" borderId="192" xfId="0" applyNumberFormat="1" applyFont="1" applyBorder="1" applyAlignment="1">
      <alignment horizontal="right"/>
    </xf>
    <xf numFmtId="3" fontId="5" fillId="0" borderId="196" xfId="0" applyNumberFormat="1" applyFont="1" applyBorder="1" applyAlignment="1">
      <alignment horizontal="right"/>
    </xf>
    <xf numFmtId="3" fontId="5" fillId="0" borderId="197" xfId="0" applyNumberFormat="1" applyFont="1" applyBorder="1"/>
    <xf numFmtId="0" fontId="5" fillId="0" borderId="21" xfId="0" applyFont="1" applyBorder="1" applyAlignment="1">
      <alignment horizontal="center"/>
    </xf>
    <xf numFmtId="0" fontId="5" fillId="0" borderId="23" xfId="0" applyFont="1" applyBorder="1" applyAlignment="1">
      <alignment horizontal="center"/>
    </xf>
    <xf numFmtId="0" fontId="6" fillId="0" borderId="23" xfId="0" applyFont="1" applyBorder="1" applyAlignment="1">
      <alignment horizontal="left" vertical="center"/>
    </xf>
    <xf numFmtId="3" fontId="6" fillId="0" borderId="198" xfId="0" applyNumberFormat="1" applyFont="1" applyBorder="1" applyAlignment="1">
      <alignment vertical="center"/>
    </xf>
    <xf numFmtId="3" fontId="6" fillId="0" borderId="199" xfId="0" applyNumberFormat="1" applyFont="1" applyBorder="1" applyAlignment="1">
      <alignment vertical="center"/>
    </xf>
    <xf numFmtId="3" fontId="5" fillId="0" borderId="23" xfId="0" applyNumberFormat="1" applyFont="1" applyBorder="1" applyAlignment="1">
      <alignment horizontal="center"/>
    </xf>
    <xf numFmtId="3" fontId="6" fillId="0" borderId="198" xfId="0" applyNumberFormat="1" applyFont="1" applyBorder="1" applyAlignment="1">
      <alignment horizontal="right" vertical="center"/>
    </xf>
    <xf numFmtId="3" fontId="6" fillId="0" borderId="200" xfId="0" applyNumberFormat="1" applyFont="1" applyBorder="1" applyAlignment="1">
      <alignment horizontal="right" vertical="center"/>
    </xf>
    <xf numFmtId="3" fontId="6" fillId="0" borderId="201" xfId="0" applyNumberFormat="1" applyFont="1" applyBorder="1" applyAlignment="1">
      <alignment horizontal="right" vertical="center"/>
    </xf>
    <xf numFmtId="3" fontId="5" fillId="0" borderId="196" xfId="0" applyNumberFormat="1" applyFont="1" applyBorder="1" applyAlignment="1">
      <alignment horizontal="right" vertical="center" textRotation="180"/>
    </xf>
    <xf numFmtId="0" fontId="5" fillId="0" borderId="197" xfId="0" applyFont="1" applyBorder="1"/>
    <xf numFmtId="3" fontId="5" fillId="0" borderId="193" xfId="0" applyNumberFormat="1" applyFont="1" applyBorder="1" applyAlignment="1">
      <alignment horizontal="right"/>
    </xf>
    <xf numFmtId="1" fontId="5" fillId="0" borderId="0" xfId="0" applyNumberFormat="1" applyFont="1" applyAlignment="1">
      <alignment horizontal="center"/>
    </xf>
    <xf numFmtId="0" fontId="5" fillId="0" borderId="26" xfId="0" applyFont="1" applyBorder="1" applyAlignment="1">
      <alignment horizontal="center"/>
    </xf>
    <xf numFmtId="0" fontId="5" fillId="0" borderId="6" xfId="0" applyFont="1" applyBorder="1" applyAlignment="1">
      <alignment horizontal="center"/>
    </xf>
    <xf numFmtId="0" fontId="6" fillId="0" borderId="6" xfId="0" applyFont="1" applyBorder="1" applyAlignment="1">
      <alignment horizontal="left" vertical="center"/>
    </xf>
    <xf numFmtId="3" fontId="6" fillId="0" borderId="202" xfId="0" applyNumberFormat="1" applyFont="1" applyBorder="1" applyAlignment="1">
      <alignment horizontal="right" vertical="center"/>
    </xf>
    <xf numFmtId="3" fontId="6" fillId="0" borderId="203" xfId="0" applyNumberFormat="1" applyFont="1" applyBorder="1" applyAlignment="1">
      <alignment horizontal="right" vertical="center"/>
    </xf>
    <xf numFmtId="3" fontId="5" fillId="0" borderId="6" xfId="0" applyNumberFormat="1" applyFont="1" applyBorder="1" applyAlignment="1">
      <alignment horizontal="center"/>
    </xf>
    <xf numFmtId="3" fontId="6" fillId="0" borderId="204" xfId="0" applyNumberFormat="1" applyFont="1" applyBorder="1" applyAlignment="1">
      <alignment horizontal="right" vertical="center"/>
    </xf>
    <xf numFmtId="3" fontId="6" fillId="0" borderId="205" xfId="0" applyNumberFormat="1" applyFont="1" applyBorder="1" applyAlignment="1">
      <alignment horizontal="right" vertical="center"/>
    </xf>
    <xf numFmtId="0" fontId="5" fillId="0" borderId="206" xfId="0" applyFont="1" applyBorder="1" applyAlignment="1">
      <alignment horizontal="center"/>
    </xf>
    <xf numFmtId="0" fontId="5" fillId="0" borderId="207" xfId="0" applyFont="1" applyBorder="1" applyAlignment="1">
      <alignment horizontal="center"/>
    </xf>
    <xf numFmtId="0" fontId="6" fillId="0" borderId="208" xfId="0" applyFont="1" applyBorder="1" applyAlignment="1">
      <alignment horizontal="center" vertical="center"/>
    </xf>
    <xf numFmtId="3" fontId="6" fillId="0" borderId="209" xfId="0" applyNumberFormat="1" applyFont="1" applyBorder="1" applyAlignment="1">
      <alignment horizontal="right" vertical="center"/>
    </xf>
    <xf numFmtId="3" fontId="6" fillId="0" borderId="210" xfId="0" applyNumberFormat="1" applyFont="1" applyBorder="1" applyAlignment="1">
      <alignment horizontal="right" vertical="center"/>
    </xf>
    <xf numFmtId="3" fontId="6" fillId="0" borderId="211" xfId="0" applyNumberFormat="1" applyFont="1" applyBorder="1" applyAlignment="1">
      <alignment horizontal="right" vertical="center"/>
    </xf>
    <xf numFmtId="3" fontId="6" fillId="0" borderId="212" xfId="0" applyNumberFormat="1" applyFont="1" applyBorder="1" applyAlignment="1">
      <alignment horizontal="right" vertical="center"/>
    </xf>
    <xf numFmtId="3" fontId="6" fillId="0" borderId="213" xfId="0" applyNumberFormat="1" applyFont="1" applyBorder="1" applyAlignment="1">
      <alignment horizontal="right" vertical="center"/>
    </xf>
    <xf numFmtId="3" fontId="5" fillId="0" borderId="192" xfId="0" applyNumberFormat="1" applyFont="1" applyBorder="1" applyAlignment="1">
      <alignment horizontal="right" vertical="center"/>
    </xf>
    <xf numFmtId="3" fontId="5" fillId="0" borderId="193" xfId="0" applyNumberFormat="1" applyFont="1" applyBorder="1" applyAlignment="1">
      <alignment horizontal="right" vertical="center"/>
    </xf>
    <xf numFmtId="3" fontId="5" fillId="0" borderId="196" xfId="0" applyNumberFormat="1" applyFont="1" applyBorder="1" applyAlignment="1">
      <alignment horizontal="right" vertical="center"/>
    </xf>
    <xf numFmtId="0" fontId="5" fillId="0" borderId="197" xfId="0" applyFont="1" applyBorder="1" applyAlignment="1">
      <alignment vertical="center"/>
    </xf>
    <xf numFmtId="3" fontId="5" fillId="0" borderId="197" xfId="0" applyNumberFormat="1" applyFont="1" applyBorder="1" applyAlignment="1">
      <alignment vertical="center"/>
    </xf>
    <xf numFmtId="3" fontId="5" fillId="0" borderId="202" xfId="0" applyNumberFormat="1" applyFont="1" applyBorder="1" applyAlignment="1">
      <alignment horizontal="right" vertical="center"/>
    </xf>
    <xf numFmtId="3" fontId="5" fillId="0" borderId="203" xfId="0" applyNumberFormat="1" applyFont="1" applyBorder="1" applyAlignment="1">
      <alignment horizontal="right" vertical="center"/>
    </xf>
    <xf numFmtId="3" fontId="5" fillId="0" borderId="204" xfId="0" applyNumberFormat="1" applyFont="1" applyBorder="1" applyAlignment="1">
      <alignment horizontal="right" vertical="center"/>
    </xf>
    <xf numFmtId="3" fontId="5" fillId="0" borderId="205" xfId="0" applyNumberFormat="1" applyFont="1" applyBorder="1" applyAlignment="1">
      <alignment horizontal="right" vertical="center"/>
    </xf>
    <xf numFmtId="0" fontId="5" fillId="0" borderId="214" xfId="0" applyFont="1" applyBorder="1" applyAlignment="1">
      <alignment horizontal="center"/>
    </xf>
    <xf numFmtId="0" fontId="5" fillId="0" borderId="7" xfId="0" applyFont="1" applyBorder="1" applyAlignment="1">
      <alignment horizontal="center"/>
    </xf>
    <xf numFmtId="0" fontId="6" fillId="0" borderId="7" xfId="0" applyFont="1" applyBorder="1" applyAlignment="1">
      <alignment horizontal="left" vertical="center"/>
    </xf>
    <xf numFmtId="3" fontId="6" fillId="0" borderId="215" xfId="0" applyNumberFormat="1" applyFont="1" applyBorder="1" applyAlignment="1">
      <alignment horizontal="right" vertical="center"/>
    </xf>
    <xf numFmtId="3" fontId="6" fillId="0" borderId="216" xfId="0" applyNumberFormat="1" applyFont="1" applyBorder="1" applyAlignment="1">
      <alignment horizontal="right" vertical="center"/>
    </xf>
    <xf numFmtId="0" fontId="6" fillId="0" borderId="0" xfId="0" applyFont="1" applyAlignment="1">
      <alignment horizontal="left" vertical="center"/>
    </xf>
    <xf numFmtId="0" fontId="5" fillId="0" borderId="0" xfId="0" applyFont="1" applyAlignment="1">
      <alignment horizontal="left" indent="2"/>
    </xf>
    <xf numFmtId="3" fontId="6" fillId="0" borderId="192" xfId="0" applyNumberFormat="1" applyFont="1" applyBorder="1" applyAlignment="1">
      <alignment horizontal="right" vertical="center"/>
    </xf>
    <xf numFmtId="3" fontId="6" fillId="0" borderId="193" xfId="0" applyNumberFormat="1" applyFont="1" applyBorder="1" applyAlignment="1">
      <alignment horizontal="right" vertical="center"/>
    </xf>
    <xf numFmtId="0" fontId="6" fillId="0" borderId="217" xfId="0" applyFont="1" applyBorder="1" applyAlignment="1">
      <alignment horizontal="left" vertical="center"/>
    </xf>
    <xf numFmtId="0" fontId="6" fillId="0" borderId="0" xfId="0" applyFont="1" applyAlignment="1">
      <alignment horizontal="left" vertical="center" wrapText="1"/>
    </xf>
    <xf numFmtId="0" fontId="5" fillId="0" borderId="218" xfId="0" applyFont="1" applyBorder="1" applyAlignment="1">
      <alignment horizontal="center"/>
    </xf>
    <xf numFmtId="0" fontId="6" fillId="0" borderId="4" xfId="0" applyFont="1" applyBorder="1" applyAlignment="1">
      <alignment horizontal="left" vertical="center" wrapText="1"/>
    </xf>
    <xf numFmtId="3" fontId="6" fillId="0" borderId="219" xfId="0" applyNumberFormat="1" applyFont="1" applyBorder="1" applyAlignment="1">
      <alignment horizontal="right" vertical="center"/>
    </xf>
    <xf numFmtId="3" fontId="6" fillId="0" borderId="220" xfId="0" applyNumberFormat="1" applyFont="1" applyBorder="1" applyAlignment="1">
      <alignment horizontal="right" vertical="center"/>
    </xf>
    <xf numFmtId="3" fontId="5" fillId="0" borderId="4" xfId="0" applyNumberFormat="1" applyFont="1" applyBorder="1" applyAlignment="1">
      <alignment horizontal="center"/>
    </xf>
    <xf numFmtId="0" fontId="6" fillId="0" borderId="4" xfId="0" applyFont="1" applyBorder="1" applyAlignment="1">
      <alignment horizontal="left" vertical="center"/>
    </xf>
    <xf numFmtId="3" fontId="5" fillId="0" borderId="219" xfId="0" applyNumberFormat="1" applyFont="1" applyBorder="1" applyAlignment="1">
      <alignment horizontal="right" vertical="center"/>
    </xf>
    <xf numFmtId="3" fontId="5" fillId="0" borderId="221" xfId="0" applyNumberFormat="1" applyFont="1" applyBorder="1" applyAlignment="1">
      <alignment horizontal="right" vertical="center"/>
    </xf>
    <xf numFmtId="0" fontId="5" fillId="0" borderId="222" xfId="0" applyFont="1" applyBorder="1" applyAlignment="1">
      <alignment vertical="center"/>
    </xf>
    <xf numFmtId="165" fontId="5" fillId="0" borderId="192" xfId="1" applyNumberFormat="1" applyFont="1" applyBorder="1" applyAlignment="1" applyProtection="1">
      <alignment horizontal="right"/>
    </xf>
    <xf numFmtId="165" fontId="5" fillId="0" borderId="193" xfId="1" applyNumberFormat="1" applyFont="1" applyBorder="1" applyAlignment="1" applyProtection="1">
      <alignment horizontal="right"/>
    </xf>
    <xf numFmtId="165" fontId="5" fillId="0" borderId="196" xfId="1" applyNumberFormat="1" applyFont="1" applyBorder="1" applyAlignment="1" applyProtection="1">
      <alignment horizontal="right"/>
    </xf>
    <xf numFmtId="165" fontId="5" fillId="0" borderId="197" xfId="1" applyNumberFormat="1" applyFont="1" applyBorder="1" applyAlignment="1" applyProtection="1">
      <alignment horizontal="right"/>
    </xf>
    <xf numFmtId="0" fontId="5" fillId="0" borderId="112" xfId="0" applyFont="1" applyBorder="1" applyAlignment="1">
      <alignment horizontal="center"/>
    </xf>
    <xf numFmtId="0" fontId="5" fillId="0" borderId="8" xfId="0" applyFont="1" applyBorder="1" applyAlignment="1">
      <alignment horizontal="center"/>
    </xf>
    <xf numFmtId="0" fontId="5" fillId="0" borderId="8" xfId="0" applyFont="1" applyBorder="1"/>
    <xf numFmtId="165" fontId="5" fillId="0" borderId="223" xfId="1" applyNumberFormat="1" applyFont="1" applyBorder="1" applyAlignment="1" applyProtection="1">
      <alignment horizontal="right"/>
    </xf>
    <xf numFmtId="165" fontId="5" fillId="0" borderId="224" xfId="1" applyNumberFormat="1" applyFont="1" applyBorder="1" applyAlignment="1" applyProtection="1">
      <alignment horizontal="right"/>
    </xf>
    <xf numFmtId="165" fontId="5" fillId="0" borderId="131" xfId="1" applyNumberFormat="1" applyFont="1" applyBorder="1" applyAlignment="1" applyProtection="1">
      <alignment horizontal="right"/>
    </xf>
    <xf numFmtId="165" fontId="5" fillId="0" borderId="132" xfId="1" applyNumberFormat="1" applyFont="1" applyBorder="1" applyAlignment="1" applyProtection="1">
      <alignment horizontal="right"/>
    </xf>
    <xf numFmtId="0" fontId="5" fillId="0" borderId="0" xfId="0" applyFont="1" applyAlignment="1">
      <alignment vertical="center" wrapText="1"/>
    </xf>
    <xf numFmtId="4" fontId="5" fillId="0" borderId="0" xfId="0" applyNumberFormat="1" applyFont="1" applyAlignment="1">
      <alignment vertical="center"/>
    </xf>
    <xf numFmtId="4" fontId="11" fillId="0" borderId="0" xfId="0" applyNumberFormat="1" applyFont="1" applyAlignment="1">
      <alignment horizontal="center" vertical="center"/>
    </xf>
    <xf numFmtId="4" fontId="5" fillId="0" borderId="0" xfId="0" applyNumberFormat="1" applyFont="1" applyAlignment="1">
      <alignment horizontal="left" vertical="center"/>
    </xf>
    <xf numFmtId="4" fontId="5" fillId="0" borderId="0" xfId="0" applyNumberFormat="1" applyFont="1" applyAlignment="1">
      <alignment horizontal="center" vertical="center"/>
    </xf>
    <xf numFmtId="0" fontId="11" fillId="0" borderId="0" xfId="0" applyFont="1" applyAlignment="1">
      <alignment horizontal="center" vertical="center" wrapText="1"/>
    </xf>
    <xf numFmtId="0" fontId="12" fillId="0" borderId="225" xfId="0" applyFont="1" applyBorder="1" applyAlignment="1">
      <alignment horizontal="center" vertical="center" textRotation="90"/>
    </xf>
    <xf numFmtId="0" fontId="5" fillId="0" borderId="226" xfId="0" applyFont="1" applyBorder="1" applyAlignment="1">
      <alignment horizontal="center" vertical="center" wrapText="1"/>
    </xf>
    <xf numFmtId="4" fontId="5" fillId="0" borderId="226" xfId="0" applyNumberFormat="1" applyFont="1" applyBorder="1" applyAlignment="1">
      <alignment horizontal="center" vertical="center" wrapText="1"/>
    </xf>
    <xf numFmtId="4" fontId="5" fillId="0" borderId="227" xfId="0" applyNumberFormat="1" applyFont="1" applyBorder="1" applyAlignment="1">
      <alignment horizontal="center" vertical="center"/>
    </xf>
    <xf numFmtId="166" fontId="5" fillId="0" borderId="0" xfId="0" applyNumberFormat="1" applyFont="1" applyAlignment="1">
      <alignment horizontal="left" vertical="top" wrapText="1"/>
    </xf>
    <xf numFmtId="4" fontId="5" fillId="0" borderId="0" xfId="0" applyNumberFormat="1" applyFont="1"/>
    <xf numFmtId="4" fontId="11" fillId="0" borderId="19" xfId="0" applyNumberFormat="1" applyFont="1" applyBorder="1" applyAlignment="1">
      <alignment horizontal="center"/>
    </xf>
    <xf numFmtId="0" fontId="5" fillId="0" borderId="0" xfId="0" applyFont="1" applyAlignment="1">
      <alignment vertical="top" wrapText="1"/>
    </xf>
    <xf numFmtId="4" fontId="5" fillId="0" borderId="0" xfId="0" applyNumberFormat="1" applyFont="1" applyAlignment="1">
      <alignment vertical="top"/>
    </xf>
    <xf numFmtId="49" fontId="11" fillId="0" borderId="19" xfId="0" applyNumberFormat="1" applyFont="1" applyBorder="1" applyAlignment="1">
      <alignment horizontal="center" wrapText="1"/>
    </xf>
    <xf numFmtId="166" fontId="5" fillId="0" borderId="0" xfId="49" applyNumberFormat="1" applyFont="1" applyAlignment="1">
      <alignment vertical="top" wrapText="1"/>
    </xf>
    <xf numFmtId="4" fontId="11" fillId="0" borderId="19" xfId="0" applyNumberFormat="1" applyFont="1" applyBorder="1" applyAlignment="1">
      <alignment horizontal="center" vertical="center"/>
    </xf>
    <xf numFmtId="166" fontId="5" fillId="0" borderId="0" xfId="49" applyNumberFormat="1" applyFont="1" applyAlignment="1">
      <alignment wrapText="1"/>
    </xf>
    <xf numFmtId="166" fontId="5" fillId="0" borderId="0" xfId="0" applyNumberFormat="1" applyFont="1" applyAlignment="1">
      <alignment horizontal="left" wrapText="1"/>
    </xf>
    <xf numFmtId="4" fontId="11" fillId="0" borderId="19" xfId="0" applyNumberFormat="1" applyFont="1" applyBorder="1" applyAlignment="1">
      <alignment horizontal="center" wrapText="1"/>
    </xf>
    <xf numFmtId="4" fontId="11" fillId="0" borderId="19" xfId="0" applyNumberFormat="1" applyFont="1" applyBorder="1" applyAlignment="1">
      <alignment horizontal="center" vertical="top" wrapText="1"/>
    </xf>
    <xf numFmtId="0" fontId="5" fillId="0" borderId="228" xfId="0" applyFont="1" applyBorder="1" applyAlignment="1">
      <alignment horizontal="center"/>
    </xf>
    <xf numFmtId="166" fontId="5" fillId="0" borderId="67" xfId="49" applyNumberFormat="1" applyFont="1" applyBorder="1" applyAlignment="1">
      <alignment wrapText="1"/>
    </xf>
    <xf numFmtId="4" fontId="5" fillId="0" borderId="67" xfId="0" applyNumberFormat="1" applyFont="1" applyBorder="1" applyAlignment="1">
      <alignment vertical="center"/>
    </xf>
    <xf numFmtId="4" fontId="11" fillId="0" borderId="178" xfId="0" applyNumberFormat="1" applyFont="1" applyBorder="1" applyAlignment="1">
      <alignment horizontal="center" vertical="center"/>
    </xf>
    <xf numFmtId="0" fontId="5" fillId="0" borderId="112" xfId="0" applyFont="1" applyBorder="1" applyAlignment="1">
      <alignment horizontal="center" vertical="center"/>
    </xf>
    <xf numFmtId="166" fontId="6" fillId="0" borderId="8" xfId="0" applyNumberFormat="1" applyFont="1" applyBorder="1" applyAlignment="1">
      <alignment vertical="center" wrapText="1"/>
    </xf>
    <xf numFmtId="4" fontId="6" fillId="0" borderId="8" xfId="0" applyNumberFormat="1" applyFont="1" applyBorder="1" applyAlignment="1">
      <alignment vertical="center"/>
    </xf>
    <xf numFmtId="4" fontId="15" fillId="0" borderId="115" xfId="0" applyNumberFormat="1" applyFont="1" applyBorder="1" applyAlignment="1">
      <alignment horizontal="center" vertical="center"/>
    </xf>
    <xf numFmtId="4" fontId="11" fillId="0" borderId="19" xfId="0" applyNumberFormat="1" applyFont="1" applyBorder="1" applyAlignment="1">
      <alignment horizontal="center" vertical="center" wrapText="1"/>
    </xf>
    <xf numFmtId="166" fontId="9" fillId="0" borderId="0" xfId="0" applyNumberFormat="1" applyFont="1" applyAlignment="1">
      <alignment horizontal="left" vertical="center" wrapText="1" indent="2"/>
    </xf>
    <xf numFmtId="166" fontId="9" fillId="0" borderId="0" xfId="0" applyNumberFormat="1" applyFont="1" applyAlignment="1">
      <alignment horizontal="left" vertical="top" wrapText="1" indent="2"/>
    </xf>
    <xf numFmtId="0" fontId="5" fillId="0" borderId="229" xfId="0" applyFont="1" applyBorder="1" applyAlignment="1">
      <alignment horizontal="center" vertical="center"/>
    </xf>
    <xf numFmtId="166" fontId="6" fillId="0" borderId="116" xfId="0" applyNumberFormat="1" applyFont="1" applyBorder="1" applyAlignment="1">
      <alignment vertical="center" wrapText="1"/>
    </xf>
    <xf numFmtId="4" fontId="6" fillId="0" borderId="116" xfId="0" applyNumberFormat="1" applyFont="1" applyBorder="1" applyAlignment="1">
      <alignment vertical="center"/>
    </xf>
    <xf numFmtId="4" fontId="15" fillId="0" borderId="230" xfId="0" applyNumberFormat="1" applyFont="1" applyBorder="1" applyAlignment="1">
      <alignment horizontal="center" vertical="center"/>
    </xf>
    <xf numFmtId="166" fontId="9" fillId="0" borderId="0" xfId="0" applyNumberFormat="1" applyFont="1" applyAlignment="1">
      <alignment horizontal="left" vertical="center" wrapText="1" indent="3"/>
    </xf>
    <xf numFmtId="166" fontId="9" fillId="0" borderId="8" xfId="0" applyNumberFormat="1" applyFont="1" applyBorder="1" applyAlignment="1">
      <alignment horizontal="left" vertical="center" wrapText="1" indent="3"/>
    </xf>
    <xf numFmtId="4" fontId="5" fillId="0" borderId="8" xfId="0" applyNumberFormat="1" applyFont="1" applyBorder="1" applyAlignment="1">
      <alignment vertical="center"/>
    </xf>
    <xf numFmtId="4" fontId="11" fillId="0" borderId="115" xfId="0" applyNumberFormat="1" applyFont="1" applyBorder="1" applyAlignment="1">
      <alignment horizontal="center" vertical="center"/>
    </xf>
    <xf numFmtId="0" fontId="5" fillId="0" borderId="0" xfId="0" applyFont="1" applyAlignment="1">
      <alignment horizontal="center" vertical="center" wrapText="1"/>
    </xf>
    <xf numFmtId="0" fontId="15" fillId="0" borderId="0" xfId="0" applyFont="1" applyAlignment="1">
      <alignment horizontal="center"/>
    </xf>
    <xf numFmtId="0" fontId="6" fillId="0" borderId="0" xfId="0" applyFont="1" applyAlignment="1">
      <alignment vertical="center" wrapText="1"/>
    </xf>
    <xf numFmtId="4" fontId="6" fillId="0" borderId="0" xfId="0" applyNumberFormat="1" applyFont="1" applyAlignment="1">
      <alignment vertical="center"/>
    </xf>
    <xf numFmtId="4" fontId="15" fillId="0" borderId="0" xfId="0" applyNumberFormat="1" applyFont="1" applyAlignment="1">
      <alignment horizontal="center" vertical="center"/>
    </xf>
    <xf numFmtId="4" fontId="5" fillId="0" borderId="0" xfId="0" applyNumberFormat="1" applyFont="1" applyAlignment="1">
      <alignment horizontal="right" vertical="center"/>
    </xf>
    <xf numFmtId="0" fontId="13" fillId="0" borderId="55" xfId="47" applyFont="1" applyBorder="1" applyAlignment="1">
      <alignment horizontal="left" wrapText="1"/>
    </xf>
    <xf numFmtId="0" fontId="5" fillId="0" borderId="0" xfId="0" applyFont="1" applyAlignment="1">
      <alignment horizontal="left"/>
    </xf>
    <xf numFmtId="0" fontId="6" fillId="0" borderId="0" xfId="0" applyFont="1" applyAlignment="1">
      <alignment horizontal="center" vertical="center"/>
    </xf>
    <xf numFmtId="3" fontId="5" fillId="0" borderId="0" xfId="45" applyNumberFormat="1" applyFont="1" applyAlignment="1">
      <alignment horizontal="left"/>
    </xf>
    <xf numFmtId="3" fontId="6" fillId="0" borderId="0" xfId="45" applyNumberFormat="1" applyFont="1" applyAlignment="1">
      <alignment horizontal="center" vertical="center"/>
    </xf>
    <xf numFmtId="3" fontId="8" fillId="0" borderId="57" xfId="0" applyNumberFormat="1" applyFont="1" applyBorder="1" applyAlignment="1">
      <alignment horizontal="left" vertical="center"/>
    </xf>
    <xf numFmtId="3" fontId="19" fillId="0" borderId="82" xfId="0" applyNumberFormat="1" applyFont="1" applyBorder="1" applyAlignment="1">
      <alignment horizontal="center" vertical="center"/>
    </xf>
    <xf numFmtId="3" fontId="19" fillId="0" borderId="87" xfId="49" applyNumberFormat="1" applyFont="1" applyBorder="1" applyAlignment="1">
      <alignment horizontal="left" wrapText="1"/>
    </xf>
    <xf numFmtId="3" fontId="19" fillId="0" borderId="82" xfId="49" applyNumberFormat="1" applyFont="1" applyBorder="1" applyAlignment="1">
      <alignment horizontal="center" vertical="center"/>
    </xf>
    <xf numFmtId="3" fontId="19" fillId="0" borderId="49" xfId="49" applyNumberFormat="1" applyFont="1" applyBorder="1" applyAlignment="1">
      <alignment horizontal="left" wrapText="1"/>
    </xf>
    <xf numFmtId="3" fontId="12" fillId="0" borderId="49" xfId="49" applyNumberFormat="1" applyFont="1" applyBorder="1" applyAlignment="1">
      <alignment horizontal="left" wrapText="1"/>
    </xf>
    <xf numFmtId="3" fontId="19" fillId="0" borderId="43" xfId="49" applyNumberFormat="1" applyFont="1" applyBorder="1" applyAlignment="1">
      <alignment horizontal="left" wrapText="1"/>
    </xf>
    <xf numFmtId="3" fontId="5" fillId="0" borderId="0" xfId="0" applyNumberFormat="1" applyFont="1" applyAlignment="1">
      <alignment horizontal="left" vertical="center"/>
    </xf>
    <xf numFmtId="3" fontId="6" fillId="0" borderId="0" xfId="0" applyNumberFormat="1" applyFont="1" applyAlignment="1">
      <alignment horizontal="center" vertical="center"/>
    </xf>
    <xf numFmtId="3" fontId="11" fillId="0" borderId="8" xfId="0" applyNumberFormat="1" applyFont="1" applyBorder="1" applyAlignment="1">
      <alignment horizontal="center" vertical="center"/>
    </xf>
    <xf numFmtId="3" fontId="12" fillId="0" borderId="9" xfId="0" applyNumberFormat="1" applyFont="1" applyBorder="1" applyAlignment="1">
      <alignment horizontal="center" vertical="center" textRotation="90"/>
    </xf>
    <xf numFmtId="3" fontId="12" fillId="0" borderId="11" xfId="0" applyNumberFormat="1" applyFont="1" applyBorder="1" applyAlignment="1">
      <alignment horizontal="center" vertical="center" textRotation="90"/>
    </xf>
    <xf numFmtId="3" fontId="19" fillId="0" borderId="3" xfId="0" applyNumberFormat="1" applyFont="1" applyBorder="1" applyAlignment="1">
      <alignment horizontal="center" vertical="center"/>
    </xf>
    <xf numFmtId="3" fontId="12" fillId="0" borderId="10" xfId="0" applyNumberFormat="1" applyFont="1" applyBorder="1" applyAlignment="1">
      <alignment horizontal="center" vertical="center" wrapText="1"/>
    </xf>
    <xf numFmtId="3" fontId="12" fillId="0" borderId="37" xfId="0" applyNumberFormat="1" applyFont="1" applyBorder="1" applyAlignment="1">
      <alignment horizontal="center" vertical="center" wrapText="1"/>
    </xf>
    <xf numFmtId="3" fontId="19" fillId="0" borderId="5" xfId="0" applyNumberFormat="1" applyFont="1" applyBorder="1" applyAlignment="1">
      <alignment horizontal="center" vertical="center" wrapText="1"/>
    </xf>
    <xf numFmtId="3" fontId="12" fillId="0" borderId="39" xfId="0" applyNumberFormat="1" applyFont="1" applyBorder="1" applyAlignment="1">
      <alignment horizontal="center" vertical="center"/>
    </xf>
    <xf numFmtId="3" fontId="12" fillId="0" borderId="39" xfId="0" applyNumberFormat="1" applyFont="1" applyBorder="1" applyAlignment="1">
      <alignment horizontal="center" vertical="center" wrapText="1"/>
    </xf>
    <xf numFmtId="3" fontId="12" fillId="0" borderId="40" xfId="0" applyNumberFormat="1" applyFont="1" applyBorder="1" applyAlignment="1">
      <alignment horizontal="center" vertical="center" wrapText="1"/>
    </xf>
    <xf numFmtId="3" fontId="13" fillId="0" borderId="48" xfId="0" applyNumberFormat="1" applyFont="1" applyBorder="1" applyAlignment="1">
      <alignment horizontal="left" vertical="center" wrapText="1"/>
    </xf>
    <xf numFmtId="3" fontId="13" fillId="0" borderId="48" xfId="0" applyNumberFormat="1" applyFont="1" applyBorder="1" applyAlignment="1">
      <alignment horizontal="left" vertical="top" wrapText="1"/>
    </xf>
    <xf numFmtId="3" fontId="13" fillId="0" borderId="82" xfId="0" applyNumberFormat="1" applyFont="1" applyBorder="1" applyAlignment="1">
      <alignment horizontal="left" vertical="center"/>
    </xf>
    <xf numFmtId="3" fontId="12" fillId="0" borderId="49" xfId="49" applyNumberFormat="1" applyFont="1" applyBorder="1" applyAlignment="1">
      <alignment horizontal="left"/>
    </xf>
    <xf numFmtId="0" fontId="12" fillId="0" borderId="49" xfId="0" applyFont="1" applyBorder="1" applyAlignment="1">
      <alignment horizontal="left" wrapText="1"/>
    </xf>
    <xf numFmtId="3" fontId="8" fillId="0" borderId="57" xfId="49" applyNumberFormat="1" applyFont="1" applyBorder="1" applyAlignment="1">
      <alignment horizontal="left" vertical="center"/>
    </xf>
    <xf numFmtId="3" fontId="13" fillId="0" borderId="49" xfId="49" applyNumberFormat="1" applyFont="1" applyBorder="1" applyAlignment="1">
      <alignment horizontal="left"/>
    </xf>
    <xf numFmtId="3" fontId="19" fillId="0" borderId="55" xfId="49" applyNumberFormat="1" applyFont="1" applyBorder="1" applyAlignment="1">
      <alignment horizontal="left" wrapText="1"/>
    </xf>
    <xf numFmtId="3" fontId="19" fillId="0" borderId="55" xfId="0" applyNumberFormat="1" applyFont="1" applyBorder="1" applyAlignment="1">
      <alignment horizontal="left" vertical="center" wrapText="1"/>
    </xf>
    <xf numFmtId="3" fontId="19" fillId="0" borderId="38" xfId="0" applyNumberFormat="1" applyFont="1" applyBorder="1" applyAlignment="1">
      <alignment horizontal="center" vertical="center" wrapText="1"/>
    </xf>
    <xf numFmtId="3" fontId="12" fillId="0" borderId="39" xfId="45" applyNumberFormat="1" applyFont="1" applyBorder="1" applyAlignment="1">
      <alignment horizontal="center" vertical="center" wrapText="1"/>
    </xf>
    <xf numFmtId="3" fontId="12" fillId="0" borderId="10" xfId="0" applyNumberFormat="1" applyFont="1" applyBorder="1" applyAlignment="1">
      <alignment horizontal="center" vertical="center" textRotation="90"/>
    </xf>
    <xf numFmtId="3" fontId="19" fillId="0" borderId="10" xfId="0" applyNumberFormat="1" applyFont="1" applyBorder="1" applyAlignment="1">
      <alignment horizontal="center" vertical="center"/>
    </xf>
    <xf numFmtId="3" fontId="12" fillId="0" borderId="10" xfId="0" applyNumberFormat="1" applyFont="1" applyBorder="1" applyAlignment="1">
      <alignment horizontal="center" vertical="center" textRotation="90" wrapText="1"/>
    </xf>
    <xf numFmtId="3" fontId="13" fillId="0" borderId="0" xfId="0" applyNumberFormat="1" applyFont="1" applyAlignment="1">
      <alignment horizontal="right"/>
    </xf>
    <xf numFmtId="0" fontId="19" fillId="0" borderId="122" xfId="51" applyFont="1" applyBorder="1" applyAlignment="1" applyProtection="1">
      <alignment horizontal="center" vertical="center"/>
      <protection locked="0"/>
    </xf>
    <xf numFmtId="0" fontId="19" fillId="0" borderId="125" xfId="51" applyFont="1" applyBorder="1" applyAlignment="1" applyProtection="1">
      <alignment horizontal="center" vertical="center"/>
      <protection locked="0"/>
    </xf>
    <xf numFmtId="0" fontId="19" fillId="0" borderId="83" xfId="51" applyFont="1" applyBorder="1" applyAlignment="1" applyProtection="1">
      <alignment horizontal="left" vertical="center"/>
      <protection locked="0"/>
    </xf>
    <xf numFmtId="0" fontId="19" fillId="0" borderId="1" xfId="51" applyFont="1" applyBorder="1" applyAlignment="1" applyProtection="1">
      <alignment horizontal="center" vertical="center"/>
      <protection locked="0"/>
    </xf>
    <xf numFmtId="0" fontId="12" fillId="0" borderId="0" xfId="0" applyFont="1" applyAlignment="1">
      <alignment horizontal="left"/>
    </xf>
    <xf numFmtId="0" fontId="12" fillId="0" borderId="0" xfId="51" applyFont="1" applyAlignment="1" applyProtection="1">
      <alignment horizontal="left" vertical="center"/>
      <protection locked="0"/>
    </xf>
    <xf numFmtId="0" fontId="6" fillId="0" borderId="0" xfId="50" applyFont="1" applyAlignment="1" applyProtection="1">
      <alignment horizontal="center"/>
      <protection locked="0"/>
    </xf>
    <xf numFmtId="0" fontId="6" fillId="0" borderId="0" xfId="51" applyFont="1" applyAlignment="1" applyProtection="1">
      <alignment horizontal="center" vertical="center"/>
      <protection locked="0"/>
    </xf>
    <xf numFmtId="3" fontId="12" fillId="0" borderId="9" xfId="46" applyNumberFormat="1" applyFont="1" applyBorder="1" applyAlignment="1" applyProtection="1">
      <alignment horizontal="center" vertical="center" textRotation="90"/>
      <protection locked="0"/>
    </xf>
    <xf numFmtId="3" fontId="12" fillId="0" borderId="10" xfId="46" applyNumberFormat="1" applyFont="1" applyBorder="1" applyAlignment="1" applyProtection="1">
      <alignment horizontal="center" vertical="center" textRotation="90"/>
      <protection locked="0"/>
    </xf>
    <xf numFmtId="0" fontId="19" fillId="0" borderId="10" xfId="50" applyFont="1" applyBorder="1" applyAlignment="1" applyProtection="1">
      <alignment horizontal="center" vertical="center" wrapText="1"/>
      <protection locked="0"/>
    </xf>
    <xf numFmtId="0" fontId="12" fillId="0" borderId="10" xfId="50" applyFont="1" applyBorder="1" applyAlignment="1" applyProtection="1">
      <alignment horizontal="center" vertical="center" textRotation="90" wrapText="1"/>
      <protection locked="0"/>
    </xf>
    <xf numFmtId="3" fontId="12" fillId="0" borderId="10" xfId="50" applyNumberFormat="1" applyFont="1" applyBorder="1" applyAlignment="1" applyProtection="1">
      <alignment horizontal="center" vertical="center" wrapText="1"/>
      <protection locked="0"/>
    </xf>
    <xf numFmtId="3" fontId="12" fillId="0" borderId="11" xfId="50" applyNumberFormat="1" applyFont="1" applyBorder="1" applyAlignment="1" applyProtection="1">
      <alignment horizontal="center" vertical="center" wrapText="1"/>
      <protection locked="0"/>
    </xf>
    <xf numFmtId="3" fontId="19" fillId="0" borderId="117" xfId="50" applyNumberFormat="1" applyFont="1" applyBorder="1" applyAlignment="1" applyProtection="1">
      <alignment horizontal="center" vertical="center" wrapText="1"/>
      <protection locked="0"/>
    </xf>
    <xf numFmtId="3" fontId="19" fillId="0" borderId="118" xfId="50" applyNumberFormat="1" applyFont="1" applyBorder="1" applyAlignment="1" applyProtection="1">
      <alignment horizontal="center" vertical="center" wrapText="1"/>
      <protection locked="0"/>
    </xf>
    <xf numFmtId="3" fontId="13" fillId="0" borderId="118" xfId="50" applyNumberFormat="1" applyFont="1" applyBorder="1" applyAlignment="1" applyProtection="1">
      <alignment horizontal="center" vertical="center"/>
      <protection locked="0"/>
    </xf>
    <xf numFmtId="49" fontId="19" fillId="0" borderId="119" xfId="50" applyNumberFormat="1" applyFont="1" applyBorder="1" applyAlignment="1" applyProtection="1">
      <alignment horizontal="center" vertical="center" wrapText="1"/>
      <protection locked="0"/>
    </xf>
    <xf numFmtId="3" fontId="19" fillId="0" borderId="77" xfId="46" applyNumberFormat="1" applyFont="1" applyBorder="1" applyAlignment="1">
      <alignment horizontal="center" vertical="center" wrapText="1"/>
    </xf>
    <xf numFmtId="3" fontId="11" fillId="0" borderId="0" xfId="0" applyNumberFormat="1" applyFont="1" applyAlignment="1">
      <alignment horizontal="left" vertical="top"/>
    </xf>
    <xf numFmtId="3" fontId="12" fillId="0" borderId="37" xfId="46" applyNumberFormat="1" applyFont="1" applyBorder="1" applyAlignment="1">
      <alignment horizontal="center" vertical="center" wrapText="1"/>
    </xf>
    <xf numFmtId="3" fontId="12" fillId="0" borderId="129" xfId="0" applyNumberFormat="1" applyFont="1" applyBorder="1" applyAlignment="1">
      <alignment horizontal="center" vertical="center" textRotation="90" wrapText="1"/>
    </xf>
    <xf numFmtId="3" fontId="19" fillId="0" borderId="10" xfId="46" applyNumberFormat="1" applyFont="1" applyBorder="1" applyAlignment="1">
      <alignment horizontal="center" vertical="center" wrapText="1"/>
    </xf>
    <xf numFmtId="3" fontId="12" fillId="0" borderId="130" xfId="0" applyNumberFormat="1" applyFont="1" applyBorder="1" applyAlignment="1">
      <alignment horizontal="center" vertical="center"/>
    </xf>
    <xf numFmtId="3" fontId="13" fillId="0" borderId="49" xfId="46" applyNumberFormat="1" applyFont="1" applyBorder="1" applyAlignment="1">
      <alignment horizontal="left" vertical="center" wrapText="1"/>
    </xf>
    <xf numFmtId="3" fontId="12" fillId="0" borderId="9" xfId="46" applyNumberFormat="1" applyFont="1" applyBorder="1" applyAlignment="1">
      <alignment horizontal="center" vertical="center" textRotation="90"/>
    </xf>
    <xf numFmtId="3" fontId="12" fillId="0" borderId="10" xfId="46" applyNumberFormat="1" applyFont="1" applyBorder="1" applyAlignment="1">
      <alignment horizontal="center" vertical="center" textRotation="90"/>
    </xf>
    <xf numFmtId="0" fontId="19" fillId="0" borderId="10" xfId="46" applyFont="1" applyBorder="1" applyAlignment="1">
      <alignment horizontal="center" vertical="center" wrapText="1"/>
    </xf>
    <xf numFmtId="3" fontId="12" fillId="0" borderId="10" xfId="46" applyNumberFormat="1" applyFont="1" applyBorder="1" applyAlignment="1">
      <alignment horizontal="center" vertical="center" wrapText="1"/>
    </xf>
    <xf numFmtId="3" fontId="5" fillId="0" borderId="0" xfId="46" applyNumberFormat="1" applyFont="1" applyAlignment="1">
      <alignment horizontal="left"/>
    </xf>
    <xf numFmtId="3" fontId="5" fillId="0" borderId="0" xfId="46" applyNumberFormat="1" applyFont="1" applyAlignment="1">
      <alignment horizontal="right"/>
    </xf>
    <xf numFmtId="3" fontId="6" fillId="0" borderId="0" xfId="46" applyNumberFormat="1" applyFont="1" applyAlignment="1">
      <alignment horizontal="center"/>
    </xf>
    <xf numFmtId="3" fontId="6" fillId="0" borderId="0" xfId="46" applyNumberFormat="1" applyFont="1" applyAlignment="1">
      <alignment horizontal="center" vertical="center"/>
    </xf>
    <xf numFmtId="3" fontId="13" fillId="0" borderId="0" xfId="46" applyNumberFormat="1" applyFont="1" applyAlignment="1">
      <alignment horizontal="right"/>
    </xf>
    <xf numFmtId="3" fontId="6" fillId="0" borderId="58" xfId="47" applyNumberFormat="1" applyFont="1" applyBorder="1" applyAlignment="1">
      <alignment horizontal="center" vertical="center" wrapText="1"/>
    </xf>
    <xf numFmtId="0" fontId="5" fillId="0" borderId="0" xfId="51" applyFont="1" applyAlignment="1">
      <alignment horizontal="left" vertical="center"/>
    </xf>
    <xf numFmtId="3" fontId="5" fillId="0" borderId="0" xfId="50" applyNumberFormat="1" applyFont="1" applyAlignment="1">
      <alignment horizontal="right"/>
    </xf>
    <xf numFmtId="0" fontId="6" fillId="0" borderId="0" xfId="50" applyFont="1" applyAlignment="1">
      <alignment horizontal="center"/>
    </xf>
    <xf numFmtId="0" fontId="6" fillId="0" borderId="0" xfId="51" applyFont="1" applyAlignment="1">
      <alignment horizontal="center" vertical="center"/>
    </xf>
    <xf numFmtId="0" fontId="19" fillId="0" borderId="10" xfId="50" applyFont="1" applyBorder="1" applyAlignment="1">
      <alignment horizontal="center" vertical="center" wrapText="1"/>
    </xf>
    <xf numFmtId="3" fontId="12" fillId="0" borderId="10" xfId="50" applyNumberFormat="1" applyFont="1" applyBorder="1" applyAlignment="1">
      <alignment horizontal="center" vertical="center" wrapText="1"/>
    </xf>
    <xf numFmtId="3" fontId="12" fillId="0" borderId="11" xfId="50" applyNumberFormat="1" applyFont="1" applyBorder="1" applyAlignment="1">
      <alignment horizontal="center" vertical="center" wrapText="1"/>
    </xf>
    <xf numFmtId="0" fontId="12" fillId="0" borderId="148" xfId="50" applyFont="1" applyBorder="1" applyAlignment="1">
      <alignment horizontal="center" vertical="center" textRotation="90" wrapText="1"/>
    </xf>
    <xf numFmtId="3" fontId="19" fillId="0" borderId="149" xfId="50" applyNumberFormat="1" applyFont="1" applyBorder="1" applyAlignment="1">
      <alignment horizontal="center" vertical="center" wrapText="1"/>
    </xf>
    <xf numFmtId="3" fontId="12" fillId="0" borderId="5" xfId="50" applyNumberFormat="1" applyFont="1" applyBorder="1" applyAlignment="1">
      <alignment horizontal="center" vertical="center" wrapText="1"/>
    </xf>
    <xf numFmtId="3" fontId="12" fillId="0" borderId="150" xfId="50" applyNumberFormat="1" applyFont="1" applyBorder="1" applyAlignment="1">
      <alignment horizontal="center" vertical="center" wrapText="1"/>
    </xf>
    <xf numFmtId="3" fontId="19" fillId="0" borderId="114" xfId="50" applyNumberFormat="1" applyFont="1" applyBorder="1" applyAlignment="1">
      <alignment horizontal="center" vertical="center" wrapText="1"/>
    </xf>
    <xf numFmtId="0" fontId="5" fillId="0" borderId="0" xfId="50" applyFont="1" applyAlignment="1">
      <alignment horizontal="center"/>
    </xf>
    <xf numFmtId="3" fontId="5" fillId="0" borderId="160" xfId="50" applyNumberFormat="1" applyFont="1" applyBorder="1" applyAlignment="1">
      <alignment horizontal="center" vertical="center" wrapText="1"/>
    </xf>
    <xf numFmtId="3" fontId="5" fillId="0" borderId="161" xfId="50" applyNumberFormat="1" applyFont="1" applyBorder="1" applyAlignment="1">
      <alignment horizontal="center" vertical="center" wrapText="1"/>
    </xf>
    <xf numFmtId="3" fontId="6" fillId="0" borderId="162" xfId="50" applyNumberFormat="1" applyFont="1" applyBorder="1" applyAlignment="1">
      <alignment horizontal="center" vertical="center" wrapText="1"/>
    </xf>
    <xf numFmtId="3" fontId="6" fillId="0" borderId="166" xfId="47" applyNumberFormat="1" applyFont="1" applyBorder="1" applyAlignment="1">
      <alignment horizontal="center" vertical="center" wrapText="1"/>
    </xf>
    <xf numFmtId="0" fontId="6" fillId="0" borderId="0" xfId="51" applyFont="1" applyAlignment="1">
      <alignment horizontal="center"/>
    </xf>
    <xf numFmtId="3" fontId="5" fillId="0" borderId="9" xfId="46" applyNumberFormat="1" applyFont="1" applyBorder="1" applyAlignment="1">
      <alignment horizontal="center" vertical="center" textRotation="90"/>
    </xf>
    <xf numFmtId="3" fontId="5" fillId="0" borderId="10" xfId="46" applyNumberFormat="1" applyFont="1" applyBorder="1" applyAlignment="1">
      <alignment horizontal="center" vertical="center" textRotation="90"/>
    </xf>
    <xf numFmtId="0" fontId="5" fillId="0" borderId="10" xfId="50" applyFont="1" applyBorder="1" applyAlignment="1">
      <alignment horizontal="center" vertical="center"/>
    </xf>
    <xf numFmtId="3" fontId="5" fillId="0" borderId="10" xfId="50" applyNumberFormat="1" applyFont="1" applyBorder="1" applyAlignment="1">
      <alignment horizontal="center" vertical="center" wrapText="1"/>
    </xf>
    <xf numFmtId="3" fontId="5" fillId="0" borderId="11" xfId="50" applyNumberFormat="1" applyFont="1" applyBorder="1" applyAlignment="1">
      <alignment horizontal="center" vertical="center" wrapText="1"/>
    </xf>
    <xf numFmtId="3" fontId="5" fillId="0" borderId="159" xfId="50" applyNumberFormat="1" applyFont="1" applyBorder="1" applyAlignment="1">
      <alignment horizontal="center" vertical="center" wrapText="1"/>
    </xf>
    <xf numFmtId="3" fontId="5" fillId="0" borderId="5" xfId="50" applyNumberFormat="1" applyFont="1" applyBorder="1" applyAlignment="1">
      <alignment horizontal="center" vertical="center" wrapText="1"/>
    </xf>
    <xf numFmtId="3" fontId="6" fillId="0" borderId="168" xfId="47" applyNumberFormat="1" applyFont="1" applyBorder="1" applyAlignment="1">
      <alignment horizontal="center" vertical="center" wrapText="1"/>
    </xf>
    <xf numFmtId="3" fontId="6" fillId="0" borderId="184" xfId="47" applyNumberFormat="1" applyFont="1" applyBorder="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left" wrapText="1"/>
    </xf>
  </cellXfs>
  <cellStyles count="55">
    <cellStyle name="Ezres 2" xfId="2"/>
    <cellStyle name="Ezres 3" xfId="3"/>
    <cellStyle name="Ezres 4" xfId="4"/>
    <cellStyle name="Ezres 4 2" xfId="5"/>
    <cellStyle name="Ezres 4 3" xfId="6"/>
    <cellStyle name="Ezres 4 4" xfId="7"/>
    <cellStyle name="Ezres 4 4 2" xfId="8"/>
    <cellStyle name="Ezres 5" xfId="9"/>
    <cellStyle name="Normál" xfId="0" builtinId="0"/>
    <cellStyle name="Normál 10" xfId="10"/>
    <cellStyle name="Normál 10 2" xfId="11"/>
    <cellStyle name="Normál 10 3" xfId="12"/>
    <cellStyle name="Normál 11" xfId="13"/>
    <cellStyle name="Normál 11 2" xfId="14"/>
    <cellStyle name="Normál 12" xfId="15"/>
    <cellStyle name="Normál 13" xfId="16"/>
    <cellStyle name="Normál 14" xfId="17"/>
    <cellStyle name="Normál 14 2" xfId="18"/>
    <cellStyle name="Normál 14 2 2" xfId="19"/>
    <cellStyle name="Normál 15" xfId="20"/>
    <cellStyle name="Normál 2" xfId="21"/>
    <cellStyle name="Normál 3" xfId="22"/>
    <cellStyle name="Normál 4" xfId="23"/>
    <cellStyle name="Normál 5" xfId="24"/>
    <cellStyle name="Normál 6" xfId="25"/>
    <cellStyle name="Normál 6 2" xfId="26"/>
    <cellStyle name="Normál 6 3" xfId="27"/>
    <cellStyle name="Normál 6 3 2" xfId="28"/>
    <cellStyle name="Normál 6 3 2 2" xfId="29"/>
    <cellStyle name="Normál 6 3 2 3" xfId="30"/>
    <cellStyle name="Normál 6 3 2 3 2" xfId="31"/>
    <cellStyle name="Normál 6 3 2 3 3" xfId="32"/>
    <cellStyle name="Normál 6 3 2 4" xfId="33"/>
    <cellStyle name="Normál 6 3 2 5" xfId="34"/>
    <cellStyle name="Normál 6 3 2 6" xfId="35"/>
    <cellStyle name="Normál 7" xfId="36"/>
    <cellStyle name="Normál 8" xfId="37"/>
    <cellStyle name="Normál 8 2" xfId="38"/>
    <cellStyle name="Normál 8 2 2" xfId="39"/>
    <cellStyle name="Normál 8 2 3" xfId="40"/>
    <cellStyle name="Normál 8 3" xfId="41"/>
    <cellStyle name="Normál 9" xfId="42"/>
    <cellStyle name="Normál 9 2" xfId="43"/>
    <cellStyle name="Normál 9 3" xfId="44"/>
    <cellStyle name="Normál_2007.évi konc. összefoglaló bevétel" xfId="45"/>
    <cellStyle name="Normál_2007.évi konc. összefoglaló bevétel 2" xfId="46"/>
    <cellStyle name="Normál_Beruházási tábla 2007" xfId="47"/>
    <cellStyle name="Normál_EU-s tábla kv-hez_EU projektek tábla" xfId="48"/>
    <cellStyle name="Normál_Intézményi bevétel-kiadás" xfId="49"/>
    <cellStyle name="Normál_Városfejlesztési Iroda - 2008. kv. tervezés" xfId="50"/>
    <cellStyle name="Normál_Városfejlesztési Iroda - 2008. kv. tervezés_2014.évi eredeti előirányzat 2" xfId="51"/>
    <cellStyle name="Százalék" xfId="1" builtinId="5"/>
    <cellStyle name="Százalék 2" xfId="52"/>
    <cellStyle name="Százalék 3" xfId="53"/>
    <cellStyle name="Százalék 3 2" xfId="5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CE6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84807"/>
      <rgbColor rgb="FF993366"/>
      <rgbColor rgb="FF333399"/>
      <rgbColor rgb="FF6325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4"/>
  <sheetViews>
    <sheetView view="pageBreakPreview" zoomScaleNormal="100" workbookViewId="0">
      <selection activeCell="B1" sqref="B1"/>
    </sheetView>
  </sheetViews>
  <sheetFormatPr defaultColWidth="9.28515625" defaultRowHeight="17.25" x14ac:dyDescent="0.35"/>
  <cols>
    <col min="1" max="1" width="3.7109375" style="26" customWidth="1"/>
    <col min="2" max="5" width="5.7109375" style="14" customWidth="1"/>
    <col min="6" max="6" width="59.7109375" style="8" customWidth="1"/>
    <col min="7" max="9" width="13.7109375" style="11" customWidth="1"/>
    <col min="10" max="11" width="15.7109375" style="13" customWidth="1"/>
    <col min="12" max="12" width="15.7109375" style="19" customWidth="1"/>
    <col min="13" max="13" width="15.7109375" style="8" customWidth="1"/>
    <col min="14" max="16384" width="9.28515625" style="8"/>
  </cols>
  <sheetData>
    <row r="1" spans="1:13" x14ac:dyDescent="0.35">
      <c r="B1" s="8" t="s">
        <v>1101</v>
      </c>
      <c r="C1" s="8"/>
      <c r="D1" s="8"/>
      <c r="E1" s="8"/>
      <c r="G1" s="8"/>
      <c r="H1" s="8"/>
      <c r="I1" s="8"/>
      <c r="J1" s="8"/>
      <c r="K1" s="5"/>
    </row>
    <row r="2" spans="1:13" x14ac:dyDescent="0.35">
      <c r="B2" s="1926" t="s">
        <v>95</v>
      </c>
      <c r="C2" s="1926"/>
      <c r="D2" s="1926"/>
      <c r="E2" s="1926"/>
      <c r="F2" s="1926"/>
      <c r="G2" s="8"/>
      <c r="H2" s="8"/>
      <c r="I2" s="8"/>
      <c r="J2" s="27"/>
      <c r="K2" s="27"/>
    </row>
    <row r="3" spans="1:13" s="12" customFormat="1" ht="24.75" customHeight="1" x14ac:dyDescent="0.3">
      <c r="A3" s="26"/>
      <c r="B3" s="1927" t="s">
        <v>96</v>
      </c>
      <c r="C3" s="1927"/>
      <c r="D3" s="1927"/>
      <c r="E3" s="1927"/>
      <c r="F3" s="1927"/>
      <c r="G3" s="1927"/>
      <c r="H3" s="1927"/>
      <c r="I3" s="1927"/>
      <c r="J3" s="1927"/>
      <c r="K3" s="1927"/>
      <c r="L3" s="1927"/>
      <c r="M3" s="1927"/>
    </row>
    <row r="4" spans="1:13" s="12" customFormat="1" ht="24.75" customHeight="1" x14ac:dyDescent="0.3">
      <c r="A4" s="26"/>
      <c r="B4" s="1927" t="s">
        <v>97</v>
      </c>
      <c r="C4" s="1927"/>
      <c r="D4" s="1927"/>
      <c r="E4" s="1927"/>
      <c r="F4" s="1927"/>
      <c r="G4" s="1927"/>
      <c r="H4" s="1927"/>
      <c r="I4" s="1927"/>
      <c r="J4" s="1927"/>
      <c r="K4" s="1927"/>
      <c r="L4" s="1927"/>
      <c r="M4" s="1927"/>
    </row>
    <row r="5" spans="1:13" s="33" customFormat="1" ht="15" x14ac:dyDescent="0.3">
      <c r="A5" s="26"/>
      <c r="B5" s="28"/>
      <c r="C5" s="28"/>
      <c r="D5" s="28"/>
      <c r="E5" s="28"/>
      <c r="F5" s="28"/>
      <c r="G5" s="29"/>
      <c r="H5" s="29"/>
      <c r="I5" s="30"/>
      <c r="J5" s="31"/>
      <c r="K5" s="31"/>
      <c r="L5" s="32"/>
      <c r="M5" s="31" t="s">
        <v>0</v>
      </c>
    </row>
    <row r="6" spans="1:13" s="39" customFormat="1" ht="14.25" x14ac:dyDescent="0.3">
      <c r="A6" s="26"/>
      <c r="B6" s="34" t="s">
        <v>1</v>
      </c>
      <c r="C6" s="34" t="s">
        <v>2</v>
      </c>
      <c r="D6" s="34" t="s">
        <v>98</v>
      </c>
      <c r="E6" s="34" t="s">
        <v>99</v>
      </c>
      <c r="F6" s="34" t="s">
        <v>100</v>
      </c>
      <c r="G6" s="35" t="s">
        <v>101</v>
      </c>
      <c r="H6" s="35" t="s">
        <v>102</v>
      </c>
      <c r="I6" s="35" t="s">
        <v>103</v>
      </c>
      <c r="J6" s="35" t="s">
        <v>104</v>
      </c>
      <c r="K6" s="36" t="s">
        <v>105</v>
      </c>
      <c r="L6" s="37" t="s">
        <v>106</v>
      </c>
      <c r="M6" s="38" t="s">
        <v>107</v>
      </c>
    </row>
    <row r="7" spans="1:13" s="52" customFormat="1" ht="79.5" customHeight="1" x14ac:dyDescent="0.3">
      <c r="A7" s="40"/>
      <c r="B7" s="41" t="s">
        <v>108</v>
      </c>
      <c r="C7" s="42" t="s">
        <v>109</v>
      </c>
      <c r="D7" s="43" t="s">
        <v>110</v>
      </c>
      <c r="E7" s="43" t="s">
        <v>111</v>
      </c>
      <c r="F7" s="44" t="s">
        <v>3</v>
      </c>
      <c r="G7" s="45" t="s">
        <v>112</v>
      </c>
      <c r="H7" s="46" t="s">
        <v>113</v>
      </c>
      <c r="I7" s="47" t="s">
        <v>114</v>
      </c>
      <c r="J7" s="48" t="s">
        <v>115</v>
      </c>
      <c r="K7" s="49" t="s">
        <v>116</v>
      </c>
      <c r="L7" s="50" t="s">
        <v>117</v>
      </c>
      <c r="M7" s="51" t="s">
        <v>118</v>
      </c>
    </row>
    <row r="8" spans="1:13" s="61" customFormat="1" ht="36" customHeight="1" x14ac:dyDescent="0.35">
      <c r="A8" s="40">
        <v>1</v>
      </c>
      <c r="B8" s="53"/>
      <c r="C8" s="54"/>
      <c r="D8" s="55">
        <v>1</v>
      </c>
      <c r="E8" s="55"/>
      <c r="F8" s="56" t="s">
        <v>119</v>
      </c>
      <c r="G8" s="57">
        <f t="shared" ref="G8:M8" si="0">SUM(G9,G22,G34,G40,G43,G21,G39)</f>
        <v>24945646</v>
      </c>
      <c r="H8" s="57">
        <f t="shared" si="0"/>
        <v>22639410</v>
      </c>
      <c r="I8" s="57">
        <f t="shared" si="0"/>
        <v>33712776</v>
      </c>
      <c r="J8" s="58">
        <f t="shared" si="0"/>
        <v>26826816</v>
      </c>
      <c r="K8" s="57">
        <f t="shared" si="0"/>
        <v>26788819</v>
      </c>
      <c r="L8" s="59">
        <f t="shared" si="0"/>
        <v>948545</v>
      </c>
      <c r="M8" s="60">
        <f t="shared" si="0"/>
        <v>27737364</v>
      </c>
    </row>
    <row r="9" spans="1:13" s="61" customFormat="1" ht="36" customHeight="1" x14ac:dyDescent="0.35">
      <c r="A9" s="40">
        <v>2</v>
      </c>
      <c r="B9" s="62">
        <v>18</v>
      </c>
      <c r="C9" s="63"/>
      <c r="D9" s="64"/>
      <c r="E9" s="64">
        <v>1</v>
      </c>
      <c r="F9" s="63" t="s">
        <v>120</v>
      </c>
      <c r="G9" s="65">
        <f t="shared" ref="G9:M9" si="1">SUM(G10,G19:G19)</f>
        <v>6793994</v>
      </c>
      <c r="H9" s="65">
        <f t="shared" si="1"/>
        <v>6909755</v>
      </c>
      <c r="I9" s="65">
        <f t="shared" si="1"/>
        <v>7999614</v>
      </c>
      <c r="J9" s="66">
        <f t="shared" si="1"/>
        <v>8407420</v>
      </c>
      <c r="K9" s="65">
        <f t="shared" si="1"/>
        <v>8764213</v>
      </c>
      <c r="L9" s="67">
        <f t="shared" si="1"/>
        <v>48239</v>
      </c>
      <c r="M9" s="68">
        <f t="shared" si="1"/>
        <v>8812452</v>
      </c>
    </row>
    <row r="10" spans="1:13" s="18" customFormat="1" x14ac:dyDescent="0.35">
      <c r="A10" s="40">
        <v>3</v>
      </c>
      <c r="B10" s="69"/>
      <c r="C10" s="7"/>
      <c r="D10" s="14"/>
      <c r="E10" s="14"/>
      <c r="F10" s="70" t="s">
        <v>121</v>
      </c>
      <c r="G10" s="24">
        <f t="shared" ref="G10:M10" si="2">SUM(G11:G18)</f>
        <v>5600725</v>
      </c>
      <c r="H10" s="24">
        <f t="shared" si="2"/>
        <v>6055286</v>
      </c>
      <c r="I10" s="24">
        <f t="shared" si="2"/>
        <v>6825509</v>
      </c>
      <c r="J10" s="71">
        <f t="shared" si="2"/>
        <v>6886393</v>
      </c>
      <c r="K10" s="72">
        <f t="shared" si="2"/>
        <v>7200693</v>
      </c>
      <c r="L10" s="73">
        <f t="shared" si="2"/>
        <v>44302</v>
      </c>
      <c r="M10" s="74">
        <f t="shared" si="2"/>
        <v>7244995</v>
      </c>
    </row>
    <row r="11" spans="1:13" ht="16.5" customHeight="1" x14ac:dyDescent="0.35">
      <c r="A11" s="40">
        <v>4</v>
      </c>
      <c r="B11" s="75"/>
      <c r="C11" s="15"/>
      <c r="D11" s="15"/>
      <c r="E11" s="15"/>
      <c r="F11" s="76" t="s">
        <v>122</v>
      </c>
      <c r="G11" s="11">
        <v>1223867</v>
      </c>
      <c r="H11" s="11">
        <v>1216983</v>
      </c>
      <c r="I11" s="11">
        <v>1263768</v>
      </c>
      <c r="J11" s="77">
        <v>1358062</v>
      </c>
      <c r="K11" s="13">
        <v>1358062</v>
      </c>
      <c r="M11" s="78">
        <f t="shared" ref="M11:M16" si="3">SUM(K11:L11)</f>
        <v>1358062</v>
      </c>
    </row>
    <row r="12" spans="1:13" ht="32.25" customHeight="1" x14ac:dyDescent="0.3">
      <c r="A12" s="40">
        <v>5</v>
      </c>
      <c r="B12" s="75"/>
      <c r="C12" s="15"/>
      <c r="D12" s="15"/>
      <c r="E12" s="15"/>
      <c r="F12" s="76" t="s">
        <v>123</v>
      </c>
      <c r="G12" s="79">
        <v>1409859</v>
      </c>
      <c r="H12" s="79">
        <v>1366131</v>
      </c>
      <c r="I12" s="79">
        <v>1575246</v>
      </c>
      <c r="J12" s="80">
        <v>2022488</v>
      </c>
      <c r="K12" s="81">
        <v>2022367</v>
      </c>
      <c r="L12" s="82"/>
      <c r="M12" s="83">
        <f t="shared" si="3"/>
        <v>2022367</v>
      </c>
    </row>
    <row r="13" spans="1:13" ht="33.75" customHeight="1" x14ac:dyDescent="0.3">
      <c r="A13" s="40">
        <v>6</v>
      </c>
      <c r="B13" s="75"/>
      <c r="C13" s="15"/>
      <c r="D13" s="15"/>
      <c r="E13" s="15"/>
      <c r="F13" s="76" t="s">
        <v>124</v>
      </c>
      <c r="G13" s="79">
        <v>1624155</v>
      </c>
      <c r="H13" s="79">
        <v>1409957</v>
      </c>
      <c r="I13" s="79">
        <v>1831922</v>
      </c>
      <c r="J13" s="80">
        <v>1836205</v>
      </c>
      <c r="K13" s="81">
        <v>2097293</v>
      </c>
      <c r="L13" s="82">
        <v>42442</v>
      </c>
      <c r="M13" s="83">
        <f t="shared" si="3"/>
        <v>2139735</v>
      </c>
    </row>
    <row r="14" spans="1:13" ht="32.25" customHeight="1" x14ac:dyDescent="0.35">
      <c r="A14" s="40">
        <v>7</v>
      </c>
      <c r="B14" s="75"/>
      <c r="C14" s="15"/>
      <c r="D14" s="15"/>
      <c r="E14" s="15"/>
      <c r="F14" s="76" t="s">
        <v>125</v>
      </c>
      <c r="G14" s="11">
        <v>756978</v>
      </c>
      <c r="H14" s="11">
        <v>707499</v>
      </c>
      <c r="I14" s="11">
        <v>731430</v>
      </c>
      <c r="J14" s="77">
        <v>872006</v>
      </c>
      <c r="K14" s="13">
        <v>875057</v>
      </c>
      <c r="M14" s="78">
        <f t="shared" si="3"/>
        <v>875057</v>
      </c>
    </row>
    <row r="15" spans="1:13" ht="16.5" customHeight="1" x14ac:dyDescent="0.35">
      <c r="A15" s="40">
        <v>8</v>
      </c>
      <c r="B15" s="75"/>
      <c r="C15" s="15"/>
      <c r="D15" s="15"/>
      <c r="E15" s="15"/>
      <c r="F15" s="76" t="s">
        <v>126</v>
      </c>
      <c r="G15" s="11">
        <v>492051</v>
      </c>
      <c r="H15" s="11">
        <f>1348087-569075</f>
        <v>779012</v>
      </c>
      <c r="I15" s="11">
        <v>782440</v>
      </c>
      <c r="J15" s="77">
        <v>793912</v>
      </c>
      <c r="K15" s="13">
        <v>814784</v>
      </c>
      <c r="M15" s="78">
        <f t="shared" si="3"/>
        <v>814784</v>
      </c>
    </row>
    <row r="16" spans="1:13" ht="36" customHeight="1" x14ac:dyDescent="0.35">
      <c r="A16" s="40">
        <v>9</v>
      </c>
      <c r="B16" s="75"/>
      <c r="C16" s="15"/>
      <c r="D16" s="15"/>
      <c r="E16" s="15"/>
      <c r="F16" s="76" t="s">
        <v>127</v>
      </c>
      <c r="G16" s="79">
        <v>53240</v>
      </c>
      <c r="H16" s="11">
        <v>6629</v>
      </c>
      <c r="I16" s="11">
        <v>71628</v>
      </c>
      <c r="J16" s="77">
        <v>3720</v>
      </c>
      <c r="K16" s="13">
        <v>33130</v>
      </c>
      <c r="L16" s="19">
        <v>1860</v>
      </c>
      <c r="M16" s="78">
        <f t="shared" si="3"/>
        <v>34990</v>
      </c>
    </row>
    <row r="17" spans="1:13" ht="31.5" customHeight="1" x14ac:dyDescent="0.35">
      <c r="A17" s="40">
        <v>10</v>
      </c>
      <c r="B17" s="75"/>
      <c r="C17" s="15"/>
      <c r="D17" s="15"/>
      <c r="E17" s="15"/>
      <c r="F17" s="76" t="s">
        <v>128</v>
      </c>
      <c r="G17" s="79"/>
      <c r="H17" s="11">
        <v>569075</v>
      </c>
      <c r="I17" s="11">
        <v>569075</v>
      </c>
      <c r="J17" s="80"/>
      <c r="K17" s="81"/>
      <c r="M17" s="84"/>
    </row>
    <row r="18" spans="1:13" x14ac:dyDescent="0.35">
      <c r="A18" s="40">
        <v>11</v>
      </c>
      <c r="B18" s="69"/>
      <c r="C18" s="15"/>
      <c r="D18" s="15"/>
      <c r="E18" s="15"/>
      <c r="F18" s="76" t="s">
        <v>129</v>
      </c>
      <c r="G18" s="11">
        <v>40575</v>
      </c>
      <c r="J18" s="77"/>
      <c r="M18" s="84"/>
    </row>
    <row r="19" spans="1:13" s="18" customFormat="1" x14ac:dyDescent="0.35">
      <c r="A19" s="40">
        <v>12</v>
      </c>
      <c r="B19" s="69"/>
      <c r="C19" s="85"/>
      <c r="D19" s="15"/>
      <c r="E19" s="15"/>
      <c r="F19" s="86" t="s">
        <v>130</v>
      </c>
      <c r="G19" s="24">
        <v>1193269</v>
      </c>
      <c r="H19" s="24">
        <v>854469</v>
      </c>
      <c r="I19" s="24">
        <v>1174105</v>
      </c>
      <c r="J19" s="71">
        <v>1521027</v>
      </c>
      <c r="K19" s="24">
        <v>1563520</v>
      </c>
      <c r="L19" s="20">
        <v>3937</v>
      </c>
      <c r="M19" s="87">
        <f>SUM(K19:L19)</f>
        <v>1567457</v>
      </c>
    </row>
    <row r="20" spans="1:13" ht="16.5" customHeight="1" x14ac:dyDescent="0.35">
      <c r="A20" s="40">
        <v>13</v>
      </c>
      <c r="B20" s="69"/>
      <c r="C20" s="15"/>
      <c r="D20" s="15"/>
      <c r="E20" s="15"/>
      <c r="F20" s="76" t="s">
        <v>131</v>
      </c>
      <c r="G20" s="11">
        <v>294456</v>
      </c>
      <c r="H20" s="11">
        <v>260000</v>
      </c>
      <c r="I20" s="11">
        <v>295289</v>
      </c>
      <c r="J20" s="77">
        <v>325200</v>
      </c>
      <c r="K20" s="13">
        <v>353708</v>
      </c>
      <c r="L20" s="19">
        <v>1849</v>
      </c>
      <c r="M20" s="78">
        <f>SUM(K20:L20)</f>
        <v>355557</v>
      </c>
    </row>
    <row r="21" spans="1:13" ht="36" customHeight="1" x14ac:dyDescent="0.35">
      <c r="A21" s="40">
        <v>14</v>
      </c>
      <c r="B21" s="88" t="s">
        <v>132</v>
      </c>
      <c r="C21" s="15"/>
      <c r="D21" s="15"/>
      <c r="E21" s="89">
        <v>1</v>
      </c>
      <c r="F21" s="63" t="s">
        <v>133</v>
      </c>
      <c r="G21" s="24">
        <v>333704</v>
      </c>
      <c r="H21" s="24">
        <v>80024</v>
      </c>
      <c r="I21" s="24">
        <v>287279</v>
      </c>
      <c r="J21" s="71">
        <v>32938</v>
      </c>
      <c r="K21" s="72">
        <v>127065</v>
      </c>
      <c r="L21" s="20">
        <v>30284</v>
      </c>
      <c r="M21" s="87">
        <f>SUM(K21:L21)</f>
        <v>157349</v>
      </c>
    </row>
    <row r="22" spans="1:13" s="18" customFormat="1" ht="36" customHeight="1" x14ac:dyDescent="0.35">
      <c r="A22" s="40">
        <v>15</v>
      </c>
      <c r="B22" s="69">
        <v>18</v>
      </c>
      <c r="C22" s="7"/>
      <c r="D22" s="14"/>
      <c r="E22" s="14">
        <v>2</v>
      </c>
      <c r="F22" s="18" t="s">
        <v>6</v>
      </c>
      <c r="G22" s="24">
        <f t="shared" ref="G22:M22" si="4">SUM(G23,G30:G33)</f>
        <v>10626844</v>
      </c>
      <c r="H22" s="24">
        <f t="shared" si="4"/>
        <v>10042100</v>
      </c>
      <c r="I22" s="24">
        <f t="shared" si="4"/>
        <v>15107943</v>
      </c>
      <c r="J22" s="71">
        <f t="shared" si="4"/>
        <v>13625150</v>
      </c>
      <c r="K22" s="72">
        <f t="shared" si="4"/>
        <v>13630119</v>
      </c>
      <c r="L22" s="73">
        <f t="shared" si="4"/>
        <v>500000</v>
      </c>
      <c r="M22" s="74">
        <f t="shared" si="4"/>
        <v>14130119</v>
      </c>
    </row>
    <row r="23" spans="1:13" s="18" customFormat="1" x14ac:dyDescent="0.35">
      <c r="A23" s="40">
        <v>16</v>
      </c>
      <c r="B23" s="69"/>
      <c r="C23" s="7"/>
      <c r="D23" s="14"/>
      <c r="E23" s="14"/>
      <c r="F23" s="90" t="s">
        <v>134</v>
      </c>
      <c r="G23" s="20">
        <f t="shared" ref="G23:M23" si="5">SUM(G24:G29)</f>
        <v>10613389</v>
      </c>
      <c r="H23" s="20">
        <f t="shared" si="5"/>
        <v>10037000</v>
      </c>
      <c r="I23" s="20">
        <f t="shared" si="5"/>
        <v>15080210</v>
      </c>
      <c r="J23" s="91">
        <f t="shared" si="5"/>
        <v>13625000</v>
      </c>
      <c r="K23" s="73">
        <f t="shared" si="5"/>
        <v>13625000</v>
      </c>
      <c r="L23" s="73">
        <f t="shared" si="5"/>
        <v>500000</v>
      </c>
      <c r="M23" s="92">
        <f t="shared" si="5"/>
        <v>14125000</v>
      </c>
    </row>
    <row r="24" spans="1:13" ht="16.5" customHeight="1" x14ac:dyDescent="0.35">
      <c r="A24" s="40">
        <v>17</v>
      </c>
      <c r="B24" s="69"/>
      <c r="F24" s="76" t="s">
        <v>135</v>
      </c>
      <c r="G24" s="11">
        <v>1356360</v>
      </c>
      <c r="H24" s="11">
        <v>1310000</v>
      </c>
      <c r="I24" s="11">
        <v>1373659</v>
      </c>
      <c r="J24" s="77">
        <v>1310000</v>
      </c>
      <c r="K24" s="13">
        <v>1310000</v>
      </c>
      <c r="M24" s="78">
        <f t="shared" ref="M24:M32" si="6">SUM(K24:L24)</f>
        <v>1310000</v>
      </c>
    </row>
    <row r="25" spans="1:13" x14ac:dyDescent="0.35">
      <c r="A25" s="40">
        <v>18</v>
      </c>
      <c r="B25" s="69"/>
      <c r="F25" s="76" t="s">
        <v>136</v>
      </c>
      <c r="G25" s="11">
        <v>45221</v>
      </c>
      <c r="H25" s="11">
        <v>36000</v>
      </c>
      <c r="I25" s="11">
        <v>57941</v>
      </c>
      <c r="J25" s="77">
        <v>45000</v>
      </c>
      <c r="K25" s="13">
        <v>45000</v>
      </c>
      <c r="M25" s="78">
        <f t="shared" si="6"/>
        <v>45000</v>
      </c>
    </row>
    <row r="26" spans="1:13" x14ac:dyDescent="0.35">
      <c r="A26" s="40">
        <v>19</v>
      </c>
      <c r="B26" s="69"/>
      <c r="F26" s="76" t="s">
        <v>137</v>
      </c>
      <c r="G26" s="11">
        <v>150187</v>
      </c>
      <c r="H26" s="11">
        <v>145000</v>
      </c>
      <c r="I26" s="11">
        <v>153455</v>
      </c>
      <c r="J26" s="77">
        <v>145000</v>
      </c>
      <c r="K26" s="13">
        <v>145000</v>
      </c>
      <c r="M26" s="78">
        <f t="shared" si="6"/>
        <v>145000</v>
      </c>
    </row>
    <row r="27" spans="1:13" x14ac:dyDescent="0.35">
      <c r="A27" s="40">
        <v>20</v>
      </c>
      <c r="B27" s="69"/>
      <c r="F27" s="76" t="s">
        <v>138</v>
      </c>
      <c r="G27" s="11">
        <v>117120</v>
      </c>
      <c r="H27" s="11">
        <v>95000</v>
      </c>
      <c r="I27" s="11">
        <v>127207</v>
      </c>
      <c r="J27" s="77">
        <v>110000</v>
      </c>
      <c r="K27" s="13">
        <v>110000</v>
      </c>
      <c r="M27" s="78">
        <f t="shared" si="6"/>
        <v>110000</v>
      </c>
    </row>
    <row r="28" spans="1:13" x14ac:dyDescent="0.35">
      <c r="A28" s="40">
        <v>21</v>
      </c>
      <c r="B28" s="69"/>
      <c r="F28" s="76" t="s">
        <v>7</v>
      </c>
      <c r="G28" s="11">
        <v>8924834</v>
      </c>
      <c r="H28" s="11">
        <v>8440000</v>
      </c>
      <c r="I28" s="11">
        <v>13330454</v>
      </c>
      <c r="J28" s="77">
        <v>12000000</v>
      </c>
      <c r="K28" s="13">
        <v>12000000</v>
      </c>
      <c r="L28" s="19">
        <v>500000</v>
      </c>
      <c r="M28" s="78">
        <f t="shared" si="6"/>
        <v>12500000</v>
      </c>
    </row>
    <row r="29" spans="1:13" x14ac:dyDescent="0.35">
      <c r="A29" s="40">
        <v>22</v>
      </c>
      <c r="B29" s="69"/>
      <c r="F29" s="76" t="s">
        <v>139</v>
      </c>
      <c r="G29" s="11">
        <v>19667</v>
      </c>
      <c r="H29" s="11">
        <v>11000</v>
      </c>
      <c r="I29" s="11">
        <v>37494</v>
      </c>
      <c r="J29" s="77">
        <v>15000</v>
      </c>
      <c r="K29" s="13">
        <v>15000</v>
      </c>
      <c r="M29" s="78">
        <f t="shared" si="6"/>
        <v>15000</v>
      </c>
    </row>
    <row r="30" spans="1:13" s="18" customFormat="1" ht="33.75" x14ac:dyDescent="0.35">
      <c r="A30" s="40">
        <v>23</v>
      </c>
      <c r="B30" s="69"/>
      <c r="C30" s="7"/>
      <c r="D30" s="14"/>
      <c r="E30" s="14"/>
      <c r="F30" s="90" t="s">
        <v>140</v>
      </c>
      <c r="G30" s="20">
        <v>13260</v>
      </c>
      <c r="H30" s="20">
        <v>5100</v>
      </c>
      <c r="I30" s="20">
        <v>13599</v>
      </c>
      <c r="J30" s="91">
        <v>150</v>
      </c>
      <c r="K30" s="73">
        <v>150</v>
      </c>
      <c r="L30" s="20"/>
      <c r="M30" s="93">
        <f t="shared" si="6"/>
        <v>150</v>
      </c>
    </row>
    <row r="31" spans="1:13" s="18" customFormat="1" x14ac:dyDescent="0.35">
      <c r="A31" s="40">
        <v>24</v>
      </c>
      <c r="B31" s="69"/>
      <c r="C31" s="7"/>
      <c r="D31" s="14"/>
      <c r="E31" s="14"/>
      <c r="F31" s="90" t="s">
        <v>141</v>
      </c>
      <c r="G31" s="20"/>
      <c r="H31" s="20"/>
      <c r="I31" s="20">
        <v>6524</v>
      </c>
      <c r="J31" s="91"/>
      <c r="K31" s="73">
        <v>4619</v>
      </c>
      <c r="L31" s="19"/>
      <c r="M31" s="93">
        <f t="shared" si="6"/>
        <v>4619</v>
      </c>
    </row>
    <row r="32" spans="1:13" s="18" customFormat="1" x14ac:dyDescent="0.35">
      <c r="A32" s="40">
        <v>25</v>
      </c>
      <c r="B32" s="69"/>
      <c r="C32" s="7"/>
      <c r="D32" s="14"/>
      <c r="E32" s="14"/>
      <c r="F32" s="90" t="s">
        <v>142</v>
      </c>
      <c r="G32" s="20"/>
      <c r="H32" s="20"/>
      <c r="I32" s="20">
        <v>7600</v>
      </c>
      <c r="J32" s="91"/>
      <c r="K32" s="73">
        <v>350</v>
      </c>
      <c r="L32" s="19"/>
      <c r="M32" s="93">
        <f t="shared" si="6"/>
        <v>350</v>
      </c>
    </row>
    <row r="33" spans="1:13" s="18" customFormat="1" x14ac:dyDescent="0.35">
      <c r="A33" s="40">
        <v>26</v>
      </c>
      <c r="B33" s="69"/>
      <c r="C33" s="7"/>
      <c r="D33" s="14"/>
      <c r="E33" s="14"/>
      <c r="F33" s="90" t="s">
        <v>143</v>
      </c>
      <c r="G33" s="20">
        <v>195</v>
      </c>
      <c r="H33" s="20"/>
      <c r="I33" s="20">
        <v>10</v>
      </c>
      <c r="J33" s="91"/>
      <c r="K33" s="73"/>
      <c r="L33" s="20"/>
      <c r="M33" s="94"/>
    </row>
    <row r="34" spans="1:13" s="18" customFormat="1" ht="36" customHeight="1" x14ac:dyDescent="0.35">
      <c r="A34" s="40">
        <v>27</v>
      </c>
      <c r="B34" s="69">
        <v>18</v>
      </c>
      <c r="C34" s="7"/>
      <c r="D34" s="14"/>
      <c r="E34" s="14">
        <v>3</v>
      </c>
      <c r="F34" s="18" t="s">
        <v>144</v>
      </c>
      <c r="G34" s="24">
        <f t="shared" ref="G34:M34" si="7">SUM(G35:G38)</f>
        <v>4164227</v>
      </c>
      <c r="H34" s="24">
        <f t="shared" si="7"/>
        <v>4184512</v>
      </c>
      <c r="I34" s="24">
        <f t="shared" si="7"/>
        <v>7382152</v>
      </c>
      <c r="J34" s="71">
        <f t="shared" si="7"/>
        <v>3494801</v>
      </c>
      <c r="K34" s="72">
        <f t="shared" si="7"/>
        <v>2321301</v>
      </c>
      <c r="L34" s="73">
        <f t="shared" si="7"/>
        <v>286590</v>
      </c>
      <c r="M34" s="74">
        <f t="shared" si="7"/>
        <v>2607891</v>
      </c>
    </row>
    <row r="35" spans="1:13" ht="16.5" customHeight="1" x14ac:dyDescent="0.35">
      <c r="A35" s="40">
        <v>28</v>
      </c>
      <c r="B35" s="69"/>
      <c r="F35" s="76" t="s">
        <v>145</v>
      </c>
      <c r="G35" s="11">
        <v>408337</v>
      </c>
      <c r="H35" s="11">
        <v>360273</v>
      </c>
      <c r="I35" s="11">
        <v>651630</v>
      </c>
      <c r="J35" s="77">
        <v>412241</v>
      </c>
      <c r="K35" s="13">
        <v>492623</v>
      </c>
      <c r="L35" s="19">
        <v>47776</v>
      </c>
      <c r="M35" s="78">
        <f t="shared" ref="M35:M40" si="8">SUM(K35:L35)</f>
        <v>540399</v>
      </c>
    </row>
    <row r="36" spans="1:13" ht="16.5" customHeight="1" x14ac:dyDescent="0.35">
      <c r="A36" s="40">
        <v>29</v>
      </c>
      <c r="B36" s="69"/>
      <c r="F36" s="76" t="s">
        <v>146</v>
      </c>
      <c r="G36" s="11">
        <v>238577</v>
      </c>
      <c r="H36" s="11">
        <v>526923</v>
      </c>
      <c r="I36" s="11">
        <v>1646737</v>
      </c>
      <c r="J36" s="77">
        <v>1723717</v>
      </c>
      <c r="K36" s="13">
        <v>306359</v>
      </c>
      <c r="M36" s="78">
        <f t="shared" si="8"/>
        <v>306359</v>
      </c>
    </row>
    <row r="37" spans="1:13" ht="16.5" customHeight="1" x14ac:dyDescent="0.35">
      <c r="A37" s="40">
        <v>30</v>
      </c>
      <c r="B37" s="69"/>
      <c r="F37" s="76" t="s">
        <v>147</v>
      </c>
      <c r="G37" s="11">
        <v>2386724</v>
      </c>
      <c r="H37" s="11">
        <v>2793379</v>
      </c>
      <c r="I37" s="11">
        <v>3212029</v>
      </c>
      <c r="J37" s="77">
        <v>716355</v>
      </c>
      <c r="K37" s="13">
        <v>751855</v>
      </c>
      <c r="L37" s="95">
        <v>40107</v>
      </c>
      <c r="M37" s="78">
        <f t="shared" si="8"/>
        <v>791962</v>
      </c>
    </row>
    <row r="38" spans="1:13" ht="16.5" customHeight="1" x14ac:dyDescent="0.35">
      <c r="A38" s="40">
        <v>31</v>
      </c>
      <c r="B38" s="69"/>
      <c r="F38" s="76" t="s">
        <v>148</v>
      </c>
      <c r="G38" s="11">
        <v>1130589</v>
      </c>
      <c r="H38" s="11">
        <v>503937</v>
      </c>
      <c r="I38" s="11">
        <v>1871756</v>
      </c>
      <c r="J38" s="77">
        <v>642488</v>
      </c>
      <c r="K38" s="13">
        <v>770464</v>
      </c>
      <c r="L38" s="19">
        <f>400000-201293</f>
        <v>198707</v>
      </c>
      <c r="M38" s="78">
        <f t="shared" si="8"/>
        <v>969171</v>
      </c>
    </row>
    <row r="39" spans="1:13" s="18" customFormat="1" ht="36" customHeight="1" x14ac:dyDescent="0.35">
      <c r="A39" s="40">
        <v>32</v>
      </c>
      <c r="B39" s="96" t="s">
        <v>132</v>
      </c>
      <c r="C39" s="7"/>
      <c r="D39" s="14"/>
      <c r="E39" s="14">
        <v>3</v>
      </c>
      <c r="F39" s="18" t="s">
        <v>149</v>
      </c>
      <c r="G39" s="24">
        <v>1113418</v>
      </c>
      <c r="H39" s="24">
        <v>916787</v>
      </c>
      <c r="I39" s="24">
        <v>1596147</v>
      </c>
      <c r="J39" s="71">
        <v>1095969</v>
      </c>
      <c r="K39" s="72">
        <v>1339402</v>
      </c>
      <c r="L39" s="20">
        <f>48529+1139</f>
        <v>49668</v>
      </c>
      <c r="M39" s="87">
        <f t="shared" si="8"/>
        <v>1389070</v>
      </c>
    </row>
    <row r="40" spans="1:13" s="18" customFormat="1" ht="36" customHeight="1" x14ac:dyDescent="0.35">
      <c r="A40" s="40">
        <v>33</v>
      </c>
      <c r="B40" s="69">
        <v>18</v>
      </c>
      <c r="C40" s="7"/>
      <c r="D40" s="14"/>
      <c r="E40" s="14">
        <v>4</v>
      </c>
      <c r="F40" s="18" t="s">
        <v>150</v>
      </c>
      <c r="G40" s="24">
        <v>1525737</v>
      </c>
      <c r="H40" s="24">
        <v>220740</v>
      </c>
      <c r="I40" s="24">
        <v>934001</v>
      </c>
      <c r="J40" s="71">
        <v>127555</v>
      </c>
      <c r="K40" s="72">
        <v>508085</v>
      </c>
      <c r="L40" s="20">
        <v>27550</v>
      </c>
      <c r="M40" s="87">
        <f t="shared" si="8"/>
        <v>535635</v>
      </c>
    </row>
    <row r="41" spans="1:13" s="18" customFormat="1" ht="16.5" customHeight="1" x14ac:dyDescent="0.35">
      <c r="A41" s="40">
        <v>34</v>
      </c>
      <c r="B41" s="69"/>
      <c r="C41" s="7"/>
      <c r="D41" s="14"/>
      <c r="E41" s="14"/>
      <c r="F41" s="76" t="s">
        <v>151</v>
      </c>
      <c r="G41" s="11">
        <v>4235</v>
      </c>
      <c r="H41" s="11"/>
      <c r="I41" s="11"/>
      <c r="J41" s="77"/>
      <c r="K41" s="13"/>
      <c r="L41" s="20"/>
      <c r="M41" s="94"/>
    </row>
    <row r="42" spans="1:13" s="18" customFormat="1" ht="16.5" customHeight="1" x14ac:dyDescent="0.35">
      <c r="A42" s="40">
        <v>35</v>
      </c>
      <c r="B42" s="69"/>
      <c r="C42" s="7"/>
      <c r="D42" s="14"/>
      <c r="E42" s="14"/>
      <c r="F42" s="76" t="s">
        <v>152</v>
      </c>
      <c r="G42" s="11"/>
      <c r="H42" s="11">
        <v>3000</v>
      </c>
      <c r="I42" s="11">
        <v>0</v>
      </c>
      <c r="J42" s="77"/>
      <c r="K42" s="13"/>
      <c r="L42" s="20"/>
      <c r="M42" s="94"/>
    </row>
    <row r="43" spans="1:13" s="18" customFormat="1" ht="36" customHeight="1" x14ac:dyDescent="0.35">
      <c r="A43" s="40">
        <v>36</v>
      </c>
      <c r="B43" s="97" t="s">
        <v>132</v>
      </c>
      <c r="C43" s="98"/>
      <c r="D43" s="98"/>
      <c r="E43" s="99">
        <v>4</v>
      </c>
      <c r="F43" s="100" t="s">
        <v>9</v>
      </c>
      <c r="G43" s="101">
        <v>387722</v>
      </c>
      <c r="H43" s="101">
        <v>285492</v>
      </c>
      <c r="I43" s="101">
        <v>405640</v>
      </c>
      <c r="J43" s="102">
        <f>66977-23994</f>
        <v>42983</v>
      </c>
      <c r="K43" s="72">
        <v>98634</v>
      </c>
      <c r="L43" s="20">
        <v>6214</v>
      </c>
      <c r="M43" s="87">
        <f>SUM(K43:L43)</f>
        <v>104848</v>
      </c>
    </row>
    <row r="44" spans="1:13" s="61" customFormat="1" ht="36" customHeight="1" x14ac:dyDescent="0.35">
      <c r="A44" s="40">
        <v>37</v>
      </c>
      <c r="B44" s="103"/>
      <c r="C44" s="104"/>
      <c r="D44" s="105">
        <v>2</v>
      </c>
      <c r="E44" s="105"/>
      <c r="F44" s="106" t="s">
        <v>153</v>
      </c>
      <c r="G44" s="107">
        <f t="shared" ref="G44:M44" si="9">SUM(G45,G48:G49,G51:G53)</f>
        <v>19881360</v>
      </c>
      <c r="H44" s="107">
        <f t="shared" si="9"/>
        <v>6311912</v>
      </c>
      <c r="I44" s="108">
        <f t="shared" si="9"/>
        <v>11786876</v>
      </c>
      <c r="J44" s="107">
        <f t="shared" si="9"/>
        <v>4031558</v>
      </c>
      <c r="K44" s="109">
        <f t="shared" si="9"/>
        <v>4232322</v>
      </c>
      <c r="L44" s="110">
        <f t="shared" si="9"/>
        <v>198204</v>
      </c>
      <c r="M44" s="111">
        <f t="shared" si="9"/>
        <v>4430526</v>
      </c>
    </row>
    <row r="45" spans="1:13" s="18" customFormat="1" ht="36" customHeight="1" x14ac:dyDescent="0.35">
      <c r="A45" s="40">
        <v>38</v>
      </c>
      <c r="B45" s="69"/>
      <c r="C45" s="7"/>
      <c r="D45" s="14"/>
      <c r="E45" s="14">
        <v>5</v>
      </c>
      <c r="F45" s="18" t="s">
        <v>154</v>
      </c>
      <c r="G45" s="24">
        <f t="shared" ref="G45:M45" si="10">SUM(G46,G47)</f>
        <v>3252624</v>
      </c>
      <c r="H45" s="24">
        <f t="shared" si="10"/>
        <v>1313210</v>
      </c>
      <c r="I45" s="24">
        <f t="shared" si="10"/>
        <v>2689454</v>
      </c>
      <c r="J45" s="71">
        <f t="shared" si="10"/>
        <v>2594724</v>
      </c>
      <c r="K45" s="72">
        <f t="shared" si="10"/>
        <v>2594724</v>
      </c>
      <c r="L45" s="73">
        <f t="shared" si="10"/>
        <v>198205</v>
      </c>
      <c r="M45" s="74">
        <f t="shared" si="10"/>
        <v>2792929</v>
      </c>
    </row>
    <row r="46" spans="1:13" x14ac:dyDescent="0.35">
      <c r="A46" s="40">
        <v>39</v>
      </c>
      <c r="B46" s="69">
        <v>18</v>
      </c>
      <c r="F46" s="112" t="s">
        <v>155</v>
      </c>
      <c r="J46" s="77"/>
      <c r="M46" s="84"/>
    </row>
    <row r="47" spans="1:13" x14ac:dyDescent="0.35">
      <c r="A47" s="40">
        <v>40</v>
      </c>
      <c r="B47" s="69">
        <v>18</v>
      </c>
      <c r="C47" s="15"/>
      <c r="D47" s="15"/>
      <c r="E47" s="15"/>
      <c r="F47" s="112" t="s">
        <v>156</v>
      </c>
      <c r="G47" s="11">
        <v>3252624</v>
      </c>
      <c r="H47" s="11">
        <v>1313210</v>
      </c>
      <c r="I47" s="11">
        <v>2689454</v>
      </c>
      <c r="J47" s="77">
        <v>2594724</v>
      </c>
      <c r="K47" s="13">
        <v>2594724</v>
      </c>
      <c r="L47" s="19">
        <v>198205</v>
      </c>
      <c r="M47" s="78">
        <f>SUM(K47:L47)</f>
        <v>2792929</v>
      </c>
    </row>
    <row r="48" spans="1:13" s="18" customFormat="1" ht="36" customHeight="1" x14ac:dyDescent="0.35">
      <c r="A48" s="40">
        <v>41</v>
      </c>
      <c r="B48" s="97" t="s">
        <v>132</v>
      </c>
      <c r="C48" s="85"/>
      <c r="D48" s="85"/>
      <c r="E48" s="15">
        <v>5</v>
      </c>
      <c r="F48" s="86" t="s">
        <v>157</v>
      </c>
      <c r="G48" s="24">
        <v>67600</v>
      </c>
      <c r="H48" s="24">
        <v>2741</v>
      </c>
      <c r="I48" s="24">
        <v>69526</v>
      </c>
      <c r="J48" s="71"/>
      <c r="K48" s="72">
        <v>1184</v>
      </c>
      <c r="L48" s="20"/>
      <c r="M48" s="87">
        <f>SUM(K48:L48)</f>
        <v>1184</v>
      </c>
    </row>
    <row r="49" spans="1:13" s="18" customFormat="1" ht="36" customHeight="1" x14ac:dyDescent="0.35">
      <c r="A49" s="40">
        <v>42</v>
      </c>
      <c r="B49" s="69">
        <v>18</v>
      </c>
      <c r="C49" s="7"/>
      <c r="D49" s="14"/>
      <c r="E49" s="14">
        <v>6</v>
      </c>
      <c r="F49" s="18" t="s">
        <v>158</v>
      </c>
      <c r="G49" s="24">
        <f t="shared" ref="G49:M49" si="11">SUM(G50:G50)</f>
        <v>335724</v>
      </c>
      <c r="H49" s="24">
        <f t="shared" si="11"/>
        <v>750000</v>
      </c>
      <c r="I49" s="24">
        <f t="shared" si="11"/>
        <v>579073</v>
      </c>
      <c r="J49" s="71">
        <f t="shared" si="11"/>
        <v>388700</v>
      </c>
      <c r="K49" s="72">
        <f t="shared" si="11"/>
        <v>411300</v>
      </c>
      <c r="L49" s="73">
        <f t="shared" si="11"/>
        <v>0</v>
      </c>
      <c r="M49" s="74">
        <f t="shared" si="11"/>
        <v>411300</v>
      </c>
    </row>
    <row r="50" spans="1:13" x14ac:dyDescent="0.35">
      <c r="A50" s="40">
        <v>43</v>
      </c>
      <c r="B50" s="69"/>
      <c r="F50" s="76" t="s">
        <v>159</v>
      </c>
      <c r="G50" s="11">
        <v>335724</v>
      </c>
      <c r="H50" s="11">
        <v>750000</v>
      </c>
      <c r="I50" s="11">
        <v>579073</v>
      </c>
      <c r="J50" s="77">
        <v>388700</v>
      </c>
      <c r="K50" s="13">
        <v>411300</v>
      </c>
      <c r="M50" s="78">
        <f>SUM(K50:L50)</f>
        <v>411300</v>
      </c>
    </row>
    <row r="51" spans="1:13" ht="36" customHeight="1" x14ac:dyDescent="0.35">
      <c r="A51" s="40">
        <v>44</v>
      </c>
      <c r="B51" s="69"/>
      <c r="E51" s="14">
        <v>6</v>
      </c>
      <c r="F51" s="86" t="s">
        <v>160</v>
      </c>
      <c r="G51" s="24">
        <v>4000</v>
      </c>
      <c r="H51" s="24"/>
      <c r="I51" s="24">
        <v>886</v>
      </c>
      <c r="J51" s="71"/>
      <c r="K51" s="72">
        <v>30</v>
      </c>
      <c r="L51" s="20">
        <v>197</v>
      </c>
      <c r="M51" s="87">
        <f>SUM(K51:L51)</f>
        <v>227</v>
      </c>
    </row>
    <row r="52" spans="1:13" s="18" customFormat="1" ht="36" customHeight="1" x14ac:dyDescent="0.35">
      <c r="A52" s="40">
        <v>45</v>
      </c>
      <c r="B52" s="69">
        <v>18</v>
      </c>
      <c r="C52" s="7"/>
      <c r="D52" s="14"/>
      <c r="E52" s="14">
        <v>7</v>
      </c>
      <c r="F52" s="18" t="s">
        <v>161</v>
      </c>
      <c r="G52" s="24">
        <v>16072292</v>
      </c>
      <c r="H52" s="24">
        <v>4234039</v>
      </c>
      <c r="I52" s="24">
        <v>8351717</v>
      </c>
      <c r="J52" s="71">
        <v>1024140</v>
      </c>
      <c r="K52" s="72">
        <v>1197990</v>
      </c>
      <c r="L52" s="20"/>
      <c r="M52" s="87">
        <f>SUM(K52:L52)</f>
        <v>1197990</v>
      </c>
    </row>
    <row r="53" spans="1:13" s="18" customFormat="1" ht="36" customHeight="1" x14ac:dyDescent="0.35">
      <c r="A53" s="40">
        <v>46</v>
      </c>
      <c r="B53" s="97" t="s">
        <v>132</v>
      </c>
      <c r="C53" s="85"/>
      <c r="D53" s="85"/>
      <c r="E53" s="15">
        <v>7</v>
      </c>
      <c r="F53" s="113" t="s">
        <v>162</v>
      </c>
      <c r="G53" s="24">
        <v>149120</v>
      </c>
      <c r="H53" s="24">
        <v>11922</v>
      </c>
      <c r="I53" s="24">
        <v>96220</v>
      </c>
      <c r="J53" s="71">
        <v>23994</v>
      </c>
      <c r="K53" s="72">
        <v>27094</v>
      </c>
      <c r="L53" s="20">
        <v>-198</v>
      </c>
      <c r="M53" s="87">
        <f>SUM(K53:L53)</f>
        <v>26896</v>
      </c>
    </row>
    <row r="54" spans="1:13" s="17" customFormat="1" ht="36" customHeight="1" x14ac:dyDescent="0.3">
      <c r="A54" s="40">
        <v>47</v>
      </c>
      <c r="B54" s="114">
        <v>18</v>
      </c>
      <c r="C54" s="115"/>
      <c r="D54" s="116"/>
      <c r="E54" s="116"/>
      <c r="F54" s="117" t="s">
        <v>163</v>
      </c>
      <c r="G54" s="118">
        <f t="shared" ref="G54:M54" si="12">SUM(G55:G55)</f>
        <v>0</v>
      </c>
      <c r="H54" s="118">
        <f t="shared" si="12"/>
        <v>0</v>
      </c>
      <c r="I54" s="118">
        <f t="shared" si="12"/>
        <v>28</v>
      </c>
      <c r="J54" s="119">
        <f t="shared" si="12"/>
        <v>0</v>
      </c>
      <c r="K54" s="120">
        <f t="shared" si="12"/>
        <v>0</v>
      </c>
      <c r="L54" s="120">
        <f t="shared" si="12"/>
        <v>0</v>
      </c>
      <c r="M54" s="121">
        <f t="shared" si="12"/>
        <v>0</v>
      </c>
    </row>
    <row r="55" spans="1:13" ht="33.75" x14ac:dyDescent="0.35">
      <c r="A55" s="40">
        <v>48</v>
      </c>
      <c r="B55" s="69"/>
      <c r="C55" s="122"/>
      <c r="D55" s="122"/>
      <c r="E55" s="122"/>
      <c r="F55" s="123" t="s">
        <v>164</v>
      </c>
      <c r="G55" s="21"/>
      <c r="H55" s="21"/>
      <c r="I55" s="21">
        <v>28</v>
      </c>
      <c r="J55" s="124"/>
      <c r="M55" s="84"/>
    </row>
    <row r="56" spans="1:13" s="17" customFormat="1" ht="39.75" customHeight="1" x14ac:dyDescent="0.3">
      <c r="A56" s="40">
        <v>49</v>
      </c>
      <c r="B56" s="125"/>
      <c r="C56" s="126"/>
      <c r="D56" s="127"/>
      <c r="E56" s="127"/>
      <c r="F56" s="128" t="s">
        <v>165</v>
      </c>
      <c r="G56" s="129">
        <f t="shared" ref="G56:M56" si="13">SUM(G8,G44,G54)</f>
        <v>44827006</v>
      </c>
      <c r="H56" s="129">
        <f t="shared" si="13"/>
        <v>28951322</v>
      </c>
      <c r="I56" s="129">
        <f t="shared" si="13"/>
        <v>45499680</v>
      </c>
      <c r="J56" s="130">
        <f t="shared" si="13"/>
        <v>30858374</v>
      </c>
      <c r="K56" s="131">
        <f t="shared" si="13"/>
        <v>31021141</v>
      </c>
      <c r="L56" s="132">
        <f t="shared" si="13"/>
        <v>1146749</v>
      </c>
      <c r="M56" s="133">
        <f t="shared" si="13"/>
        <v>32167890</v>
      </c>
    </row>
    <row r="57" spans="1:13" s="17" customFormat="1" ht="39.75" customHeight="1" x14ac:dyDescent="0.3">
      <c r="A57" s="40">
        <v>50</v>
      </c>
      <c r="B57" s="134"/>
      <c r="C57" s="135"/>
      <c r="D57" s="136"/>
      <c r="E57" s="136"/>
      <c r="F57" s="137" t="s">
        <v>166</v>
      </c>
      <c r="G57" s="138">
        <f>+G56-'2.Onki'!G39</f>
        <v>2318382</v>
      </c>
      <c r="H57" s="138">
        <f>+H56-'2.Onki'!H39</f>
        <v>-20218282</v>
      </c>
      <c r="I57" s="138">
        <f>+I56-'2.Onki'!I39</f>
        <v>-6554468</v>
      </c>
      <c r="J57" s="139">
        <f>+J56-'2.Onki'!J39</f>
        <v>-12231660</v>
      </c>
      <c r="K57" s="140">
        <f>+K56-'2.Onki'!K39</f>
        <v>-16148157</v>
      </c>
      <c r="L57" s="140">
        <f>+L56-'2.Onki'!L39</f>
        <v>1500000</v>
      </c>
      <c r="M57" s="141">
        <f>+M56-'2.Onki'!M39</f>
        <v>-14648157</v>
      </c>
    </row>
    <row r="58" spans="1:13" s="17" customFormat="1" ht="36" customHeight="1" x14ac:dyDescent="0.3">
      <c r="A58" s="40">
        <v>51</v>
      </c>
      <c r="B58" s="114"/>
      <c r="C58" s="4"/>
      <c r="D58" s="6"/>
      <c r="E58" s="6"/>
      <c r="F58" s="17" t="s">
        <v>167</v>
      </c>
      <c r="G58" s="142">
        <f>SUM(G61,G70)+G59</f>
        <v>21096688</v>
      </c>
      <c r="H58" s="142">
        <f>SUM(H61,H70)+H59</f>
        <v>20651277</v>
      </c>
      <c r="I58" s="142">
        <f>SUM(I61,I70)+I59</f>
        <v>23797191</v>
      </c>
      <c r="J58" s="143">
        <f>SUM(J61,J70)+J59</f>
        <v>12689397</v>
      </c>
      <c r="K58" s="144">
        <f>SUM(K61,K70)+K59+K60</f>
        <v>16743785</v>
      </c>
      <c r="L58" s="145">
        <f>SUM(L61,L70)+L59+L60</f>
        <v>0</v>
      </c>
      <c r="M58" s="146">
        <f>SUM(M61,M70)+M59+M60</f>
        <v>16743785</v>
      </c>
    </row>
    <row r="59" spans="1:13" s="17" customFormat="1" ht="27.75" customHeight="1" x14ac:dyDescent="0.3">
      <c r="A59" s="40">
        <v>52</v>
      </c>
      <c r="B59" s="114"/>
      <c r="C59" s="4"/>
      <c r="D59" s="6">
        <v>1</v>
      </c>
      <c r="E59" s="6">
        <v>9</v>
      </c>
      <c r="F59" s="17" t="s">
        <v>168</v>
      </c>
      <c r="G59" s="142">
        <v>307291</v>
      </c>
      <c r="H59" s="142"/>
      <c r="I59" s="142">
        <v>378732</v>
      </c>
      <c r="J59" s="143"/>
      <c r="K59" s="144">
        <v>137891</v>
      </c>
      <c r="L59" s="23"/>
      <c r="M59" s="147">
        <f>SUM(K59:L59)</f>
        <v>137891</v>
      </c>
    </row>
    <row r="60" spans="1:13" s="17" customFormat="1" ht="27.75" customHeight="1" x14ac:dyDescent="0.3">
      <c r="A60" s="40">
        <v>53</v>
      </c>
      <c r="B60" s="114"/>
      <c r="C60" s="4"/>
      <c r="D60" s="6"/>
      <c r="E60" s="6">
        <v>12</v>
      </c>
      <c r="F60" s="17" t="s">
        <v>169</v>
      </c>
      <c r="G60" s="142"/>
      <c r="H60" s="142"/>
      <c r="I60" s="142"/>
      <c r="J60" s="143"/>
      <c r="K60" s="144"/>
      <c r="L60" s="23"/>
      <c r="M60" s="147">
        <f>SUM(K60:L60)</f>
        <v>0</v>
      </c>
    </row>
    <row r="61" spans="1:13" s="17" customFormat="1" ht="33" customHeight="1" x14ac:dyDescent="0.3">
      <c r="A61" s="40">
        <v>54</v>
      </c>
      <c r="B61" s="148"/>
      <c r="C61" s="115"/>
      <c r="D61" s="116"/>
      <c r="E61" s="116"/>
      <c r="F61" s="149" t="s">
        <v>170</v>
      </c>
      <c r="G61" s="118">
        <f t="shared" ref="G61:M61" si="14">SUM(G62,G66)</f>
        <v>20752528</v>
      </c>
      <c r="H61" s="118">
        <f t="shared" si="14"/>
        <v>20126255</v>
      </c>
      <c r="I61" s="118">
        <f t="shared" si="14"/>
        <v>22898752</v>
      </c>
      <c r="J61" s="119">
        <f t="shared" si="14"/>
        <v>12689397</v>
      </c>
      <c r="K61" s="150">
        <f t="shared" si="14"/>
        <v>16605894</v>
      </c>
      <c r="L61" s="120">
        <f t="shared" si="14"/>
        <v>0</v>
      </c>
      <c r="M61" s="121">
        <f t="shared" si="14"/>
        <v>16605894</v>
      </c>
    </row>
    <row r="62" spans="1:13" s="18" customFormat="1" ht="24" customHeight="1" x14ac:dyDescent="0.35">
      <c r="A62" s="40">
        <v>55</v>
      </c>
      <c r="B62" s="69"/>
      <c r="C62" s="7"/>
      <c r="D62" s="14">
        <v>1</v>
      </c>
      <c r="E62" s="14">
        <v>8</v>
      </c>
      <c r="F62" s="18" t="s">
        <v>171</v>
      </c>
      <c r="G62" s="24">
        <f t="shared" ref="G62:M62" si="15">SUM(G63:G65)</f>
        <v>5745192</v>
      </c>
      <c r="H62" s="24">
        <f t="shared" si="15"/>
        <v>5112488</v>
      </c>
      <c r="I62" s="24">
        <f t="shared" si="15"/>
        <v>7764718</v>
      </c>
      <c r="J62" s="71">
        <f t="shared" si="15"/>
        <v>6572145</v>
      </c>
      <c r="K62" s="72">
        <f t="shared" si="15"/>
        <v>10243449</v>
      </c>
      <c r="L62" s="73">
        <f t="shared" si="15"/>
        <v>0</v>
      </c>
      <c r="M62" s="74">
        <f t="shared" si="15"/>
        <v>10243449</v>
      </c>
    </row>
    <row r="63" spans="1:13" x14ac:dyDescent="0.35">
      <c r="A63" s="40">
        <v>56</v>
      </c>
      <c r="B63" s="88" t="s">
        <v>172</v>
      </c>
      <c r="F63" s="76" t="s">
        <v>173</v>
      </c>
      <c r="G63" s="11">
        <v>899446</v>
      </c>
      <c r="H63" s="11">
        <v>514533</v>
      </c>
      <c r="I63" s="11">
        <v>944483</v>
      </c>
      <c r="J63" s="77">
        <f>430762-116782</f>
        <v>313980</v>
      </c>
      <c r="K63" s="13">
        <v>1044828</v>
      </c>
      <c r="M63" s="78">
        <f>SUM(K63:L63)</f>
        <v>1044828</v>
      </c>
    </row>
    <row r="64" spans="1:13" x14ac:dyDescent="0.35">
      <c r="A64" s="40">
        <v>57</v>
      </c>
      <c r="B64" s="69">
        <v>17</v>
      </c>
      <c r="F64" s="76" t="s">
        <v>174</v>
      </c>
      <c r="G64" s="11">
        <v>696995</v>
      </c>
      <c r="H64" s="11">
        <v>204269</v>
      </c>
      <c r="I64" s="11">
        <v>657003</v>
      </c>
      <c r="J64" s="77">
        <v>10712</v>
      </c>
      <c r="K64" s="13">
        <v>625428</v>
      </c>
      <c r="M64" s="78">
        <f>SUM(K64:L64)</f>
        <v>625428</v>
      </c>
    </row>
    <row r="65" spans="1:13" x14ac:dyDescent="0.35">
      <c r="A65" s="40">
        <v>58</v>
      </c>
      <c r="B65" s="69">
        <v>18</v>
      </c>
      <c r="F65" s="76" t="s">
        <v>175</v>
      </c>
      <c r="G65" s="11">
        <v>4148751</v>
      </c>
      <c r="H65" s="11">
        <v>4393686</v>
      </c>
      <c r="I65" s="11">
        <v>6163232</v>
      </c>
      <c r="J65" s="77">
        <v>6247453</v>
      </c>
      <c r="K65" s="13">
        <v>8573193</v>
      </c>
      <c r="M65" s="78">
        <f>SUM(K65:L65)</f>
        <v>8573193</v>
      </c>
    </row>
    <row r="66" spans="1:13" s="18" customFormat="1" ht="24" customHeight="1" x14ac:dyDescent="0.35">
      <c r="A66" s="40">
        <v>59</v>
      </c>
      <c r="B66" s="69"/>
      <c r="C66" s="7"/>
      <c r="D66" s="14">
        <v>2</v>
      </c>
      <c r="E66" s="14">
        <v>11</v>
      </c>
      <c r="F66" s="18" t="s">
        <v>176</v>
      </c>
      <c r="G66" s="24">
        <f t="shared" ref="G66:M66" si="16">SUM(G67:G69)</f>
        <v>15007336</v>
      </c>
      <c r="H66" s="24">
        <f t="shared" si="16"/>
        <v>15013767</v>
      </c>
      <c r="I66" s="24">
        <f t="shared" si="16"/>
        <v>15134034</v>
      </c>
      <c r="J66" s="71">
        <f t="shared" si="16"/>
        <v>6117252</v>
      </c>
      <c r="K66" s="72">
        <f t="shared" si="16"/>
        <v>6362445</v>
      </c>
      <c r="L66" s="73">
        <f t="shared" si="16"/>
        <v>0</v>
      </c>
      <c r="M66" s="74">
        <f t="shared" si="16"/>
        <v>6362445</v>
      </c>
    </row>
    <row r="67" spans="1:13" s="18" customFormat="1" x14ac:dyDescent="0.35">
      <c r="A67" s="40">
        <v>60</v>
      </c>
      <c r="B67" s="96" t="s">
        <v>172</v>
      </c>
      <c r="C67" s="14"/>
      <c r="D67" s="14"/>
      <c r="E67" s="14"/>
      <c r="F67" s="151" t="s">
        <v>173</v>
      </c>
      <c r="G67" s="11">
        <v>178511</v>
      </c>
      <c r="H67" s="11">
        <v>218963</v>
      </c>
      <c r="I67" s="11">
        <v>302812</v>
      </c>
      <c r="J67" s="77">
        <v>116782</v>
      </c>
      <c r="K67" s="13">
        <v>215702</v>
      </c>
      <c r="L67" s="19"/>
      <c r="M67" s="78">
        <f>SUM(K67:L67)</f>
        <v>215702</v>
      </c>
    </row>
    <row r="68" spans="1:13" s="18" customFormat="1" x14ac:dyDescent="0.35">
      <c r="A68" s="40">
        <v>61</v>
      </c>
      <c r="B68" s="96" t="s">
        <v>177</v>
      </c>
      <c r="C68" s="14"/>
      <c r="D68" s="14"/>
      <c r="E68" s="14"/>
      <c r="F68" s="76" t="s">
        <v>174</v>
      </c>
      <c r="G68" s="11">
        <v>35711</v>
      </c>
      <c r="H68" s="11">
        <v>54678</v>
      </c>
      <c r="I68" s="11">
        <v>65678</v>
      </c>
      <c r="J68" s="77"/>
      <c r="K68" s="13">
        <v>75275</v>
      </c>
      <c r="L68" s="19"/>
      <c r="M68" s="78">
        <f>SUM(K68:L68)</f>
        <v>75275</v>
      </c>
    </row>
    <row r="69" spans="1:13" s="18" customFormat="1" x14ac:dyDescent="0.35">
      <c r="A69" s="40">
        <v>62</v>
      </c>
      <c r="B69" s="69">
        <v>18</v>
      </c>
      <c r="C69" s="14"/>
      <c r="D69" s="14"/>
      <c r="E69" s="14"/>
      <c r="F69" s="151" t="s">
        <v>175</v>
      </c>
      <c r="G69" s="11">
        <v>14793114</v>
      </c>
      <c r="H69" s="11">
        <v>14740126</v>
      </c>
      <c r="I69" s="11">
        <v>14765544</v>
      </c>
      <c r="J69" s="77">
        <v>6000470</v>
      </c>
      <c r="K69" s="13">
        <v>6071468</v>
      </c>
      <c r="L69" s="19"/>
      <c r="M69" s="78">
        <f>SUM(K69:L69)</f>
        <v>6071468</v>
      </c>
    </row>
    <row r="70" spans="1:13" s="17" customFormat="1" ht="30" customHeight="1" x14ac:dyDescent="0.3">
      <c r="A70" s="40">
        <v>63</v>
      </c>
      <c r="B70" s="148"/>
      <c r="C70" s="115"/>
      <c r="D70" s="116"/>
      <c r="E70" s="116"/>
      <c r="F70" s="149" t="s">
        <v>178</v>
      </c>
      <c r="G70" s="118">
        <f t="shared" ref="G70:M70" si="17">SUM(G71:G73)</f>
        <v>36869</v>
      </c>
      <c r="H70" s="118">
        <f t="shared" si="17"/>
        <v>525022</v>
      </c>
      <c r="I70" s="118">
        <f t="shared" si="17"/>
        <v>519707</v>
      </c>
      <c r="J70" s="119">
        <f t="shared" si="17"/>
        <v>0</v>
      </c>
      <c r="K70" s="120">
        <f t="shared" si="17"/>
        <v>0</v>
      </c>
      <c r="L70" s="120">
        <f t="shared" si="17"/>
        <v>0</v>
      </c>
      <c r="M70" s="121">
        <f t="shared" si="17"/>
        <v>0</v>
      </c>
    </row>
    <row r="71" spans="1:13" s="18" customFormat="1" ht="24" customHeight="1" x14ac:dyDescent="0.35">
      <c r="A71" s="40">
        <v>64</v>
      </c>
      <c r="B71" s="69">
        <v>18</v>
      </c>
      <c r="C71" s="7"/>
      <c r="D71" s="14">
        <v>2</v>
      </c>
      <c r="E71" s="14">
        <v>10</v>
      </c>
      <c r="F71" s="18" t="s">
        <v>179</v>
      </c>
      <c r="G71" s="24"/>
      <c r="H71" s="24"/>
      <c r="I71" s="24"/>
      <c r="J71" s="71"/>
      <c r="K71" s="72"/>
      <c r="L71" s="20"/>
      <c r="M71" s="94"/>
    </row>
    <row r="72" spans="1:13" x14ac:dyDescent="0.35">
      <c r="A72" s="40">
        <v>65</v>
      </c>
      <c r="B72" s="69"/>
      <c r="F72" s="76" t="s">
        <v>179</v>
      </c>
      <c r="J72" s="77"/>
      <c r="M72" s="84"/>
    </row>
    <row r="73" spans="1:13" x14ac:dyDescent="0.35">
      <c r="A73" s="40">
        <v>66</v>
      </c>
      <c r="B73" s="69"/>
      <c r="F73" s="152" t="s">
        <v>180</v>
      </c>
      <c r="G73" s="21">
        <v>36869</v>
      </c>
      <c r="H73" s="21">
        <v>525022</v>
      </c>
      <c r="I73" s="21">
        <v>519707</v>
      </c>
      <c r="J73" s="77"/>
      <c r="M73" s="84"/>
    </row>
    <row r="74" spans="1:13" s="17" customFormat="1" ht="36" customHeight="1" x14ac:dyDescent="0.3">
      <c r="A74" s="40">
        <v>67</v>
      </c>
      <c r="B74" s="153"/>
      <c r="C74" s="154"/>
      <c r="D74" s="155"/>
      <c r="E74" s="155"/>
      <c r="F74" s="156" t="s">
        <v>181</v>
      </c>
      <c r="G74" s="157">
        <f t="shared" ref="G74:M74" si="18">SUM(G56,G58)</f>
        <v>65923694</v>
      </c>
      <c r="H74" s="157">
        <f t="shared" si="18"/>
        <v>49602599</v>
      </c>
      <c r="I74" s="157">
        <f t="shared" si="18"/>
        <v>69296871</v>
      </c>
      <c r="J74" s="158">
        <f t="shared" si="18"/>
        <v>43547771</v>
      </c>
      <c r="K74" s="159">
        <f t="shared" si="18"/>
        <v>47764926</v>
      </c>
      <c r="L74" s="160">
        <f t="shared" si="18"/>
        <v>1146749</v>
      </c>
      <c r="M74" s="161">
        <f t="shared" si="18"/>
        <v>48911675</v>
      </c>
    </row>
  </sheetData>
  <mergeCells count="3">
    <mergeCell ref="B2:F2"/>
    <mergeCell ref="B3:M3"/>
    <mergeCell ref="B4:M4"/>
  </mergeCells>
  <printOptions horizontalCentered="1"/>
  <pageMargins left="0.196527777777778" right="0.196527777777778" top="0.59027777777777801" bottom="0.59027777777777801" header="0.511811023622047" footer="0.51180555555555596"/>
  <pageSetup paperSize="9" scale="53" fitToHeight="2" orientation="portrait" horizontalDpi="300" verticalDpi="300" r:id="rId1"/>
  <headerFooter>
    <oddFooter>&amp;C- &amp;P -</oddFooter>
  </headerFooter>
  <rowBreaks count="1" manualBreakCount="1">
    <brk id="51"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1"/>
  <sheetViews>
    <sheetView view="pageBreakPreview" topLeftCell="A4" zoomScaleNormal="100" workbookViewId="0">
      <selection activeCell="J5" sqref="J5"/>
    </sheetView>
  </sheetViews>
  <sheetFormatPr defaultColWidth="9.140625" defaultRowHeight="17.25" x14ac:dyDescent="0.35"/>
  <cols>
    <col min="1" max="1" width="3.7109375" style="1155" customWidth="1"/>
    <col min="2" max="3" width="5.7109375" style="1439" customWidth="1"/>
    <col min="4" max="4" width="62.7109375" style="1166" customWidth="1"/>
    <col min="5" max="5" width="12.7109375" style="1164" customWidth="1"/>
    <col min="6" max="7" width="10.7109375" style="1164" customWidth="1"/>
    <col min="8" max="8" width="6.7109375" style="1440" customWidth="1"/>
    <col min="9" max="14" width="14.85546875" style="1164" customWidth="1"/>
    <col min="15" max="15" width="15.7109375" style="1441" customWidth="1"/>
    <col min="16" max="16" width="13.85546875" style="1164" customWidth="1"/>
    <col min="17" max="16384" width="9.140625" style="1166"/>
  </cols>
  <sheetData>
    <row r="1" spans="1:256" x14ac:dyDescent="0.35">
      <c r="B1" s="1926" t="s">
        <v>1110</v>
      </c>
      <c r="C1" s="1926"/>
      <c r="D1" s="1926"/>
      <c r="E1" s="1926"/>
      <c r="F1" s="1926"/>
      <c r="G1" s="1926"/>
      <c r="H1" s="1926"/>
      <c r="I1" s="1926"/>
      <c r="J1" s="1926"/>
    </row>
    <row r="2" spans="1:256" ht="18" customHeight="1" x14ac:dyDescent="0.3">
      <c r="B2" s="1442" t="s">
        <v>984</v>
      </c>
      <c r="C2" s="1442"/>
      <c r="D2" s="1442"/>
      <c r="E2" s="1562"/>
      <c r="F2" s="1562"/>
      <c r="G2" s="1562"/>
      <c r="H2" s="1563"/>
      <c r="I2" s="2000"/>
      <c r="J2" s="2000"/>
      <c r="K2" s="2000"/>
      <c r="L2" s="2000"/>
      <c r="M2" s="2000"/>
      <c r="N2" s="2000"/>
      <c r="O2" s="2000"/>
      <c r="P2" s="2000"/>
      <c r="Q2" s="1564"/>
      <c r="R2" s="1564"/>
      <c r="S2" s="1564"/>
      <c r="T2" s="1564"/>
      <c r="U2" s="1564"/>
      <c r="V2" s="1564"/>
      <c r="W2" s="1564"/>
      <c r="X2" s="1564"/>
      <c r="Y2" s="1564"/>
      <c r="Z2" s="1564"/>
      <c r="AA2" s="1564"/>
      <c r="AB2" s="1564"/>
      <c r="AC2" s="1564"/>
      <c r="AD2" s="1564"/>
      <c r="AE2" s="1564"/>
      <c r="AF2" s="1564"/>
      <c r="AG2" s="1564"/>
      <c r="AH2" s="1564"/>
      <c r="AI2" s="1564"/>
      <c r="AJ2" s="1564"/>
      <c r="AK2" s="1564"/>
      <c r="AL2" s="1564"/>
      <c r="AM2" s="1564"/>
      <c r="AN2" s="1564"/>
      <c r="AO2" s="1564"/>
      <c r="AP2" s="1564"/>
      <c r="AQ2" s="1564"/>
      <c r="AR2" s="1564"/>
      <c r="AS2" s="1564"/>
      <c r="AT2" s="1564"/>
      <c r="AU2" s="1564"/>
      <c r="AV2" s="1564"/>
      <c r="AW2" s="1564"/>
      <c r="AX2" s="1564"/>
      <c r="AY2" s="1564"/>
      <c r="AZ2" s="1564"/>
      <c r="BA2" s="1564"/>
      <c r="BB2" s="1564"/>
      <c r="BC2" s="1564"/>
      <c r="BD2" s="1564"/>
      <c r="BE2" s="1564"/>
      <c r="BF2" s="1564"/>
      <c r="BG2" s="1564"/>
      <c r="BH2" s="1564"/>
      <c r="BI2" s="1564"/>
      <c r="BJ2" s="1564"/>
      <c r="BK2" s="1564"/>
      <c r="BL2" s="1564"/>
      <c r="BM2" s="1564"/>
      <c r="BN2" s="1564"/>
      <c r="BO2" s="1564"/>
      <c r="BP2" s="1564"/>
      <c r="BQ2" s="1564"/>
      <c r="BR2" s="1564"/>
      <c r="BS2" s="1564"/>
      <c r="BT2" s="1564"/>
      <c r="BU2" s="1564"/>
      <c r="BV2" s="1564"/>
      <c r="BW2" s="1564"/>
      <c r="BX2" s="1564"/>
      <c r="BY2" s="1564"/>
      <c r="BZ2" s="1564"/>
      <c r="CA2" s="1564"/>
      <c r="CB2" s="1564"/>
      <c r="CC2" s="1564"/>
      <c r="CD2" s="1564"/>
      <c r="CE2" s="1564"/>
      <c r="CF2" s="1564"/>
      <c r="CG2" s="1564"/>
      <c r="CH2" s="1564"/>
      <c r="CI2" s="1564"/>
      <c r="CJ2" s="1564"/>
      <c r="CK2" s="1564"/>
      <c r="CL2" s="1564"/>
      <c r="CM2" s="1564"/>
      <c r="CN2" s="1564"/>
      <c r="CO2" s="1564"/>
      <c r="CP2" s="1564"/>
      <c r="CQ2" s="1564"/>
      <c r="CR2" s="1564"/>
      <c r="CS2" s="1564"/>
      <c r="CT2" s="1564"/>
      <c r="CU2" s="1564"/>
      <c r="CV2" s="1564"/>
      <c r="CW2" s="1564"/>
      <c r="CX2" s="1564"/>
      <c r="CY2" s="1564"/>
      <c r="CZ2" s="1564"/>
      <c r="DA2" s="1564"/>
      <c r="DB2" s="1564"/>
      <c r="DC2" s="1564"/>
      <c r="DD2" s="1564"/>
      <c r="DE2" s="1564"/>
      <c r="DF2" s="1564"/>
      <c r="DG2" s="1564"/>
      <c r="DH2" s="1564"/>
      <c r="DI2" s="1564"/>
      <c r="DJ2" s="1564"/>
      <c r="DK2" s="1564"/>
      <c r="DL2" s="1564"/>
      <c r="DM2" s="1564"/>
      <c r="DN2" s="1564"/>
      <c r="DO2" s="1564"/>
      <c r="DP2" s="1564"/>
      <c r="DQ2" s="1564"/>
      <c r="DR2" s="1564"/>
      <c r="DS2" s="1564"/>
      <c r="DT2" s="1564"/>
      <c r="DU2" s="1564"/>
      <c r="DV2" s="1564"/>
      <c r="DW2" s="1564"/>
      <c r="DX2" s="1564"/>
      <c r="DY2" s="1564"/>
      <c r="DZ2" s="1564"/>
      <c r="EA2" s="1564"/>
      <c r="EB2" s="1564"/>
      <c r="EC2" s="1564"/>
      <c r="ED2" s="1564"/>
      <c r="EE2" s="1564"/>
      <c r="EF2" s="1564"/>
      <c r="EG2" s="1564"/>
      <c r="EH2" s="1564"/>
      <c r="EI2" s="1564"/>
      <c r="EJ2" s="1564"/>
      <c r="EK2" s="1564"/>
      <c r="EL2" s="1564"/>
      <c r="EM2" s="1564"/>
      <c r="EN2" s="1564"/>
      <c r="EO2" s="1564"/>
      <c r="EP2" s="1564"/>
      <c r="EQ2" s="1564"/>
      <c r="ER2" s="1564"/>
      <c r="ES2" s="1564"/>
      <c r="ET2" s="1564"/>
      <c r="EU2" s="1564"/>
      <c r="EV2" s="1564"/>
      <c r="EW2" s="1564"/>
      <c r="EX2" s="1564"/>
      <c r="EY2" s="1564"/>
      <c r="EZ2" s="1564"/>
      <c r="FA2" s="1564"/>
      <c r="FB2" s="1564"/>
      <c r="FC2" s="1564"/>
      <c r="FD2" s="1564"/>
      <c r="FE2" s="1564"/>
      <c r="FF2" s="1564"/>
      <c r="FG2" s="1564"/>
      <c r="FH2" s="1564"/>
      <c r="FI2" s="1564"/>
      <c r="FJ2" s="1564"/>
      <c r="FK2" s="1564"/>
      <c r="FL2" s="1564"/>
      <c r="FM2" s="1564"/>
      <c r="FN2" s="1564"/>
      <c r="FO2" s="1564"/>
      <c r="FP2" s="1564"/>
      <c r="FQ2" s="1564"/>
      <c r="FR2" s="1564"/>
      <c r="FS2" s="1564"/>
      <c r="FT2" s="1564"/>
      <c r="FU2" s="1564"/>
      <c r="FV2" s="1564"/>
      <c r="FW2" s="1564"/>
      <c r="FX2" s="1564"/>
      <c r="FY2" s="1564"/>
      <c r="FZ2" s="1564"/>
      <c r="GA2" s="1564"/>
      <c r="GB2" s="1564"/>
      <c r="GC2" s="1564"/>
      <c r="GD2" s="1564"/>
      <c r="GE2" s="1564"/>
      <c r="GF2" s="1564"/>
      <c r="GG2" s="1564"/>
      <c r="GH2" s="1564"/>
      <c r="GI2" s="1564"/>
      <c r="GJ2" s="1564"/>
      <c r="GK2" s="1564"/>
      <c r="GL2" s="1564"/>
      <c r="GM2" s="1564"/>
      <c r="GN2" s="1564"/>
      <c r="GO2" s="1564"/>
      <c r="GP2" s="1564"/>
      <c r="GQ2" s="1564"/>
      <c r="GR2" s="1564"/>
      <c r="GS2" s="1564"/>
      <c r="GT2" s="1564"/>
      <c r="GU2" s="1564"/>
      <c r="GV2" s="1564"/>
      <c r="GW2" s="1564"/>
      <c r="GX2" s="1564"/>
      <c r="GY2" s="1564"/>
      <c r="GZ2" s="1564"/>
      <c r="HA2" s="1564"/>
      <c r="HB2" s="1564"/>
      <c r="HC2" s="1564"/>
      <c r="HD2" s="1564"/>
      <c r="HE2" s="1564"/>
      <c r="HF2" s="1564"/>
      <c r="HG2" s="1564"/>
      <c r="HH2" s="1564"/>
      <c r="HI2" s="1564"/>
      <c r="HJ2" s="1564"/>
      <c r="HK2" s="1564"/>
      <c r="HL2" s="1564"/>
      <c r="HM2" s="1564"/>
      <c r="HN2" s="1564"/>
      <c r="HO2" s="1564"/>
      <c r="HP2" s="1564"/>
      <c r="HQ2" s="1564"/>
      <c r="HR2" s="1564"/>
      <c r="HS2" s="1564"/>
      <c r="HT2" s="1564"/>
      <c r="HU2" s="1564"/>
      <c r="HV2" s="1564"/>
      <c r="HW2" s="1564"/>
      <c r="HX2" s="1564"/>
      <c r="HY2" s="1564"/>
      <c r="HZ2" s="1564"/>
      <c r="IA2" s="1564"/>
      <c r="IB2" s="1564"/>
      <c r="IC2" s="1564"/>
      <c r="ID2" s="1564"/>
      <c r="IE2" s="1564"/>
      <c r="IF2" s="1564"/>
      <c r="IG2" s="1564"/>
      <c r="IH2" s="1564"/>
      <c r="II2" s="1564"/>
      <c r="IJ2" s="1564"/>
      <c r="IK2" s="1564"/>
      <c r="IL2" s="1564"/>
      <c r="IM2" s="1564"/>
      <c r="IN2" s="1564"/>
      <c r="IO2" s="1564"/>
      <c r="IP2" s="1564"/>
    </row>
    <row r="3" spans="1:256" ht="24.75" customHeight="1" x14ac:dyDescent="0.35">
      <c r="A3" s="2001" t="s">
        <v>518</v>
      </c>
      <c r="B3" s="2001"/>
      <c r="C3" s="2001"/>
      <c r="D3" s="2001"/>
      <c r="E3" s="2001"/>
      <c r="F3" s="2001"/>
      <c r="G3" s="2001"/>
      <c r="H3" s="2001"/>
      <c r="I3" s="2001"/>
      <c r="J3" s="2001"/>
      <c r="K3" s="2001"/>
      <c r="L3" s="2001"/>
      <c r="M3" s="2001"/>
      <c r="N3" s="2001"/>
      <c r="O3" s="2001"/>
      <c r="P3" s="2001"/>
    </row>
    <row r="4" spans="1:256" ht="24.75" customHeight="1" x14ac:dyDescent="0.35">
      <c r="A4" s="2016" t="s">
        <v>985</v>
      </c>
      <c r="B4" s="2016"/>
      <c r="C4" s="2016"/>
      <c r="D4" s="2016"/>
      <c r="E4" s="2016"/>
      <c r="F4" s="2016"/>
      <c r="G4" s="2016"/>
      <c r="H4" s="2016"/>
      <c r="I4" s="2016"/>
      <c r="J4" s="2016"/>
      <c r="K4" s="2016"/>
      <c r="L4" s="2016"/>
      <c r="M4" s="2016"/>
      <c r="N4" s="2016"/>
      <c r="O4" s="2016"/>
      <c r="P4" s="2016"/>
    </row>
    <row r="5" spans="1:256" s="1160" customFormat="1" ht="18" customHeight="1" x14ac:dyDescent="0.3">
      <c r="A5" s="1155"/>
      <c r="B5" s="1155"/>
      <c r="C5" s="1155"/>
      <c r="E5" s="1157"/>
      <c r="F5" s="1157"/>
      <c r="G5" s="1157"/>
      <c r="H5" s="1445"/>
      <c r="I5" s="1157"/>
      <c r="J5" s="1157"/>
      <c r="K5" s="1157"/>
      <c r="L5" s="1157"/>
      <c r="M5" s="1157"/>
      <c r="N5" s="1157"/>
      <c r="O5" s="1446"/>
      <c r="P5" s="1167" t="s">
        <v>0</v>
      </c>
    </row>
    <row r="6" spans="1:256" s="39" customFormat="1" ht="18" customHeight="1" x14ac:dyDescent="0.3">
      <c r="A6" s="1447"/>
      <c r="B6" s="1448" t="s">
        <v>1</v>
      </c>
      <c r="C6" s="1169" t="s">
        <v>2</v>
      </c>
      <c r="D6" s="1169" t="s">
        <v>98</v>
      </c>
      <c r="E6" s="1169" t="s">
        <v>99</v>
      </c>
      <c r="F6" s="1169" t="s">
        <v>100</v>
      </c>
      <c r="G6" s="1169" t="s">
        <v>101</v>
      </c>
      <c r="H6" s="1169" t="s">
        <v>102</v>
      </c>
      <c r="I6" s="1169" t="s">
        <v>103</v>
      </c>
      <c r="J6" s="1169" t="s">
        <v>104</v>
      </c>
      <c r="K6" s="1169" t="s">
        <v>105</v>
      </c>
      <c r="L6" s="1169" t="s">
        <v>106</v>
      </c>
      <c r="M6" s="1169" t="s">
        <v>107</v>
      </c>
      <c r="N6" s="1169" t="s">
        <v>215</v>
      </c>
      <c r="O6" s="1169" t="s">
        <v>216</v>
      </c>
      <c r="P6" s="1169" t="s">
        <v>217</v>
      </c>
      <c r="Q6" s="1447"/>
      <c r="R6" s="1447"/>
      <c r="S6" s="1447"/>
      <c r="T6" s="1447"/>
      <c r="U6" s="1447"/>
      <c r="V6" s="1447"/>
      <c r="W6" s="1447"/>
      <c r="X6" s="1447"/>
      <c r="Y6" s="1447"/>
      <c r="Z6" s="1447"/>
      <c r="AA6" s="1447"/>
      <c r="AB6" s="1447"/>
      <c r="AC6" s="1447"/>
      <c r="AD6" s="1447"/>
      <c r="AE6" s="1447"/>
      <c r="AF6" s="1447"/>
      <c r="AG6" s="1447"/>
      <c r="AH6" s="1447"/>
      <c r="AI6" s="1447"/>
      <c r="AJ6" s="1447"/>
      <c r="AK6" s="1447"/>
      <c r="AL6" s="1447"/>
      <c r="AM6" s="1447"/>
      <c r="AN6" s="1447"/>
      <c r="AO6" s="1447"/>
      <c r="AP6" s="1447"/>
      <c r="AQ6" s="1447"/>
      <c r="AR6" s="1447"/>
      <c r="AS6" s="1447"/>
      <c r="AT6" s="1447"/>
      <c r="AU6" s="1447"/>
      <c r="AV6" s="1447"/>
      <c r="AW6" s="1447"/>
      <c r="AX6" s="1447"/>
      <c r="AY6" s="1447"/>
      <c r="AZ6" s="1447"/>
      <c r="BA6" s="1447"/>
      <c r="BB6" s="1447"/>
      <c r="BC6" s="1447"/>
      <c r="BD6" s="1447"/>
      <c r="BE6" s="1447"/>
      <c r="BF6" s="1447"/>
      <c r="BG6" s="1447"/>
      <c r="BH6" s="1447"/>
      <c r="BI6" s="1447"/>
      <c r="BJ6" s="1447"/>
      <c r="BK6" s="1447"/>
      <c r="BL6" s="1447"/>
      <c r="BM6" s="1447"/>
      <c r="BN6" s="1447"/>
      <c r="BO6" s="1447"/>
      <c r="BP6" s="1447"/>
      <c r="BQ6" s="1447"/>
      <c r="BR6" s="1447"/>
      <c r="BS6" s="1447"/>
      <c r="BT6" s="1447"/>
      <c r="BU6" s="1447"/>
      <c r="BV6" s="1447"/>
      <c r="BW6" s="1447"/>
      <c r="BX6" s="1447"/>
      <c r="BY6" s="1447"/>
      <c r="BZ6" s="1447"/>
      <c r="CA6" s="1447"/>
      <c r="CB6" s="1447"/>
      <c r="CC6" s="1447"/>
      <c r="CD6" s="1447"/>
      <c r="CE6" s="1447"/>
      <c r="CF6" s="1447"/>
      <c r="CG6" s="1447"/>
      <c r="CH6" s="1447"/>
      <c r="CI6" s="1447"/>
      <c r="CJ6" s="1447"/>
      <c r="CK6" s="1447"/>
      <c r="CL6" s="1447"/>
      <c r="CM6" s="1447"/>
      <c r="CN6" s="1447"/>
      <c r="CO6" s="1447"/>
      <c r="CP6" s="1447"/>
      <c r="CQ6" s="1447"/>
      <c r="CR6" s="1447"/>
      <c r="CS6" s="1447"/>
      <c r="CT6" s="1447"/>
      <c r="CU6" s="1447"/>
      <c r="CV6" s="1447"/>
      <c r="CW6" s="1447"/>
      <c r="CX6" s="1447"/>
      <c r="CY6" s="1447"/>
      <c r="CZ6" s="1447"/>
      <c r="DA6" s="1447"/>
      <c r="DB6" s="1447"/>
      <c r="DC6" s="1447"/>
      <c r="DD6" s="1447"/>
      <c r="DE6" s="1447"/>
      <c r="DF6" s="1447"/>
      <c r="DG6" s="1447"/>
      <c r="DH6" s="1447"/>
      <c r="DI6" s="1447"/>
      <c r="DJ6" s="1447"/>
      <c r="DK6" s="1447"/>
      <c r="DL6" s="1447"/>
      <c r="DM6" s="1447"/>
      <c r="DN6" s="1447"/>
      <c r="DO6" s="1447"/>
      <c r="DP6" s="1447"/>
      <c r="DQ6" s="1447"/>
      <c r="DR6" s="1447"/>
      <c r="DS6" s="1447"/>
      <c r="DT6" s="1447"/>
      <c r="DU6" s="1447"/>
      <c r="DV6" s="1447"/>
      <c r="DW6" s="1447"/>
      <c r="DX6" s="1447"/>
      <c r="DY6" s="1447"/>
      <c r="DZ6" s="1447"/>
      <c r="EA6" s="1447"/>
      <c r="EB6" s="1447"/>
      <c r="EC6" s="1447"/>
      <c r="ED6" s="1447"/>
      <c r="EE6" s="1447"/>
      <c r="EF6" s="1447"/>
      <c r="EG6" s="1447"/>
      <c r="EH6" s="1447"/>
      <c r="EI6" s="1447"/>
      <c r="EJ6" s="1447"/>
      <c r="EK6" s="1447"/>
      <c r="EL6" s="1447"/>
      <c r="EM6" s="1447"/>
      <c r="EN6" s="1447"/>
      <c r="EO6" s="1447"/>
      <c r="EP6" s="1447"/>
      <c r="EQ6" s="1447"/>
      <c r="ER6" s="1447"/>
      <c r="ES6" s="1447"/>
      <c r="ET6" s="1447"/>
      <c r="EU6" s="1447"/>
      <c r="EV6" s="1447"/>
      <c r="EW6" s="1447"/>
      <c r="EX6" s="1447"/>
      <c r="EY6" s="1447"/>
      <c r="EZ6" s="1447"/>
      <c r="FA6" s="1447"/>
      <c r="FB6" s="1447"/>
      <c r="FC6" s="1447"/>
      <c r="FD6" s="1447"/>
      <c r="FE6" s="1447"/>
      <c r="FF6" s="1447"/>
      <c r="FG6" s="1447"/>
      <c r="FH6" s="1447"/>
      <c r="FI6" s="1447"/>
      <c r="FJ6" s="1447"/>
      <c r="FK6" s="1447"/>
      <c r="FL6" s="1447"/>
      <c r="FM6" s="1447"/>
      <c r="FN6" s="1447"/>
      <c r="FO6" s="1447"/>
      <c r="FP6" s="1447"/>
      <c r="FQ6" s="1447"/>
      <c r="FR6" s="1447"/>
      <c r="FS6" s="1447"/>
      <c r="FT6" s="1447"/>
      <c r="FU6" s="1447"/>
      <c r="FV6" s="1447"/>
      <c r="FW6" s="1447"/>
      <c r="FX6" s="1447"/>
      <c r="FY6" s="1447"/>
      <c r="FZ6" s="1447"/>
      <c r="GA6" s="1447"/>
      <c r="GB6" s="1447"/>
      <c r="GC6" s="1447"/>
      <c r="GD6" s="1447"/>
      <c r="GE6" s="1447"/>
      <c r="GF6" s="1447"/>
      <c r="GG6" s="1447"/>
      <c r="GH6" s="1447"/>
      <c r="GI6" s="1447"/>
      <c r="GJ6" s="1447"/>
      <c r="GK6" s="1447"/>
      <c r="GL6" s="1447"/>
      <c r="GM6" s="1447"/>
      <c r="GN6" s="1447"/>
      <c r="GO6" s="1447"/>
      <c r="GP6" s="1447"/>
      <c r="GQ6" s="1447"/>
      <c r="GR6" s="1447"/>
      <c r="GS6" s="1447"/>
      <c r="GT6" s="1447"/>
      <c r="GU6" s="1447"/>
      <c r="GV6" s="1447"/>
      <c r="GW6" s="1447"/>
      <c r="GX6" s="1447"/>
      <c r="GY6" s="1447"/>
      <c r="GZ6" s="1447"/>
      <c r="HA6" s="1447"/>
      <c r="HB6" s="1447"/>
      <c r="HC6" s="1447"/>
      <c r="HD6" s="1447"/>
      <c r="HE6" s="1447"/>
      <c r="HF6" s="1447"/>
      <c r="HG6" s="1447"/>
      <c r="HH6" s="1447"/>
      <c r="HI6" s="1447"/>
      <c r="HJ6" s="1447"/>
      <c r="HK6" s="1447"/>
      <c r="HL6" s="1447"/>
      <c r="HM6" s="1447"/>
      <c r="HN6" s="1447"/>
      <c r="HO6" s="1447"/>
      <c r="HP6" s="1447"/>
      <c r="HQ6" s="1447"/>
      <c r="HR6" s="1447"/>
      <c r="HS6" s="1447"/>
      <c r="HT6" s="1447"/>
      <c r="HU6" s="1447"/>
      <c r="HV6" s="1447"/>
      <c r="HW6" s="1447"/>
      <c r="HX6" s="1447"/>
      <c r="HY6" s="1447"/>
      <c r="HZ6" s="1447"/>
      <c r="IA6" s="1447"/>
      <c r="IB6" s="1447"/>
      <c r="IC6" s="1447"/>
      <c r="ID6" s="1447"/>
      <c r="IE6" s="1447"/>
      <c r="IF6" s="1447"/>
      <c r="IG6" s="1447"/>
      <c r="IH6" s="1447"/>
      <c r="II6" s="1447"/>
      <c r="IJ6" s="1447"/>
      <c r="IK6" s="1447"/>
      <c r="IL6" s="1447"/>
      <c r="IM6" s="1447"/>
      <c r="IN6" s="1447"/>
      <c r="IO6" s="1447"/>
      <c r="IP6" s="1447"/>
    </row>
    <row r="7" spans="1:256" ht="22.5" customHeight="1" x14ac:dyDescent="0.3">
      <c r="B7" s="2017" t="s">
        <v>108</v>
      </c>
      <c r="C7" s="2018" t="s">
        <v>109</v>
      </c>
      <c r="D7" s="2019" t="s">
        <v>3</v>
      </c>
      <c r="E7" s="2020" t="s">
        <v>965</v>
      </c>
      <c r="F7" s="2020" t="s">
        <v>966</v>
      </c>
      <c r="G7" s="2021" t="s">
        <v>986</v>
      </c>
      <c r="H7" s="2006" t="s">
        <v>280</v>
      </c>
      <c r="I7" s="2022" t="s">
        <v>520</v>
      </c>
      <c r="J7" s="2022"/>
      <c r="K7" s="2022"/>
      <c r="L7" s="2022"/>
      <c r="M7" s="2022"/>
      <c r="N7" s="2022"/>
      <c r="O7" s="2022"/>
      <c r="P7" s="2023" t="s">
        <v>767</v>
      </c>
      <c r="Q7" s="2011"/>
      <c r="R7" s="2011"/>
    </row>
    <row r="8" spans="1:256" ht="33" customHeight="1" x14ac:dyDescent="0.3">
      <c r="B8" s="2017"/>
      <c r="C8" s="2018"/>
      <c r="D8" s="2019"/>
      <c r="E8" s="2020"/>
      <c r="F8" s="2020"/>
      <c r="G8" s="2021"/>
      <c r="H8" s="2006"/>
      <c r="I8" s="2012" t="s">
        <v>968</v>
      </c>
      <c r="J8" s="2012"/>
      <c r="K8" s="2012"/>
      <c r="L8" s="2012"/>
      <c r="M8" s="2013" t="s">
        <v>187</v>
      </c>
      <c r="N8" s="2013"/>
      <c r="O8" s="2014" t="s">
        <v>4</v>
      </c>
      <c r="P8" s="2023"/>
    </row>
    <row r="9" spans="1:256" ht="53.25" customHeight="1" x14ac:dyDescent="0.3">
      <c r="B9" s="2017"/>
      <c r="C9" s="2018"/>
      <c r="D9" s="2019"/>
      <c r="E9" s="2020"/>
      <c r="F9" s="2020"/>
      <c r="G9" s="2021"/>
      <c r="H9" s="2006"/>
      <c r="I9" s="1449" t="s">
        <v>282</v>
      </c>
      <c r="J9" s="1450" t="s">
        <v>969</v>
      </c>
      <c r="K9" s="1451" t="s">
        <v>284</v>
      </c>
      <c r="L9" s="1451" t="s">
        <v>970</v>
      </c>
      <c r="M9" s="1450" t="s">
        <v>56</v>
      </c>
      <c r="N9" s="1450" t="s">
        <v>188</v>
      </c>
      <c r="O9" s="2014"/>
      <c r="P9" s="2023"/>
    </row>
    <row r="10" spans="1:256" s="1464" customFormat="1" ht="22.5" customHeight="1" x14ac:dyDescent="0.35">
      <c r="A10" s="1452">
        <v>1</v>
      </c>
      <c r="B10" s="1453">
        <v>18</v>
      </c>
      <c r="C10" s="1454" t="s">
        <v>518</v>
      </c>
      <c r="D10" s="1455"/>
      <c r="E10" s="1456"/>
      <c r="F10" s="1457"/>
      <c r="G10" s="1458"/>
      <c r="H10" s="1459"/>
      <c r="I10" s="1565"/>
      <c r="J10" s="1566"/>
      <c r="K10" s="1566"/>
      <c r="L10" s="1566"/>
      <c r="M10" s="1566"/>
      <c r="N10" s="1566"/>
      <c r="O10" s="1567"/>
      <c r="P10" s="1463"/>
      <c r="Q10" s="1166"/>
      <c r="R10" s="1166"/>
      <c r="S10" s="1166"/>
      <c r="T10" s="1166"/>
      <c r="U10" s="1166"/>
      <c r="V10" s="1166"/>
      <c r="W10" s="1166"/>
      <c r="X10" s="1166"/>
      <c r="Y10" s="1166"/>
      <c r="Z10" s="1166"/>
      <c r="AA10" s="1166"/>
      <c r="AB10" s="1166"/>
      <c r="AC10" s="1166"/>
      <c r="AD10" s="1166"/>
      <c r="AE10" s="1166"/>
      <c r="AF10" s="1166"/>
      <c r="AG10" s="1166"/>
      <c r="AH10" s="1166"/>
      <c r="AI10" s="1166"/>
      <c r="AJ10" s="1166"/>
      <c r="AK10" s="1166"/>
      <c r="AL10" s="1166"/>
      <c r="AM10" s="1166"/>
      <c r="AN10" s="1166"/>
      <c r="AO10" s="1166"/>
      <c r="AP10" s="1166"/>
      <c r="AQ10" s="1166"/>
      <c r="AR10" s="1166"/>
      <c r="AS10" s="1166"/>
      <c r="AT10" s="1166"/>
      <c r="AU10" s="1166"/>
      <c r="AV10" s="1166"/>
      <c r="AW10" s="1166"/>
      <c r="AX10" s="1166"/>
      <c r="AY10" s="1166"/>
      <c r="AZ10" s="1166"/>
      <c r="BA10" s="1166"/>
      <c r="BB10" s="1166"/>
      <c r="BC10" s="1166"/>
      <c r="BD10" s="1166"/>
      <c r="BE10" s="1166"/>
      <c r="BF10" s="1166"/>
      <c r="BG10" s="1166"/>
      <c r="BH10" s="1166"/>
      <c r="BI10" s="1166"/>
      <c r="BJ10" s="1166"/>
      <c r="BK10" s="1166"/>
      <c r="BL10" s="1166"/>
      <c r="BM10" s="1166"/>
      <c r="BN10" s="1166"/>
      <c r="BO10" s="1166"/>
      <c r="BP10" s="1166"/>
      <c r="BQ10" s="1166"/>
      <c r="BR10" s="1166"/>
      <c r="BS10" s="1166"/>
      <c r="BT10" s="1166"/>
      <c r="BU10" s="1166"/>
      <c r="BV10" s="1166"/>
      <c r="BW10" s="1166"/>
      <c r="BX10" s="1166"/>
      <c r="BY10" s="1166"/>
      <c r="BZ10" s="1166"/>
      <c r="CA10" s="1166"/>
      <c r="CB10" s="1166"/>
      <c r="CC10" s="1166"/>
      <c r="CD10" s="1166"/>
      <c r="CE10" s="1166"/>
      <c r="CF10" s="1166"/>
      <c r="CG10" s="1166"/>
      <c r="CH10" s="1166"/>
      <c r="CI10" s="1166"/>
      <c r="CJ10" s="1166"/>
      <c r="CK10" s="1166"/>
      <c r="CL10" s="1166"/>
      <c r="CM10" s="1166"/>
      <c r="CN10" s="1166"/>
      <c r="CO10" s="1166"/>
      <c r="CP10" s="1166"/>
      <c r="CQ10" s="1166"/>
      <c r="CR10" s="1166"/>
      <c r="CS10" s="1166"/>
      <c r="CT10" s="1166"/>
      <c r="CU10" s="1166"/>
      <c r="CV10" s="1166"/>
      <c r="CW10" s="1166"/>
      <c r="CX10" s="1166"/>
      <c r="CY10" s="1166"/>
      <c r="CZ10" s="1166"/>
      <c r="DA10" s="1166"/>
      <c r="DB10" s="1166"/>
      <c r="DC10" s="1166"/>
      <c r="DD10" s="1166"/>
      <c r="DE10" s="1166"/>
      <c r="DF10" s="1166"/>
      <c r="DG10" s="1166"/>
      <c r="DH10" s="1166"/>
      <c r="DI10" s="1166"/>
      <c r="DJ10" s="1166"/>
      <c r="DK10" s="1166"/>
      <c r="DL10" s="1166"/>
      <c r="DM10" s="1166"/>
      <c r="DN10" s="1166"/>
      <c r="DO10" s="1166"/>
      <c r="DP10" s="1166"/>
      <c r="DQ10" s="1166"/>
      <c r="DR10" s="1166"/>
      <c r="DS10" s="1166"/>
      <c r="DT10" s="1166"/>
      <c r="DU10" s="1166"/>
      <c r="DV10" s="1166"/>
      <c r="DW10" s="1166"/>
      <c r="DX10" s="1166"/>
      <c r="DY10" s="1166"/>
      <c r="DZ10" s="1166"/>
      <c r="EA10" s="1166"/>
      <c r="EB10" s="1166"/>
      <c r="EC10" s="1166"/>
      <c r="ED10" s="1166"/>
      <c r="EE10" s="1166"/>
      <c r="EF10" s="1166"/>
      <c r="EG10" s="1166"/>
      <c r="EH10" s="1166"/>
      <c r="EI10" s="1166"/>
      <c r="EJ10" s="1166"/>
      <c r="EK10" s="1166"/>
      <c r="EL10" s="1166"/>
      <c r="EM10" s="1166"/>
      <c r="EN10" s="1166"/>
      <c r="EO10" s="1166"/>
      <c r="EP10" s="1166"/>
      <c r="EQ10" s="1166"/>
      <c r="ER10" s="1166"/>
      <c r="ES10" s="1166"/>
      <c r="ET10" s="1166"/>
      <c r="EU10" s="1166"/>
      <c r="EV10" s="1166"/>
      <c r="EW10" s="1166"/>
      <c r="EX10" s="1166"/>
      <c r="EY10" s="1166"/>
      <c r="EZ10" s="1166"/>
      <c r="FA10" s="1166"/>
      <c r="FB10" s="1166"/>
      <c r="FC10" s="1166"/>
      <c r="FD10" s="1166"/>
      <c r="FE10" s="1166"/>
      <c r="FF10" s="1166"/>
      <c r="FG10" s="1166"/>
      <c r="FH10" s="1166"/>
      <c r="FI10" s="1166"/>
      <c r="FJ10" s="1166"/>
      <c r="FK10" s="1166"/>
      <c r="FL10" s="1166"/>
      <c r="FM10" s="1166"/>
      <c r="FN10" s="1166"/>
      <c r="FO10" s="1166"/>
      <c r="FP10" s="1166"/>
      <c r="FQ10" s="1166"/>
      <c r="FR10" s="1166"/>
      <c r="FS10" s="1166"/>
      <c r="FT10" s="1166"/>
      <c r="FU10" s="1166"/>
      <c r="FV10" s="1166"/>
      <c r="FW10" s="1166"/>
      <c r="FX10" s="1166"/>
      <c r="FY10" s="1166"/>
      <c r="FZ10" s="1166"/>
      <c r="GA10" s="1166"/>
      <c r="GB10" s="1166"/>
      <c r="GC10" s="1166"/>
      <c r="GD10" s="1166"/>
      <c r="GE10" s="1166"/>
      <c r="GF10" s="1166"/>
      <c r="GG10" s="1166"/>
      <c r="GH10" s="1166"/>
      <c r="GI10" s="1166"/>
      <c r="GJ10" s="1166"/>
      <c r="GK10" s="1166"/>
      <c r="GL10" s="1166"/>
      <c r="GM10" s="1166"/>
      <c r="GN10" s="1166"/>
      <c r="GO10" s="1166"/>
      <c r="GP10" s="1166"/>
      <c r="GQ10" s="1166"/>
      <c r="GR10" s="1166"/>
      <c r="GS10" s="1166"/>
      <c r="GT10" s="1166"/>
      <c r="GU10" s="1166"/>
      <c r="GV10" s="1166"/>
      <c r="GW10" s="1166"/>
      <c r="GX10" s="1166"/>
      <c r="GY10" s="1166"/>
      <c r="GZ10" s="1166"/>
      <c r="HA10" s="1166"/>
      <c r="HB10" s="1166"/>
      <c r="HC10" s="1166"/>
      <c r="HD10" s="1166"/>
      <c r="HE10" s="1166"/>
      <c r="HF10" s="1166"/>
      <c r="HG10" s="1166"/>
      <c r="HH10" s="1166"/>
      <c r="HI10" s="1166"/>
      <c r="HJ10" s="1166"/>
      <c r="HK10" s="1166"/>
      <c r="HL10" s="1166"/>
      <c r="HM10" s="1166"/>
      <c r="HN10" s="1166"/>
      <c r="HO10" s="1166"/>
      <c r="HP10" s="1166"/>
      <c r="HQ10" s="1166"/>
      <c r="HR10" s="1166"/>
      <c r="HS10" s="1166"/>
      <c r="HT10" s="1166"/>
      <c r="HU10" s="1166"/>
      <c r="HV10" s="1166"/>
      <c r="HW10" s="1166"/>
      <c r="HX10" s="1166"/>
      <c r="HY10" s="1166"/>
      <c r="HZ10" s="1166"/>
      <c r="IA10" s="1166"/>
      <c r="IB10" s="1166"/>
      <c r="IC10" s="1166"/>
      <c r="ID10" s="1166"/>
      <c r="IE10" s="1166"/>
      <c r="IF10" s="1166"/>
      <c r="IG10" s="1166"/>
      <c r="IH10" s="1166"/>
      <c r="II10" s="1166"/>
      <c r="IJ10" s="1166"/>
      <c r="IK10" s="1166"/>
      <c r="IL10" s="1166"/>
      <c r="IM10" s="1166"/>
      <c r="IN10" s="1166"/>
      <c r="IO10" s="1166"/>
      <c r="IP10" s="1166"/>
      <c r="IQ10" s="1166"/>
      <c r="IR10" s="1166"/>
      <c r="IS10" s="1166"/>
      <c r="IT10" s="1166"/>
      <c r="IU10" s="1166"/>
      <c r="IV10" s="1166"/>
    </row>
    <row r="11" spans="1:256" s="1464" customFormat="1" ht="22.5" customHeight="1" x14ac:dyDescent="0.35">
      <c r="A11" s="1452">
        <v>2</v>
      </c>
      <c r="B11" s="1465"/>
      <c r="C11" s="1197">
        <v>2</v>
      </c>
      <c r="D11" s="1568" t="s">
        <v>987</v>
      </c>
      <c r="E11" s="1468">
        <f>F11+G11+O12+P12</f>
        <v>9280000</v>
      </c>
      <c r="F11" s="1490">
        <f>324476+484396+427002+450929+50000+2832016</f>
        <v>4568819</v>
      </c>
      <c r="G11" s="1478">
        <v>35972</v>
      </c>
      <c r="H11" s="1479" t="s">
        <v>296</v>
      </c>
      <c r="I11" s="1569"/>
      <c r="J11" s="1489"/>
      <c r="K11" s="1488"/>
      <c r="L11" s="1488"/>
      <c r="M11" s="1488"/>
      <c r="N11" s="1488"/>
      <c r="O11" s="1222"/>
      <c r="P11" s="1475"/>
      <c r="Q11" s="1166"/>
      <c r="R11" s="1166"/>
      <c r="S11" s="1166"/>
      <c r="T11" s="1166"/>
      <c r="U11" s="1166"/>
      <c r="V11" s="1166"/>
      <c r="W11" s="1166"/>
      <c r="X11" s="1166"/>
      <c r="Y11" s="1166"/>
      <c r="Z11" s="1166"/>
      <c r="AA11" s="1166"/>
      <c r="AB11" s="1166"/>
      <c r="AC11" s="1166"/>
      <c r="AD11" s="1166"/>
      <c r="AE11" s="1166"/>
      <c r="AF11" s="1166"/>
      <c r="AG11" s="1166"/>
      <c r="AH11" s="1166"/>
      <c r="AI11" s="1166"/>
      <c r="AJ11" s="1166"/>
      <c r="AK11" s="1166"/>
      <c r="AL11" s="1166"/>
      <c r="AM11" s="1166"/>
      <c r="AN11" s="1166"/>
      <c r="AO11" s="1166"/>
      <c r="AP11" s="1166"/>
      <c r="AQ11" s="1166"/>
      <c r="AR11" s="1166"/>
      <c r="AS11" s="1166"/>
      <c r="AT11" s="1166"/>
      <c r="AU11" s="1166"/>
      <c r="AV11" s="1166"/>
      <c r="AW11" s="1166"/>
      <c r="AX11" s="1166"/>
      <c r="AY11" s="1166"/>
      <c r="AZ11" s="1166"/>
      <c r="BA11" s="1166"/>
      <c r="BB11" s="1166"/>
      <c r="BC11" s="1166"/>
      <c r="BD11" s="1166"/>
      <c r="BE11" s="1166"/>
      <c r="BF11" s="1166"/>
      <c r="BG11" s="1166"/>
      <c r="BH11" s="1166"/>
      <c r="BI11" s="1166"/>
      <c r="BJ11" s="1166"/>
      <c r="BK11" s="1166"/>
      <c r="BL11" s="1166"/>
      <c r="BM11" s="1166"/>
      <c r="BN11" s="1166"/>
      <c r="BO11" s="1166"/>
      <c r="BP11" s="1166"/>
      <c r="BQ11" s="1166"/>
      <c r="BR11" s="1166"/>
      <c r="BS11" s="1166"/>
      <c r="BT11" s="1166"/>
      <c r="BU11" s="1166"/>
      <c r="BV11" s="1166"/>
      <c r="BW11" s="1166"/>
      <c r="BX11" s="1166"/>
      <c r="BY11" s="1166"/>
      <c r="BZ11" s="1166"/>
      <c r="CA11" s="1166"/>
      <c r="CB11" s="1166"/>
      <c r="CC11" s="1166"/>
      <c r="CD11" s="1166"/>
      <c r="CE11" s="1166"/>
      <c r="CF11" s="1166"/>
      <c r="CG11" s="1166"/>
      <c r="CH11" s="1166"/>
      <c r="CI11" s="1166"/>
      <c r="CJ11" s="1166"/>
      <c r="CK11" s="1166"/>
      <c r="CL11" s="1166"/>
      <c r="CM11" s="1166"/>
      <c r="CN11" s="1166"/>
      <c r="CO11" s="1166"/>
      <c r="CP11" s="1166"/>
      <c r="CQ11" s="1166"/>
      <c r="CR11" s="1166"/>
      <c r="CS11" s="1166"/>
      <c r="CT11" s="1166"/>
      <c r="CU11" s="1166"/>
      <c r="CV11" s="1166"/>
      <c r="CW11" s="1166"/>
      <c r="CX11" s="1166"/>
      <c r="CY11" s="1166"/>
      <c r="CZ11" s="1166"/>
      <c r="DA11" s="1166"/>
      <c r="DB11" s="1166"/>
      <c r="DC11" s="1166"/>
      <c r="DD11" s="1166"/>
      <c r="DE11" s="1166"/>
      <c r="DF11" s="1166"/>
      <c r="DG11" s="1166"/>
      <c r="DH11" s="1166"/>
      <c r="DI11" s="1166"/>
      <c r="DJ11" s="1166"/>
      <c r="DK11" s="1166"/>
      <c r="DL11" s="1166"/>
      <c r="DM11" s="1166"/>
      <c r="DN11" s="1166"/>
      <c r="DO11" s="1166"/>
      <c r="DP11" s="1166"/>
      <c r="DQ11" s="1166"/>
      <c r="DR11" s="1166"/>
      <c r="DS11" s="1166"/>
      <c r="DT11" s="1166"/>
      <c r="DU11" s="1166"/>
      <c r="DV11" s="1166"/>
      <c r="DW11" s="1166"/>
      <c r="DX11" s="1166"/>
      <c r="DY11" s="1166"/>
      <c r="DZ11" s="1166"/>
      <c r="EA11" s="1166"/>
      <c r="EB11" s="1166"/>
      <c r="EC11" s="1166"/>
      <c r="ED11" s="1166"/>
      <c r="EE11" s="1166"/>
      <c r="EF11" s="1166"/>
      <c r="EG11" s="1166"/>
      <c r="EH11" s="1166"/>
      <c r="EI11" s="1166"/>
      <c r="EJ11" s="1166"/>
      <c r="EK11" s="1166"/>
      <c r="EL11" s="1166"/>
      <c r="EM11" s="1166"/>
      <c r="EN11" s="1166"/>
      <c r="EO11" s="1166"/>
      <c r="EP11" s="1166"/>
      <c r="EQ11" s="1166"/>
      <c r="ER11" s="1166"/>
      <c r="ES11" s="1166"/>
      <c r="ET11" s="1166"/>
      <c r="EU11" s="1166"/>
      <c r="EV11" s="1166"/>
      <c r="EW11" s="1166"/>
      <c r="EX11" s="1166"/>
      <c r="EY11" s="1166"/>
      <c r="EZ11" s="1166"/>
      <c r="FA11" s="1166"/>
      <c r="FB11" s="1166"/>
      <c r="FC11" s="1166"/>
      <c r="FD11" s="1166"/>
      <c r="FE11" s="1166"/>
      <c r="FF11" s="1166"/>
      <c r="FG11" s="1166"/>
      <c r="FH11" s="1166"/>
      <c r="FI11" s="1166"/>
      <c r="FJ11" s="1166"/>
      <c r="FK11" s="1166"/>
      <c r="FL11" s="1166"/>
      <c r="FM11" s="1166"/>
      <c r="FN11" s="1166"/>
      <c r="FO11" s="1166"/>
      <c r="FP11" s="1166"/>
      <c r="FQ11" s="1166"/>
      <c r="FR11" s="1166"/>
      <c r="FS11" s="1166"/>
      <c r="FT11" s="1166"/>
      <c r="FU11" s="1166"/>
      <c r="FV11" s="1166"/>
      <c r="FW11" s="1166"/>
      <c r="FX11" s="1166"/>
      <c r="FY11" s="1166"/>
      <c r="FZ11" s="1166"/>
      <c r="GA11" s="1166"/>
      <c r="GB11" s="1166"/>
      <c r="GC11" s="1166"/>
      <c r="GD11" s="1166"/>
      <c r="GE11" s="1166"/>
      <c r="GF11" s="1166"/>
      <c r="GG11" s="1166"/>
      <c r="GH11" s="1166"/>
      <c r="GI11" s="1166"/>
      <c r="GJ11" s="1166"/>
      <c r="GK11" s="1166"/>
      <c r="GL11" s="1166"/>
      <c r="GM11" s="1166"/>
      <c r="GN11" s="1166"/>
      <c r="GO11" s="1166"/>
      <c r="GP11" s="1166"/>
      <c r="GQ11" s="1166"/>
      <c r="GR11" s="1166"/>
      <c r="GS11" s="1166"/>
      <c r="GT11" s="1166"/>
      <c r="GU11" s="1166"/>
      <c r="GV11" s="1166"/>
      <c r="GW11" s="1166"/>
      <c r="GX11" s="1166"/>
      <c r="GY11" s="1166"/>
      <c r="GZ11" s="1166"/>
      <c r="HA11" s="1166"/>
      <c r="HB11" s="1166"/>
      <c r="HC11" s="1166"/>
      <c r="HD11" s="1166"/>
      <c r="HE11" s="1166"/>
      <c r="HF11" s="1166"/>
      <c r="HG11" s="1166"/>
      <c r="HH11" s="1166"/>
      <c r="HI11" s="1166"/>
      <c r="HJ11" s="1166"/>
      <c r="HK11" s="1166"/>
      <c r="HL11" s="1166"/>
      <c r="HM11" s="1166"/>
      <c r="HN11" s="1166"/>
      <c r="HO11" s="1166"/>
      <c r="HP11" s="1166"/>
      <c r="HQ11" s="1166"/>
      <c r="HR11" s="1166"/>
      <c r="HS11" s="1166"/>
      <c r="HT11" s="1166"/>
      <c r="HU11" s="1166"/>
      <c r="HV11" s="1166"/>
      <c r="HW11" s="1166"/>
      <c r="HX11" s="1166"/>
      <c r="HY11" s="1166"/>
      <c r="HZ11" s="1166"/>
      <c r="IA11" s="1166"/>
      <c r="IB11" s="1166"/>
      <c r="IC11" s="1166"/>
      <c r="ID11" s="1166"/>
      <c r="IE11" s="1166"/>
      <c r="IF11" s="1166"/>
      <c r="IG11" s="1166"/>
      <c r="IH11" s="1166"/>
      <c r="II11" s="1166"/>
      <c r="IJ11" s="1166"/>
      <c r="IK11" s="1166"/>
      <c r="IL11" s="1166"/>
      <c r="IM11" s="1166"/>
      <c r="IN11" s="1166"/>
      <c r="IO11" s="1166"/>
      <c r="IP11" s="1166"/>
      <c r="IQ11" s="1166"/>
      <c r="IR11" s="1166"/>
      <c r="IS11" s="1166"/>
      <c r="IT11" s="1166"/>
      <c r="IU11" s="1166"/>
      <c r="IV11" s="1166"/>
    </row>
    <row r="12" spans="1:256" s="1576" customFormat="1" ht="18" customHeight="1" x14ac:dyDescent="0.35">
      <c r="A12" s="1452">
        <v>3</v>
      </c>
      <c r="B12" s="1570"/>
      <c r="C12" s="1571"/>
      <c r="D12" s="1572" t="s">
        <v>230</v>
      </c>
      <c r="E12" s="1468"/>
      <c r="F12" s="1490"/>
      <c r="G12" s="1478"/>
      <c r="H12" s="1573"/>
      <c r="I12" s="1569"/>
      <c r="J12" s="1489"/>
      <c r="K12" s="1488">
        <v>1888</v>
      </c>
      <c r="L12" s="1488"/>
      <c r="M12" s="1488">
        <v>4673321</v>
      </c>
      <c r="N12" s="1488"/>
      <c r="O12" s="1480">
        <f>SUM(I12:N12)</f>
        <v>4675209</v>
      </c>
      <c r="P12" s="1574"/>
      <c r="Q12" s="1575"/>
    </row>
    <row r="13" spans="1:256" s="1576" customFormat="1" ht="18" customHeight="1" x14ac:dyDescent="0.35">
      <c r="A13" s="1452">
        <v>4</v>
      </c>
      <c r="B13" s="1570"/>
      <c r="C13" s="1571"/>
      <c r="D13" s="1481" t="s">
        <v>231</v>
      </c>
      <c r="E13" s="1468"/>
      <c r="F13" s="1490"/>
      <c r="G13" s="1478"/>
      <c r="H13" s="1573"/>
      <c r="I13" s="1494"/>
      <c r="J13" s="1491"/>
      <c r="K13" s="1491">
        <v>1888</v>
      </c>
      <c r="L13" s="1491"/>
      <c r="M13" s="1491">
        <v>4673321</v>
      </c>
      <c r="N13" s="1491"/>
      <c r="O13" s="1222">
        <f>SUM(I13:N13)</f>
        <v>4675209</v>
      </c>
      <c r="P13" s="1577"/>
      <c r="Q13" s="1575"/>
    </row>
    <row r="14" spans="1:256" s="1576" customFormat="1" ht="18" customHeight="1" x14ac:dyDescent="0.35">
      <c r="A14" s="1452">
        <v>5</v>
      </c>
      <c r="B14" s="1570"/>
      <c r="C14" s="1571"/>
      <c r="D14" s="1484" t="s">
        <v>245</v>
      </c>
      <c r="E14" s="1468"/>
      <c r="F14" s="1490"/>
      <c r="G14" s="1478"/>
      <c r="H14" s="1573"/>
      <c r="I14" s="1578"/>
      <c r="J14" s="1579"/>
      <c r="K14" s="1579"/>
      <c r="L14" s="1579"/>
      <c r="M14" s="1579"/>
      <c r="N14" s="1580"/>
      <c r="O14" s="1581">
        <f>SUM(I14:N14)</f>
        <v>0</v>
      </c>
      <c r="P14" s="1577"/>
      <c r="Q14" s="1575"/>
    </row>
    <row r="15" spans="1:256" s="1576" customFormat="1" ht="18" customHeight="1" x14ac:dyDescent="0.35">
      <c r="A15" s="1452">
        <v>6</v>
      </c>
      <c r="B15" s="1570"/>
      <c r="C15" s="1571"/>
      <c r="D15" s="1481" t="s">
        <v>233</v>
      </c>
      <c r="E15" s="1468"/>
      <c r="F15" s="1490"/>
      <c r="G15" s="1478"/>
      <c r="H15" s="1573"/>
      <c r="I15" s="1582"/>
      <c r="J15" s="1492"/>
      <c r="K15" s="1491">
        <f>SUM(K13:K14)</f>
        <v>1888</v>
      </c>
      <c r="L15" s="1491"/>
      <c r="M15" s="1491">
        <f>SUM(M13:M14)</f>
        <v>4673321</v>
      </c>
      <c r="N15" s="1488"/>
      <c r="O15" s="1222">
        <f>SUM(I15:N15)</f>
        <v>4675209</v>
      </c>
      <c r="P15" s="1577"/>
      <c r="Q15" s="1575"/>
    </row>
    <row r="16" spans="1:256" s="1464" customFormat="1" ht="22.5" customHeight="1" x14ac:dyDescent="0.35">
      <c r="A16" s="1452">
        <v>7</v>
      </c>
      <c r="B16" s="1465"/>
      <c r="C16" s="1197">
        <v>4</v>
      </c>
      <c r="D16" s="1583" t="s">
        <v>988</v>
      </c>
      <c r="E16" s="1468">
        <f>F16+G16+O17+P17</f>
        <v>66111</v>
      </c>
      <c r="F16" s="1490">
        <v>35789</v>
      </c>
      <c r="G16" s="1478">
        <v>25052</v>
      </c>
      <c r="H16" s="1479" t="s">
        <v>296</v>
      </c>
      <c r="I16" s="1569"/>
      <c r="J16" s="1489"/>
      <c r="K16" s="1488"/>
      <c r="L16" s="1488"/>
      <c r="M16" s="1488"/>
      <c r="N16" s="1488"/>
      <c r="O16" s="1480"/>
      <c r="P16" s="1475"/>
      <c r="Q16" s="1166"/>
      <c r="R16" s="1166"/>
      <c r="S16" s="1166"/>
      <c r="T16" s="1166"/>
      <c r="U16" s="1166"/>
      <c r="V16" s="1166"/>
      <c r="W16" s="1166"/>
      <c r="X16" s="1166"/>
      <c r="Y16" s="1166"/>
      <c r="Z16" s="1166"/>
      <c r="AA16" s="1166"/>
      <c r="AB16" s="1166"/>
      <c r="AC16" s="1166"/>
      <c r="AD16" s="1166"/>
      <c r="AE16" s="1166"/>
      <c r="AF16" s="1166"/>
      <c r="AG16" s="1166"/>
      <c r="AH16" s="1166"/>
      <c r="AI16" s="1166"/>
      <c r="AJ16" s="1166"/>
      <c r="AK16" s="1166"/>
      <c r="AL16" s="1166"/>
      <c r="AM16" s="1166"/>
      <c r="AN16" s="1166"/>
      <c r="AO16" s="1166"/>
      <c r="AP16" s="1166"/>
      <c r="AQ16" s="1166"/>
      <c r="AR16" s="1166"/>
      <c r="AS16" s="1166"/>
      <c r="AT16" s="1166"/>
      <c r="AU16" s="1166"/>
      <c r="AV16" s="1166"/>
      <c r="AW16" s="1166"/>
      <c r="AX16" s="1166"/>
      <c r="AY16" s="1166"/>
      <c r="AZ16" s="1166"/>
      <c r="BA16" s="1166"/>
      <c r="BB16" s="1166"/>
      <c r="BC16" s="1166"/>
      <c r="BD16" s="1166"/>
      <c r="BE16" s="1166"/>
      <c r="BF16" s="1166"/>
      <c r="BG16" s="1166"/>
      <c r="BH16" s="1166"/>
      <c r="BI16" s="1166"/>
      <c r="BJ16" s="1166"/>
      <c r="BK16" s="1166"/>
      <c r="BL16" s="1166"/>
      <c r="BM16" s="1166"/>
      <c r="BN16" s="1166"/>
      <c r="BO16" s="1166"/>
      <c r="BP16" s="1166"/>
      <c r="BQ16" s="1166"/>
      <c r="BR16" s="1166"/>
      <c r="BS16" s="1166"/>
      <c r="BT16" s="1166"/>
      <c r="BU16" s="1166"/>
      <c r="BV16" s="1166"/>
      <c r="BW16" s="1166"/>
      <c r="BX16" s="1166"/>
      <c r="BY16" s="1166"/>
      <c r="BZ16" s="1166"/>
      <c r="CA16" s="1166"/>
      <c r="CB16" s="1166"/>
      <c r="CC16" s="1166"/>
      <c r="CD16" s="1166"/>
      <c r="CE16" s="1166"/>
      <c r="CF16" s="1166"/>
      <c r="CG16" s="1166"/>
      <c r="CH16" s="1166"/>
      <c r="CI16" s="1166"/>
      <c r="CJ16" s="1166"/>
      <c r="CK16" s="1166"/>
      <c r="CL16" s="1166"/>
      <c r="CM16" s="1166"/>
      <c r="CN16" s="1166"/>
      <c r="CO16" s="1166"/>
      <c r="CP16" s="1166"/>
      <c r="CQ16" s="1166"/>
      <c r="CR16" s="1166"/>
      <c r="CS16" s="1166"/>
      <c r="CT16" s="1166"/>
      <c r="CU16" s="1166"/>
      <c r="CV16" s="1166"/>
      <c r="CW16" s="1166"/>
      <c r="CX16" s="1166"/>
      <c r="CY16" s="1166"/>
      <c r="CZ16" s="1166"/>
      <c r="DA16" s="1166"/>
      <c r="DB16" s="1166"/>
      <c r="DC16" s="1166"/>
      <c r="DD16" s="1166"/>
      <c r="DE16" s="1166"/>
      <c r="DF16" s="1166"/>
      <c r="DG16" s="1166"/>
      <c r="DH16" s="1166"/>
      <c r="DI16" s="1166"/>
      <c r="DJ16" s="1166"/>
      <c r="DK16" s="1166"/>
      <c r="DL16" s="1166"/>
      <c r="DM16" s="1166"/>
      <c r="DN16" s="1166"/>
      <c r="DO16" s="1166"/>
      <c r="DP16" s="1166"/>
      <c r="DQ16" s="1166"/>
      <c r="DR16" s="1166"/>
      <c r="DS16" s="1166"/>
      <c r="DT16" s="1166"/>
      <c r="DU16" s="1166"/>
      <c r="DV16" s="1166"/>
      <c r="DW16" s="1166"/>
      <c r="DX16" s="1166"/>
      <c r="DY16" s="1166"/>
      <c r="DZ16" s="1166"/>
      <c r="EA16" s="1166"/>
      <c r="EB16" s="1166"/>
      <c r="EC16" s="1166"/>
      <c r="ED16" s="1166"/>
      <c r="EE16" s="1166"/>
      <c r="EF16" s="1166"/>
      <c r="EG16" s="1166"/>
      <c r="EH16" s="1166"/>
      <c r="EI16" s="1166"/>
      <c r="EJ16" s="1166"/>
      <c r="EK16" s="1166"/>
      <c r="EL16" s="1166"/>
      <c r="EM16" s="1166"/>
      <c r="EN16" s="1166"/>
      <c r="EO16" s="1166"/>
      <c r="EP16" s="1166"/>
      <c r="EQ16" s="1166"/>
      <c r="ER16" s="1166"/>
      <c r="ES16" s="1166"/>
      <c r="ET16" s="1166"/>
      <c r="EU16" s="1166"/>
      <c r="EV16" s="1166"/>
      <c r="EW16" s="1166"/>
      <c r="EX16" s="1166"/>
      <c r="EY16" s="1166"/>
      <c r="EZ16" s="1166"/>
      <c r="FA16" s="1166"/>
      <c r="FB16" s="1166"/>
      <c r="FC16" s="1166"/>
      <c r="FD16" s="1166"/>
      <c r="FE16" s="1166"/>
      <c r="FF16" s="1166"/>
      <c r="FG16" s="1166"/>
      <c r="FH16" s="1166"/>
      <c r="FI16" s="1166"/>
      <c r="FJ16" s="1166"/>
      <c r="FK16" s="1166"/>
      <c r="FL16" s="1166"/>
      <c r="FM16" s="1166"/>
      <c r="FN16" s="1166"/>
      <c r="FO16" s="1166"/>
      <c r="FP16" s="1166"/>
      <c r="FQ16" s="1166"/>
      <c r="FR16" s="1166"/>
      <c r="FS16" s="1166"/>
      <c r="FT16" s="1166"/>
      <c r="FU16" s="1166"/>
      <c r="FV16" s="1166"/>
      <c r="FW16" s="1166"/>
      <c r="FX16" s="1166"/>
      <c r="FY16" s="1166"/>
      <c r="FZ16" s="1166"/>
      <c r="GA16" s="1166"/>
      <c r="GB16" s="1166"/>
      <c r="GC16" s="1166"/>
      <c r="GD16" s="1166"/>
      <c r="GE16" s="1166"/>
      <c r="GF16" s="1166"/>
      <c r="GG16" s="1166"/>
      <c r="GH16" s="1166"/>
      <c r="GI16" s="1166"/>
      <c r="GJ16" s="1166"/>
      <c r="GK16" s="1166"/>
      <c r="GL16" s="1166"/>
      <c r="GM16" s="1166"/>
      <c r="GN16" s="1166"/>
      <c r="GO16" s="1166"/>
      <c r="GP16" s="1166"/>
      <c r="GQ16" s="1166"/>
      <c r="GR16" s="1166"/>
      <c r="GS16" s="1166"/>
      <c r="GT16" s="1166"/>
      <c r="GU16" s="1166"/>
      <c r="GV16" s="1166"/>
      <c r="GW16" s="1166"/>
      <c r="GX16" s="1166"/>
      <c r="GY16" s="1166"/>
      <c r="GZ16" s="1166"/>
      <c r="HA16" s="1166"/>
      <c r="HB16" s="1166"/>
      <c r="HC16" s="1166"/>
      <c r="HD16" s="1166"/>
      <c r="HE16" s="1166"/>
      <c r="HF16" s="1166"/>
      <c r="HG16" s="1166"/>
      <c r="HH16" s="1166"/>
      <c r="HI16" s="1166"/>
      <c r="HJ16" s="1166"/>
      <c r="HK16" s="1166"/>
      <c r="HL16" s="1166"/>
      <c r="HM16" s="1166"/>
      <c r="HN16" s="1166"/>
      <c r="HO16" s="1166"/>
      <c r="HP16" s="1166"/>
      <c r="HQ16" s="1166"/>
      <c r="HR16" s="1166"/>
      <c r="HS16" s="1166"/>
      <c r="HT16" s="1166"/>
      <c r="HU16" s="1166"/>
      <c r="HV16" s="1166"/>
      <c r="HW16" s="1166"/>
      <c r="HX16" s="1166"/>
      <c r="HY16" s="1166"/>
      <c r="HZ16" s="1166"/>
      <c r="IA16" s="1166"/>
      <c r="IB16" s="1166"/>
      <c r="IC16" s="1166"/>
      <c r="ID16" s="1166"/>
      <c r="IE16" s="1166"/>
      <c r="IF16" s="1166"/>
      <c r="IG16" s="1166"/>
      <c r="IH16" s="1166"/>
      <c r="II16" s="1166"/>
      <c r="IJ16" s="1166"/>
      <c r="IK16" s="1166"/>
      <c r="IL16" s="1166"/>
      <c r="IM16" s="1166"/>
      <c r="IN16" s="1166"/>
      <c r="IO16" s="1166"/>
      <c r="IP16" s="1166"/>
      <c r="IQ16" s="1166"/>
      <c r="IR16" s="1166"/>
      <c r="IS16" s="1166"/>
      <c r="IT16" s="1166"/>
      <c r="IU16" s="1166"/>
      <c r="IV16" s="1166"/>
    </row>
    <row r="17" spans="1:256" s="1464" customFormat="1" ht="18" customHeight="1" x14ac:dyDescent="0.35">
      <c r="A17" s="1452">
        <v>8</v>
      </c>
      <c r="B17" s="1465"/>
      <c r="C17" s="1187"/>
      <c r="D17" s="1477" t="s">
        <v>230</v>
      </c>
      <c r="E17" s="1468"/>
      <c r="F17" s="1490"/>
      <c r="G17" s="1478"/>
      <c r="H17" s="1479"/>
      <c r="I17" s="1569"/>
      <c r="J17" s="1489"/>
      <c r="K17" s="1488">
        <v>5270</v>
      </c>
      <c r="L17" s="1488"/>
      <c r="M17" s="1488"/>
      <c r="N17" s="1488"/>
      <c r="O17" s="1480">
        <f>SUM(I17:N17)</f>
        <v>5270</v>
      </c>
      <c r="P17" s="1475"/>
      <c r="Q17" s="1166"/>
      <c r="R17" s="1166"/>
      <c r="S17" s="1166"/>
      <c r="T17" s="1166"/>
      <c r="U17" s="1166"/>
      <c r="V17" s="1166"/>
      <c r="W17" s="1166"/>
      <c r="X17" s="1166"/>
      <c r="Y17" s="1166"/>
      <c r="Z17" s="1166"/>
      <c r="AA17" s="1166"/>
      <c r="AB17" s="1166"/>
      <c r="AC17" s="1166"/>
      <c r="AD17" s="1166"/>
      <c r="AE17" s="1166"/>
      <c r="AF17" s="1166"/>
      <c r="AG17" s="1166"/>
      <c r="AH17" s="1166"/>
      <c r="AI17" s="1166"/>
      <c r="AJ17" s="1166"/>
      <c r="AK17" s="1166"/>
      <c r="AL17" s="1166"/>
      <c r="AM17" s="1166"/>
      <c r="AN17" s="1166"/>
      <c r="AO17" s="1166"/>
      <c r="AP17" s="1166"/>
      <c r="AQ17" s="1166"/>
      <c r="AR17" s="1166"/>
      <c r="AS17" s="1166"/>
      <c r="AT17" s="1166"/>
      <c r="AU17" s="1166"/>
      <c r="AV17" s="1166"/>
      <c r="AW17" s="1166"/>
      <c r="AX17" s="1166"/>
      <c r="AY17" s="1166"/>
      <c r="AZ17" s="1166"/>
      <c r="BA17" s="1166"/>
      <c r="BB17" s="1166"/>
      <c r="BC17" s="1166"/>
      <c r="BD17" s="1166"/>
      <c r="BE17" s="1166"/>
      <c r="BF17" s="1166"/>
      <c r="BG17" s="1166"/>
      <c r="BH17" s="1166"/>
      <c r="BI17" s="1166"/>
      <c r="BJ17" s="1166"/>
      <c r="BK17" s="1166"/>
      <c r="BL17" s="1166"/>
      <c r="BM17" s="1166"/>
      <c r="BN17" s="1166"/>
      <c r="BO17" s="1166"/>
      <c r="BP17" s="1166"/>
      <c r="BQ17" s="1166"/>
      <c r="BR17" s="1166"/>
      <c r="BS17" s="1166"/>
      <c r="BT17" s="1166"/>
      <c r="BU17" s="1166"/>
      <c r="BV17" s="1166"/>
      <c r="BW17" s="1166"/>
      <c r="BX17" s="1166"/>
      <c r="BY17" s="1166"/>
      <c r="BZ17" s="1166"/>
      <c r="CA17" s="1166"/>
      <c r="CB17" s="1166"/>
      <c r="CC17" s="1166"/>
      <c r="CD17" s="1166"/>
      <c r="CE17" s="1166"/>
      <c r="CF17" s="1166"/>
      <c r="CG17" s="1166"/>
      <c r="CH17" s="1166"/>
      <c r="CI17" s="1166"/>
      <c r="CJ17" s="1166"/>
      <c r="CK17" s="1166"/>
      <c r="CL17" s="1166"/>
      <c r="CM17" s="1166"/>
      <c r="CN17" s="1166"/>
      <c r="CO17" s="1166"/>
      <c r="CP17" s="1166"/>
      <c r="CQ17" s="1166"/>
      <c r="CR17" s="1166"/>
      <c r="CS17" s="1166"/>
      <c r="CT17" s="1166"/>
      <c r="CU17" s="1166"/>
      <c r="CV17" s="1166"/>
      <c r="CW17" s="1166"/>
      <c r="CX17" s="1166"/>
      <c r="CY17" s="1166"/>
      <c r="CZ17" s="1166"/>
      <c r="DA17" s="1166"/>
      <c r="DB17" s="1166"/>
      <c r="DC17" s="1166"/>
      <c r="DD17" s="1166"/>
      <c r="DE17" s="1166"/>
      <c r="DF17" s="1166"/>
      <c r="DG17" s="1166"/>
      <c r="DH17" s="1166"/>
      <c r="DI17" s="1166"/>
      <c r="DJ17" s="1166"/>
      <c r="DK17" s="1166"/>
      <c r="DL17" s="1166"/>
      <c r="DM17" s="1166"/>
      <c r="DN17" s="1166"/>
      <c r="DO17" s="1166"/>
      <c r="DP17" s="1166"/>
      <c r="DQ17" s="1166"/>
      <c r="DR17" s="1166"/>
      <c r="DS17" s="1166"/>
      <c r="DT17" s="1166"/>
      <c r="DU17" s="1166"/>
      <c r="DV17" s="1166"/>
      <c r="DW17" s="1166"/>
      <c r="DX17" s="1166"/>
      <c r="DY17" s="1166"/>
      <c r="DZ17" s="1166"/>
      <c r="EA17" s="1166"/>
      <c r="EB17" s="1166"/>
      <c r="EC17" s="1166"/>
      <c r="ED17" s="1166"/>
      <c r="EE17" s="1166"/>
      <c r="EF17" s="1166"/>
      <c r="EG17" s="1166"/>
      <c r="EH17" s="1166"/>
      <c r="EI17" s="1166"/>
      <c r="EJ17" s="1166"/>
      <c r="EK17" s="1166"/>
      <c r="EL17" s="1166"/>
      <c r="EM17" s="1166"/>
      <c r="EN17" s="1166"/>
      <c r="EO17" s="1166"/>
      <c r="EP17" s="1166"/>
      <c r="EQ17" s="1166"/>
      <c r="ER17" s="1166"/>
      <c r="ES17" s="1166"/>
      <c r="ET17" s="1166"/>
      <c r="EU17" s="1166"/>
      <c r="EV17" s="1166"/>
      <c r="EW17" s="1166"/>
      <c r="EX17" s="1166"/>
      <c r="EY17" s="1166"/>
      <c r="EZ17" s="1166"/>
      <c r="FA17" s="1166"/>
      <c r="FB17" s="1166"/>
      <c r="FC17" s="1166"/>
      <c r="FD17" s="1166"/>
      <c r="FE17" s="1166"/>
      <c r="FF17" s="1166"/>
      <c r="FG17" s="1166"/>
      <c r="FH17" s="1166"/>
      <c r="FI17" s="1166"/>
      <c r="FJ17" s="1166"/>
      <c r="FK17" s="1166"/>
      <c r="FL17" s="1166"/>
      <c r="FM17" s="1166"/>
      <c r="FN17" s="1166"/>
      <c r="FO17" s="1166"/>
      <c r="FP17" s="1166"/>
      <c r="FQ17" s="1166"/>
      <c r="FR17" s="1166"/>
      <c r="FS17" s="1166"/>
      <c r="FT17" s="1166"/>
      <c r="FU17" s="1166"/>
      <c r="FV17" s="1166"/>
      <c r="FW17" s="1166"/>
      <c r="FX17" s="1166"/>
      <c r="FY17" s="1166"/>
      <c r="FZ17" s="1166"/>
      <c r="GA17" s="1166"/>
      <c r="GB17" s="1166"/>
      <c r="GC17" s="1166"/>
      <c r="GD17" s="1166"/>
      <c r="GE17" s="1166"/>
      <c r="GF17" s="1166"/>
      <c r="GG17" s="1166"/>
      <c r="GH17" s="1166"/>
      <c r="GI17" s="1166"/>
      <c r="GJ17" s="1166"/>
      <c r="GK17" s="1166"/>
      <c r="GL17" s="1166"/>
      <c r="GM17" s="1166"/>
      <c r="GN17" s="1166"/>
      <c r="GO17" s="1166"/>
      <c r="GP17" s="1166"/>
      <c r="GQ17" s="1166"/>
      <c r="GR17" s="1166"/>
      <c r="GS17" s="1166"/>
      <c r="GT17" s="1166"/>
      <c r="GU17" s="1166"/>
      <c r="GV17" s="1166"/>
      <c r="GW17" s="1166"/>
      <c r="GX17" s="1166"/>
      <c r="GY17" s="1166"/>
      <c r="GZ17" s="1166"/>
      <c r="HA17" s="1166"/>
      <c r="HB17" s="1166"/>
      <c r="HC17" s="1166"/>
      <c r="HD17" s="1166"/>
      <c r="HE17" s="1166"/>
      <c r="HF17" s="1166"/>
      <c r="HG17" s="1166"/>
      <c r="HH17" s="1166"/>
      <c r="HI17" s="1166"/>
      <c r="HJ17" s="1166"/>
      <c r="HK17" s="1166"/>
      <c r="HL17" s="1166"/>
      <c r="HM17" s="1166"/>
      <c r="HN17" s="1166"/>
      <c r="HO17" s="1166"/>
      <c r="HP17" s="1166"/>
      <c r="HQ17" s="1166"/>
      <c r="HR17" s="1166"/>
      <c r="HS17" s="1166"/>
      <c r="HT17" s="1166"/>
      <c r="HU17" s="1166"/>
      <c r="HV17" s="1166"/>
      <c r="HW17" s="1166"/>
      <c r="HX17" s="1166"/>
      <c r="HY17" s="1166"/>
      <c r="HZ17" s="1166"/>
      <c r="IA17" s="1166"/>
      <c r="IB17" s="1166"/>
      <c r="IC17" s="1166"/>
      <c r="ID17" s="1166"/>
      <c r="IE17" s="1166"/>
      <c r="IF17" s="1166"/>
      <c r="IG17" s="1166"/>
      <c r="IH17" s="1166"/>
      <c r="II17" s="1166"/>
      <c r="IJ17" s="1166"/>
      <c r="IK17" s="1166"/>
      <c r="IL17" s="1166"/>
      <c r="IM17" s="1166"/>
      <c r="IN17" s="1166"/>
      <c r="IO17" s="1166"/>
      <c r="IP17" s="1166"/>
      <c r="IQ17" s="1166"/>
      <c r="IR17" s="1166"/>
      <c r="IS17" s="1166"/>
      <c r="IT17" s="1166"/>
      <c r="IU17" s="1166"/>
      <c r="IV17" s="1166"/>
    </row>
    <row r="18" spans="1:256" s="1464" customFormat="1" ht="18" customHeight="1" x14ac:dyDescent="0.35">
      <c r="A18" s="1452">
        <v>9</v>
      </c>
      <c r="B18" s="1465"/>
      <c r="C18" s="1187"/>
      <c r="D18" s="1481" t="s">
        <v>231</v>
      </c>
      <c r="E18" s="1468"/>
      <c r="F18" s="1490"/>
      <c r="G18" s="1478"/>
      <c r="H18" s="1479"/>
      <c r="I18" s="1569"/>
      <c r="J18" s="1489"/>
      <c r="K18" s="1491">
        <v>5270</v>
      </c>
      <c r="L18" s="1488"/>
      <c r="M18" s="1488"/>
      <c r="N18" s="1488"/>
      <c r="O18" s="1222">
        <f>SUM(I18:N18)</f>
        <v>5270</v>
      </c>
      <c r="P18" s="1475"/>
      <c r="Q18" s="1166"/>
      <c r="R18" s="1166"/>
      <c r="S18" s="1166"/>
      <c r="T18" s="1166"/>
      <c r="U18" s="1166"/>
      <c r="V18" s="1166"/>
      <c r="W18" s="1166"/>
      <c r="X18" s="1166"/>
      <c r="Y18" s="1166"/>
      <c r="Z18" s="1166"/>
      <c r="AA18" s="1166"/>
      <c r="AB18" s="1166"/>
      <c r="AC18" s="1166"/>
      <c r="AD18" s="1166"/>
      <c r="AE18" s="1166"/>
      <c r="AF18" s="1166"/>
      <c r="AG18" s="1166"/>
      <c r="AH18" s="1166"/>
      <c r="AI18" s="1166"/>
      <c r="AJ18" s="1166"/>
      <c r="AK18" s="1166"/>
      <c r="AL18" s="1166"/>
      <c r="AM18" s="1166"/>
      <c r="AN18" s="1166"/>
      <c r="AO18" s="1166"/>
      <c r="AP18" s="1166"/>
      <c r="AQ18" s="1166"/>
      <c r="AR18" s="1166"/>
      <c r="AS18" s="1166"/>
      <c r="AT18" s="1166"/>
      <c r="AU18" s="1166"/>
      <c r="AV18" s="1166"/>
      <c r="AW18" s="1166"/>
      <c r="AX18" s="1166"/>
      <c r="AY18" s="1166"/>
      <c r="AZ18" s="1166"/>
      <c r="BA18" s="1166"/>
      <c r="BB18" s="1166"/>
      <c r="BC18" s="1166"/>
      <c r="BD18" s="1166"/>
      <c r="BE18" s="1166"/>
      <c r="BF18" s="1166"/>
      <c r="BG18" s="1166"/>
      <c r="BH18" s="1166"/>
      <c r="BI18" s="1166"/>
      <c r="BJ18" s="1166"/>
      <c r="BK18" s="1166"/>
      <c r="BL18" s="1166"/>
      <c r="BM18" s="1166"/>
      <c r="BN18" s="1166"/>
      <c r="BO18" s="1166"/>
      <c r="BP18" s="1166"/>
      <c r="BQ18" s="1166"/>
      <c r="BR18" s="1166"/>
      <c r="BS18" s="1166"/>
      <c r="BT18" s="1166"/>
      <c r="BU18" s="1166"/>
      <c r="BV18" s="1166"/>
      <c r="BW18" s="1166"/>
      <c r="BX18" s="1166"/>
      <c r="BY18" s="1166"/>
      <c r="BZ18" s="1166"/>
      <c r="CA18" s="1166"/>
      <c r="CB18" s="1166"/>
      <c r="CC18" s="1166"/>
      <c r="CD18" s="1166"/>
      <c r="CE18" s="1166"/>
      <c r="CF18" s="1166"/>
      <c r="CG18" s="1166"/>
      <c r="CH18" s="1166"/>
      <c r="CI18" s="1166"/>
      <c r="CJ18" s="1166"/>
      <c r="CK18" s="1166"/>
      <c r="CL18" s="1166"/>
      <c r="CM18" s="1166"/>
      <c r="CN18" s="1166"/>
      <c r="CO18" s="1166"/>
      <c r="CP18" s="1166"/>
      <c r="CQ18" s="1166"/>
      <c r="CR18" s="1166"/>
      <c r="CS18" s="1166"/>
      <c r="CT18" s="1166"/>
      <c r="CU18" s="1166"/>
      <c r="CV18" s="1166"/>
      <c r="CW18" s="1166"/>
      <c r="CX18" s="1166"/>
      <c r="CY18" s="1166"/>
      <c r="CZ18" s="1166"/>
      <c r="DA18" s="1166"/>
      <c r="DB18" s="1166"/>
      <c r="DC18" s="1166"/>
      <c r="DD18" s="1166"/>
      <c r="DE18" s="1166"/>
      <c r="DF18" s="1166"/>
      <c r="DG18" s="1166"/>
      <c r="DH18" s="1166"/>
      <c r="DI18" s="1166"/>
      <c r="DJ18" s="1166"/>
      <c r="DK18" s="1166"/>
      <c r="DL18" s="1166"/>
      <c r="DM18" s="1166"/>
      <c r="DN18" s="1166"/>
      <c r="DO18" s="1166"/>
      <c r="DP18" s="1166"/>
      <c r="DQ18" s="1166"/>
      <c r="DR18" s="1166"/>
      <c r="DS18" s="1166"/>
      <c r="DT18" s="1166"/>
      <c r="DU18" s="1166"/>
      <c r="DV18" s="1166"/>
      <c r="DW18" s="1166"/>
      <c r="DX18" s="1166"/>
      <c r="DY18" s="1166"/>
      <c r="DZ18" s="1166"/>
      <c r="EA18" s="1166"/>
      <c r="EB18" s="1166"/>
      <c r="EC18" s="1166"/>
      <c r="ED18" s="1166"/>
      <c r="EE18" s="1166"/>
      <c r="EF18" s="1166"/>
      <c r="EG18" s="1166"/>
      <c r="EH18" s="1166"/>
      <c r="EI18" s="1166"/>
      <c r="EJ18" s="1166"/>
      <c r="EK18" s="1166"/>
      <c r="EL18" s="1166"/>
      <c r="EM18" s="1166"/>
      <c r="EN18" s="1166"/>
      <c r="EO18" s="1166"/>
      <c r="EP18" s="1166"/>
      <c r="EQ18" s="1166"/>
      <c r="ER18" s="1166"/>
      <c r="ES18" s="1166"/>
      <c r="ET18" s="1166"/>
      <c r="EU18" s="1166"/>
      <c r="EV18" s="1166"/>
      <c r="EW18" s="1166"/>
      <c r="EX18" s="1166"/>
      <c r="EY18" s="1166"/>
      <c r="EZ18" s="1166"/>
      <c r="FA18" s="1166"/>
      <c r="FB18" s="1166"/>
      <c r="FC18" s="1166"/>
      <c r="FD18" s="1166"/>
      <c r="FE18" s="1166"/>
      <c r="FF18" s="1166"/>
      <c r="FG18" s="1166"/>
      <c r="FH18" s="1166"/>
      <c r="FI18" s="1166"/>
      <c r="FJ18" s="1166"/>
      <c r="FK18" s="1166"/>
      <c r="FL18" s="1166"/>
      <c r="FM18" s="1166"/>
      <c r="FN18" s="1166"/>
      <c r="FO18" s="1166"/>
      <c r="FP18" s="1166"/>
      <c r="FQ18" s="1166"/>
      <c r="FR18" s="1166"/>
      <c r="FS18" s="1166"/>
      <c r="FT18" s="1166"/>
      <c r="FU18" s="1166"/>
      <c r="FV18" s="1166"/>
      <c r="FW18" s="1166"/>
      <c r="FX18" s="1166"/>
      <c r="FY18" s="1166"/>
      <c r="FZ18" s="1166"/>
      <c r="GA18" s="1166"/>
      <c r="GB18" s="1166"/>
      <c r="GC18" s="1166"/>
      <c r="GD18" s="1166"/>
      <c r="GE18" s="1166"/>
      <c r="GF18" s="1166"/>
      <c r="GG18" s="1166"/>
      <c r="GH18" s="1166"/>
      <c r="GI18" s="1166"/>
      <c r="GJ18" s="1166"/>
      <c r="GK18" s="1166"/>
      <c r="GL18" s="1166"/>
      <c r="GM18" s="1166"/>
      <c r="GN18" s="1166"/>
      <c r="GO18" s="1166"/>
      <c r="GP18" s="1166"/>
      <c r="GQ18" s="1166"/>
      <c r="GR18" s="1166"/>
      <c r="GS18" s="1166"/>
      <c r="GT18" s="1166"/>
      <c r="GU18" s="1166"/>
      <c r="GV18" s="1166"/>
      <c r="GW18" s="1166"/>
      <c r="GX18" s="1166"/>
      <c r="GY18" s="1166"/>
      <c r="GZ18" s="1166"/>
      <c r="HA18" s="1166"/>
      <c r="HB18" s="1166"/>
      <c r="HC18" s="1166"/>
      <c r="HD18" s="1166"/>
      <c r="HE18" s="1166"/>
      <c r="HF18" s="1166"/>
      <c r="HG18" s="1166"/>
      <c r="HH18" s="1166"/>
      <c r="HI18" s="1166"/>
      <c r="HJ18" s="1166"/>
      <c r="HK18" s="1166"/>
      <c r="HL18" s="1166"/>
      <c r="HM18" s="1166"/>
      <c r="HN18" s="1166"/>
      <c r="HO18" s="1166"/>
      <c r="HP18" s="1166"/>
      <c r="HQ18" s="1166"/>
      <c r="HR18" s="1166"/>
      <c r="HS18" s="1166"/>
      <c r="HT18" s="1166"/>
      <c r="HU18" s="1166"/>
      <c r="HV18" s="1166"/>
      <c r="HW18" s="1166"/>
      <c r="HX18" s="1166"/>
      <c r="HY18" s="1166"/>
      <c r="HZ18" s="1166"/>
      <c r="IA18" s="1166"/>
      <c r="IB18" s="1166"/>
      <c r="IC18" s="1166"/>
      <c r="ID18" s="1166"/>
      <c r="IE18" s="1166"/>
      <c r="IF18" s="1166"/>
      <c r="IG18" s="1166"/>
      <c r="IH18" s="1166"/>
      <c r="II18" s="1166"/>
      <c r="IJ18" s="1166"/>
      <c r="IK18" s="1166"/>
      <c r="IL18" s="1166"/>
      <c r="IM18" s="1166"/>
      <c r="IN18" s="1166"/>
      <c r="IO18" s="1166"/>
      <c r="IP18" s="1166"/>
      <c r="IQ18" s="1166"/>
      <c r="IR18" s="1166"/>
      <c r="IS18" s="1166"/>
      <c r="IT18" s="1166"/>
      <c r="IU18" s="1166"/>
      <c r="IV18" s="1166"/>
    </row>
    <row r="19" spans="1:256" s="1464" customFormat="1" ht="18" customHeight="1" x14ac:dyDescent="0.35">
      <c r="A19" s="1452">
        <v>10</v>
      </c>
      <c r="B19" s="1465"/>
      <c r="C19" s="1187"/>
      <c r="D19" s="1484" t="s">
        <v>245</v>
      </c>
      <c r="E19" s="1468"/>
      <c r="F19" s="1490"/>
      <c r="G19" s="1478"/>
      <c r="H19" s="1479"/>
      <c r="I19" s="1569"/>
      <c r="J19" s="1489"/>
      <c r="K19" s="1488"/>
      <c r="L19" s="1488"/>
      <c r="M19" s="1488"/>
      <c r="N19" s="1488"/>
      <c r="O19" s="1581">
        <f>SUM(I19:N19)</f>
        <v>0</v>
      </c>
      <c r="P19" s="1475"/>
      <c r="Q19" s="1166"/>
      <c r="R19" s="1166"/>
      <c r="S19" s="1166"/>
      <c r="T19" s="1166"/>
      <c r="U19" s="1166"/>
      <c r="V19" s="1166"/>
      <c r="W19" s="1166"/>
      <c r="X19" s="1166"/>
      <c r="Y19" s="1166"/>
      <c r="Z19" s="1166"/>
      <c r="AA19" s="1166"/>
      <c r="AB19" s="1166"/>
      <c r="AC19" s="1166"/>
      <c r="AD19" s="1166"/>
      <c r="AE19" s="1166"/>
      <c r="AF19" s="1166"/>
      <c r="AG19" s="1166"/>
      <c r="AH19" s="1166"/>
      <c r="AI19" s="1166"/>
      <c r="AJ19" s="1166"/>
      <c r="AK19" s="1166"/>
      <c r="AL19" s="1166"/>
      <c r="AM19" s="1166"/>
      <c r="AN19" s="1166"/>
      <c r="AO19" s="1166"/>
      <c r="AP19" s="1166"/>
      <c r="AQ19" s="1166"/>
      <c r="AR19" s="1166"/>
      <c r="AS19" s="1166"/>
      <c r="AT19" s="1166"/>
      <c r="AU19" s="1166"/>
      <c r="AV19" s="1166"/>
      <c r="AW19" s="1166"/>
      <c r="AX19" s="1166"/>
      <c r="AY19" s="1166"/>
      <c r="AZ19" s="1166"/>
      <c r="BA19" s="1166"/>
      <c r="BB19" s="1166"/>
      <c r="BC19" s="1166"/>
      <c r="BD19" s="1166"/>
      <c r="BE19" s="1166"/>
      <c r="BF19" s="1166"/>
      <c r="BG19" s="1166"/>
      <c r="BH19" s="1166"/>
      <c r="BI19" s="1166"/>
      <c r="BJ19" s="1166"/>
      <c r="BK19" s="1166"/>
      <c r="BL19" s="1166"/>
      <c r="BM19" s="1166"/>
      <c r="BN19" s="1166"/>
      <c r="BO19" s="1166"/>
      <c r="BP19" s="1166"/>
      <c r="BQ19" s="1166"/>
      <c r="BR19" s="1166"/>
      <c r="BS19" s="1166"/>
      <c r="BT19" s="1166"/>
      <c r="BU19" s="1166"/>
      <c r="BV19" s="1166"/>
      <c r="BW19" s="1166"/>
      <c r="BX19" s="1166"/>
      <c r="BY19" s="1166"/>
      <c r="BZ19" s="1166"/>
      <c r="CA19" s="1166"/>
      <c r="CB19" s="1166"/>
      <c r="CC19" s="1166"/>
      <c r="CD19" s="1166"/>
      <c r="CE19" s="1166"/>
      <c r="CF19" s="1166"/>
      <c r="CG19" s="1166"/>
      <c r="CH19" s="1166"/>
      <c r="CI19" s="1166"/>
      <c r="CJ19" s="1166"/>
      <c r="CK19" s="1166"/>
      <c r="CL19" s="1166"/>
      <c r="CM19" s="1166"/>
      <c r="CN19" s="1166"/>
      <c r="CO19" s="1166"/>
      <c r="CP19" s="1166"/>
      <c r="CQ19" s="1166"/>
      <c r="CR19" s="1166"/>
      <c r="CS19" s="1166"/>
      <c r="CT19" s="1166"/>
      <c r="CU19" s="1166"/>
      <c r="CV19" s="1166"/>
      <c r="CW19" s="1166"/>
      <c r="CX19" s="1166"/>
      <c r="CY19" s="1166"/>
      <c r="CZ19" s="1166"/>
      <c r="DA19" s="1166"/>
      <c r="DB19" s="1166"/>
      <c r="DC19" s="1166"/>
      <c r="DD19" s="1166"/>
      <c r="DE19" s="1166"/>
      <c r="DF19" s="1166"/>
      <c r="DG19" s="1166"/>
      <c r="DH19" s="1166"/>
      <c r="DI19" s="1166"/>
      <c r="DJ19" s="1166"/>
      <c r="DK19" s="1166"/>
      <c r="DL19" s="1166"/>
      <c r="DM19" s="1166"/>
      <c r="DN19" s="1166"/>
      <c r="DO19" s="1166"/>
      <c r="DP19" s="1166"/>
      <c r="DQ19" s="1166"/>
      <c r="DR19" s="1166"/>
      <c r="DS19" s="1166"/>
      <c r="DT19" s="1166"/>
      <c r="DU19" s="1166"/>
      <c r="DV19" s="1166"/>
      <c r="DW19" s="1166"/>
      <c r="DX19" s="1166"/>
      <c r="DY19" s="1166"/>
      <c r="DZ19" s="1166"/>
      <c r="EA19" s="1166"/>
      <c r="EB19" s="1166"/>
      <c r="EC19" s="1166"/>
      <c r="ED19" s="1166"/>
      <c r="EE19" s="1166"/>
      <c r="EF19" s="1166"/>
      <c r="EG19" s="1166"/>
      <c r="EH19" s="1166"/>
      <c r="EI19" s="1166"/>
      <c r="EJ19" s="1166"/>
      <c r="EK19" s="1166"/>
      <c r="EL19" s="1166"/>
      <c r="EM19" s="1166"/>
      <c r="EN19" s="1166"/>
      <c r="EO19" s="1166"/>
      <c r="EP19" s="1166"/>
      <c r="EQ19" s="1166"/>
      <c r="ER19" s="1166"/>
      <c r="ES19" s="1166"/>
      <c r="ET19" s="1166"/>
      <c r="EU19" s="1166"/>
      <c r="EV19" s="1166"/>
      <c r="EW19" s="1166"/>
      <c r="EX19" s="1166"/>
      <c r="EY19" s="1166"/>
      <c r="EZ19" s="1166"/>
      <c r="FA19" s="1166"/>
      <c r="FB19" s="1166"/>
      <c r="FC19" s="1166"/>
      <c r="FD19" s="1166"/>
      <c r="FE19" s="1166"/>
      <c r="FF19" s="1166"/>
      <c r="FG19" s="1166"/>
      <c r="FH19" s="1166"/>
      <c r="FI19" s="1166"/>
      <c r="FJ19" s="1166"/>
      <c r="FK19" s="1166"/>
      <c r="FL19" s="1166"/>
      <c r="FM19" s="1166"/>
      <c r="FN19" s="1166"/>
      <c r="FO19" s="1166"/>
      <c r="FP19" s="1166"/>
      <c r="FQ19" s="1166"/>
      <c r="FR19" s="1166"/>
      <c r="FS19" s="1166"/>
      <c r="FT19" s="1166"/>
      <c r="FU19" s="1166"/>
      <c r="FV19" s="1166"/>
      <c r="FW19" s="1166"/>
      <c r="FX19" s="1166"/>
      <c r="FY19" s="1166"/>
      <c r="FZ19" s="1166"/>
      <c r="GA19" s="1166"/>
      <c r="GB19" s="1166"/>
      <c r="GC19" s="1166"/>
      <c r="GD19" s="1166"/>
      <c r="GE19" s="1166"/>
      <c r="GF19" s="1166"/>
      <c r="GG19" s="1166"/>
      <c r="GH19" s="1166"/>
      <c r="GI19" s="1166"/>
      <c r="GJ19" s="1166"/>
      <c r="GK19" s="1166"/>
      <c r="GL19" s="1166"/>
      <c r="GM19" s="1166"/>
      <c r="GN19" s="1166"/>
      <c r="GO19" s="1166"/>
      <c r="GP19" s="1166"/>
      <c r="GQ19" s="1166"/>
      <c r="GR19" s="1166"/>
      <c r="GS19" s="1166"/>
      <c r="GT19" s="1166"/>
      <c r="GU19" s="1166"/>
      <c r="GV19" s="1166"/>
      <c r="GW19" s="1166"/>
      <c r="GX19" s="1166"/>
      <c r="GY19" s="1166"/>
      <c r="GZ19" s="1166"/>
      <c r="HA19" s="1166"/>
      <c r="HB19" s="1166"/>
      <c r="HC19" s="1166"/>
      <c r="HD19" s="1166"/>
      <c r="HE19" s="1166"/>
      <c r="HF19" s="1166"/>
      <c r="HG19" s="1166"/>
      <c r="HH19" s="1166"/>
      <c r="HI19" s="1166"/>
      <c r="HJ19" s="1166"/>
      <c r="HK19" s="1166"/>
      <c r="HL19" s="1166"/>
      <c r="HM19" s="1166"/>
      <c r="HN19" s="1166"/>
      <c r="HO19" s="1166"/>
      <c r="HP19" s="1166"/>
      <c r="HQ19" s="1166"/>
      <c r="HR19" s="1166"/>
      <c r="HS19" s="1166"/>
      <c r="HT19" s="1166"/>
      <c r="HU19" s="1166"/>
      <c r="HV19" s="1166"/>
      <c r="HW19" s="1166"/>
      <c r="HX19" s="1166"/>
      <c r="HY19" s="1166"/>
      <c r="HZ19" s="1166"/>
      <c r="IA19" s="1166"/>
      <c r="IB19" s="1166"/>
      <c r="IC19" s="1166"/>
      <c r="ID19" s="1166"/>
      <c r="IE19" s="1166"/>
      <c r="IF19" s="1166"/>
      <c r="IG19" s="1166"/>
      <c r="IH19" s="1166"/>
      <c r="II19" s="1166"/>
      <c r="IJ19" s="1166"/>
      <c r="IK19" s="1166"/>
      <c r="IL19" s="1166"/>
      <c r="IM19" s="1166"/>
      <c r="IN19" s="1166"/>
      <c r="IO19" s="1166"/>
      <c r="IP19" s="1166"/>
      <c r="IQ19" s="1166"/>
      <c r="IR19" s="1166"/>
      <c r="IS19" s="1166"/>
      <c r="IT19" s="1166"/>
      <c r="IU19" s="1166"/>
      <c r="IV19" s="1166"/>
    </row>
    <row r="20" spans="1:256" s="1464" customFormat="1" ht="18" customHeight="1" x14ac:dyDescent="0.35">
      <c r="A20" s="1452">
        <v>11</v>
      </c>
      <c r="B20" s="1465"/>
      <c r="C20" s="1187"/>
      <c r="D20" s="1481" t="s">
        <v>233</v>
      </c>
      <c r="E20" s="1468"/>
      <c r="F20" s="1490"/>
      <c r="G20" s="1478"/>
      <c r="H20" s="1479"/>
      <c r="I20" s="1569"/>
      <c r="J20" s="1489"/>
      <c r="K20" s="1491">
        <f>SUM(K18:K19)</f>
        <v>5270</v>
      </c>
      <c r="L20" s="1488"/>
      <c r="M20" s="1488"/>
      <c r="N20" s="1488"/>
      <c r="O20" s="1222">
        <f>SUM(I20:N20)</f>
        <v>5270</v>
      </c>
      <c r="P20" s="1475"/>
      <c r="Q20" s="1166"/>
      <c r="R20" s="1166"/>
      <c r="S20" s="1166"/>
      <c r="T20" s="1166"/>
      <c r="U20" s="1166"/>
      <c r="V20" s="1166"/>
      <c r="W20" s="1166"/>
      <c r="X20" s="1166"/>
      <c r="Y20" s="1166"/>
      <c r="Z20" s="1166"/>
      <c r="AA20" s="1166"/>
      <c r="AB20" s="1166"/>
      <c r="AC20" s="1166"/>
      <c r="AD20" s="1166"/>
      <c r="AE20" s="1166"/>
      <c r="AF20" s="1166"/>
      <c r="AG20" s="1166"/>
      <c r="AH20" s="1166"/>
      <c r="AI20" s="1166"/>
      <c r="AJ20" s="1166"/>
      <c r="AK20" s="1166"/>
      <c r="AL20" s="1166"/>
      <c r="AM20" s="1166"/>
      <c r="AN20" s="1166"/>
      <c r="AO20" s="1166"/>
      <c r="AP20" s="1166"/>
      <c r="AQ20" s="1166"/>
      <c r="AR20" s="1166"/>
      <c r="AS20" s="1166"/>
      <c r="AT20" s="1166"/>
      <c r="AU20" s="1166"/>
      <c r="AV20" s="1166"/>
      <c r="AW20" s="1166"/>
      <c r="AX20" s="1166"/>
      <c r="AY20" s="1166"/>
      <c r="AZ20" s="1166"/>
      <c r="BA20" s="1166"/>
      <c r="BB20" s="1166"/>
      <c r="BC20" s="1166"/>
      <c r="BD20" s="1166"/>
      <c r="BE20" s="1166"/>
      <c r="BF20" s="1166"/>
      <c r="BG20" s="1166"/>
      <c r="BH20" s="1166"/>
      <c r="BI20" s="1166"/>
      <c r="BJ20" s="1166"/>
      <c r="BK20" s="1166"/>
      <c r="BL20" s="1166"/>
      <c r="BM20" s="1166"/>
      <c r="BN20" s="1166"/>
      <c r="BO20" s="1166"/>
      <c r="BP20" s="1166"/>
      <c r="BQ20" s="1166"/>
      <c r="BR20" s="1166"/>
      <c r="BS20" s="1166"/>
      <c r="BT20" s="1166"/>
      <c r="BU20" s="1166"/>
      <c r="BV20" s="1166"/>
      <c r="BW20" s="1166"/>
      <c r="BX20" s="1166"/>
      <c r="BY20" s="1166"/>
      <c r="BZ20" s="1166"/>
      <c r="CA20" s="1166"/>
      <c r="CB20" s="1166"/>
      <c r="CC20" s="1166"/>
      <c r="CD20" s="1166"/>
      <c r="CE20" s="1166"/>
      <c r="CF20" s="1166"/>
      <c r="CG20" s="1166"/>
      <c r="CH20" s="1166"/>
      <c r="CI20" s="1166"/>
      <c r="CJ20" s="1166"/>
      <c r="CK20" s="1166"/>
      <c r="CL20" s="1166"/>
      <c r="CM20" s="1166"/>
      <c r="CN20" s="1166"/>
      <c r="CO20" s="1166"/>
      <c r="CP20" s="1166"/>
      <c r="CQ20" s="1166"/>
      <c r="CR20" s="1166"/>
      <c r="CS20" s="1166"/>
      <c r="CT20" s="1166"/>
      <c r="CU20" s="1166"/>
      <c r="CV20" s="1166"/>
      <c r="CW20" s="1166"/>
      <c r="CX20" s="1166"/>
      <c r="CY20" s="1166"/>
      <c r="CZ20" s="1166"/>
      <c r="DA20" s="1166"/>
      <c r="DB20" s="1166"/>
      <c r="DC20" s="1166"/>
      <c r="DD20" s="1166"/>
      <c r="DE20" s="1166"/>
      <c r="DF20" s="1166"/>
      <c r="DG20" s="1166"/>
      <c r="DH20" s="1166"/>
      <c r="DI20" s="1166"/>
      <c r="DJ20" s="1166"/>
      <c r="DK20" s="1166"/>
      <c r="DL20" s="1166"/>
      <c r="DM20" s="1166"/>
      <c r="DN20" s="1166"/>
      <c r="DO20" s="1166"/>
      <c r="DP20" s="1166"/>
      <c r="DQ20" s="1166"/>
      <c r="DR20" s="1166"/>
      <c r="DS20" s="1166"/>
      <c r="DT20" s="1166"/>
      <c r="DU20" s="1166"/>
      <c r="DV20" s="1166"/>
      <c r="DW20" s="1166"/>
      <c r="DX20" s="1166"/>
      <c r="DY20" s="1166"/>
      <c r="DZ20" s="1166"/>
      <c r="EA20" s="1166"/>
      <c r="EB20" s="1166"/>
      <c r="EC20" s="1166"/>
      <c r="ED20" s="1166"/>
      <c r="EE20" s="1166"/>
      <c r="EF20" s="1166"/>
      <c r="EG20" s="1166"/>
      <c r="EH20" s="1166"/>
      <c r="EI20" s="1166"/>
      <c r="EJ20" s="1166"/>
      <c r="EK20" s="1166"/>
      <c r="EL20" s="1166"/>
      <c r="EM20" s="1166"/>
      <c r="EN20" s="1166"/>
      <c r="EO20" s="1166"/>
      <c r="EP20" s="1166"/>
      <c r="EQ20" s="1166"/>
      <c r="ER20" s="1166"/>
      <c r="ES20" s="1166"/>
      <c r="ET20" s="1166"/>
      <c r="EU20" s="1166"/>
      <c r="EV20" s="1166"/>
      <c r="EW20" s="1166"/>
      <c r="EX20" s="1166"/>
      <c r="EY20" s="1166"/>
      <c r="EZ20" s="1166"/>
      <c r="FA20" s="1166"/>
      <c r="FB20" s="1166"/>
      <c r="FC20" s="1166"/>
      <c r="FD20" s="1166"/>
      <c r="FE20" s="1166"/>
      <c r="FF20" s="1166"/>
      <c r="FG20" s="1166"/>
      <c r="FH20" s="1166"/>
      <c r="FI20" s="1166"/>
      <c r="FJ20" s="1166"/>
      <c r="FK20" s="1166"/>
      <c r="FL20" s="1166"/>
      <c r="FM20" s="1166"/>
      <c r="FN20" s="1166"/>
      <c r="FO20" s="1166"/>
      <c r="FP20" s="1166"/>
      <c r="FQ20" s="1166"/>
      <c r="FR20" s="1166"/>
      <c r="FS20" s="1166"/>
      <c r="FT20" s="1166"/>
      <c r="FU20" s="1166"/>
      <c r="FV20" s="1166"/>
      <c r="FW20" s="1166"/>
      <c r="FX20" s="1166"/>
      <c r="FY20" s="1166"/>
      <c r="FZ20" s="1166"/>
      <c r="GA20" s="1166"/>
      <c r="GB20" s="1166"/>
      <c r="GC20" s="1166"/>
      <c r="GD20" s="1166"/>
      <c r="GE20" s="1166"/>
      <c r="GF20" s="1166"/>
      <c r="GG20" s="1166"/>
      <c r="GH20" s="1166"/>
      <c r="GI20" s="1166"/>
      <c r="GJ20" s="1166"/>
      <c r="GK20" s="1166"/>
      <c r="GL20" s="1166"/>
      <c r="GM20" s="1166"/>
      <c r="GN20" s="1166"/>
      <c r="GO20" s="1166"/>
      <c r="GP20" s="1166"/>
      <c r="GQ20" s="1166"/>
      <c r="GR20" s="1166"/>
      <c r="GS20" s="1166"/>
      <c r="GT20" s="1166"/>
      <c r="GU20" s="1166"/>
      <c r="GV20" s="1166"/>
      <c r="GW20" s="1166"/>
      <c r="GX20" s="1166"/>
      <c r="GY20" s="1166"/>
      <c r="GZ20" s="1166"/>
      <c r="HA20" s="1166"/>
      <c r="HB20" s="1166"/>
      <c r="HC20" s="1166"/>
      <c r="HD20" s="1166"/>
      <c r="HE20" s="1166"/>
      <c r="HF20" s="1166"/>
      <c r="HG20" s="1166"/>
      <c r="HH20" s="1166"/>
      <c r="HI20" s="1166"/>
      <c r="HJ20" s="1166"/>
      <c r="HK20" s="1166"/>
      <c r="HL20" s="1166"/>
      <c r="HM20" s="1166"/>
      <c r="HN20" s="1166"/>
      <c r="HO20" s="1166"/>
      <c r="HP20" s="1166"/>
      <c r="HQ20" s="1166"/>
      <c r="HR20" s="1166"/>
      <c r="HS20" s="1166"/>
      <c r="HT20" s="1166"/>
      <c r="HU20" s="1166"/>
      <c r="HV20" s="1166"/>
      <c r="HW20" s="1166"/>
      <c r="HX20" s="1166"/>
      <c r="HY20" s="1166"/>
      <c r="HZ20" s="1166"/>
      <c r="IA20" s="1166"/>
      <c r="IB20" s="1166"/>
      <c r="IC20" s="1166"/>
      <c r="ID20" s="1166"/>
      <c r="IE20" s="1166"/>
      <c r="IF20" s="1166"/>
      <c r="IG20" s="1166"/>
      <c r="IH20" s="1166"/>
      <c r="II20" s="1166"/>
      <c r="IJ20" s="1166"/>
      <c r="IK20" s="1166"/>
      <c r="IL20" s="1166"/>
      <c r="IM20" s="1166"/>
      <c r="IN20" s="1166"/>
      <c r="IO20" s="1166"/>
      <c r="IP20" s="1166"/>
      <c r="IQ20" s="1166"/>
      <c r="IR20" s="1166"/>
      <c r="IS20" s="1166"/>
      <c r="IT20" s="1166"/>
      <c r="IU20" s="1166"/>
      <c r="IV20" s="1166"/>
    </row>
    <row r="21" spans="1:256" s="1464" customFormat="1" ht="37.5" customHeight="1" x14ac:dyDescent="0.35">
      <c r="A21" s="1452">
        <v>12</v>
      </c>
      <c r="B21" s="1465"/>
      <c r="C21" s="1584">
        <v>8</v>
      </c>
      <c r="D21" s="1585" t="s">
        <v>989</v>
      </c>
      <c r="E21" s="1468">
        <f>F21+G21+O25+P22</f>
        <v>5631126</v>
      </c>
      <c r="F21" s="1490">
        <f>22482+1024536</f>
        <v>1047018</v>
      </c>
      <c r="G21" s="1478">
        <v>3172042</v>
      </c>
      <c r="H21" s="1479" t="s">
        <v>296</v>
      </c>
      <c r="I21" s="1569"/>
      <c r="J21" s="1489"/>
      <c r="K21" s="1488"/>
      <c r="L21" s="1488"/>
      <c r="M21" s="1488"/>
      <c r="N21" s="1488"/>
      <c r="O21" s="1480"/>
      <c r="P21" s="1475"/>
      <c r="Q21" s="1166"/>
      <c r="R21" s="1166"/>
      <c r="S21" s="1166"/>
      <c r="T21" s="1166"/>
      <c r="U21" s="1166"/>
      <c r="V21" s="1166"/>
      <c r="W21" s="1166"/>
      <c r="X21" s="1166"/>
      <c r="Y21" s="1166"/>
      <c r="Z21" s="1166"/>
      <c r="AA21" s="1166"/>
      <c r="AB21" s="1166"/>
      <c r="AC21" s="1166"/>
      <c r="AD21" s="1166"/>
      <c r="AE21" s="1166"/>
      <c r="AF21" s="1166"/>
      <c r="AG21" s="1166"/>
      <c r="AH21" s="1166"/>
      <c r="AI21" s="1166"/>
      <c r="AJ21" s="1166"/>
      <c r="AK21" s="1166"/>
      <c r="AL21" s="1166"/>
      <c r="AM21" s="1166"/>
      <c r="AN21" s="1166"/>
      <c r="AO21" s="1166"/>
      <c r="AP21" s="1166"/>
      <c r="AQ21" s="1166"/>
      <c r="AR21" s="1166"/>
      <c r="AS21" s="1166"/>
      <c r="AT21" s="1166"/>
      <c r="AU21" s="1166"/>
      <c r="AV21" s="1166"/>
      <c r="AW21" s="1166"/>
      <c r="AX21" s="1166"/>
      <c r="AY21" s="1166"/>
      <c r="AZ21" s="1166"/>
      <c r="BA21" s="1166"/>
      <c r="BB21" s="1166"/>
      <c r="BC21" s="1166"/>
      <c r="BD21" s="1166"/>
      <c r="BE21" s="1166"/>
      <c r="BF21" s="1166"/>
      <c r="BG21" s="1166"/>
      <c r="BH21" s="1166"/>
      <c r="BI21" s="1166"/>
      <c r="BJ21" s="1166"/>
      <c r="BK21" s="1166"/>
      <c r="BL21" s="1166"/>
      <c r="BM21" s="1166"/>
      <c r="BN21" s="1166"/>
      <c r="BO21" s="1166"/>
      <c r="BP21" s="1166"/>
      <c r="BQ21" s="1166"/>
      <c r="BR21" s="1166"/>
      <c r="BS21" s="1166"/>
      <c r="BT21" s="1166"/>
      <c r="BU21" s="1166"/>
      <c r="BV21" s="1166"/>
      <c r="BW21" s="1166"/>
      <c r="BX21" s="1166"/>
      <c r="BY21" s="1166"/>
      <c r="BZ21" s="1166"/>
      <c r="CA21" s="1166"/>
      <c r="CB21" s="1166"/>
      <c r="CC21" s="1166"/>
      <c r="CD21" s="1166"/>
      <c r="CE21" s="1166"/>
      <c r="CF21" s="1166"/>
      <c r="CG21" s="1166"/>
      <c r="CH21" s="1166"/>
      <c r="CI21" s="1166"/>
      <c r="CJ21" s="1166"/>
      <c r="CK21" s="1166"/>
      <c r="CL21" s="1166"/>
      <c r="CM21" s="1166"/>
      <c r="CN21" s="1166"/>
      <c r="CO21" s="1166"/>
      <c r="CP21" s="1166"/>
      <c r="CQ21" s="1166"/>
      <c r="CR21" s="1166"/>
      <c r="CS21" s="1166"/>
      <c r="CT21" s="1166"/>
      <c r="CU21" s="1166"/>
      <c r="CV21" s="1166"/>
      <c r="CW21" s="1166"/>
      <c r="CX21" s="1166"/>
      <c r="CY21" s="1166"/>
      <c r="CZ21" s="1166"/>
      <c r="DA21" s="1166"/>
      <c r="DB21" s="1166"/>
      <c r="DC21" s="1166"/>
      <c r="DD21" s="1166"/>
      <c r="DE21" s="1166"/>
      <c r="DF21" s="1166"/>
      <c r="DG21" s="1166"/>
      <c r="DH21" s="1166"/>
      <c r="DI21" s="1166"/>
      <c r="DJ21" s="1166"/>
      <c r="DK21" s="1166"/>
      <c r="DL21" s="1166"/>
      <c r="DM21" s="1166"/>
      <c r="DN21" s="1166"/>
      <c r="DO21" s="1166"/>
      <c r="DP21" s="1166"/>
      <c r="DQ21" s="1166"/>
      <c r="DR21" s="1166"/>
      <c r="DS21" s="1166"/>
      <c r="DT21" s="1166"/>
      <c r="DU21" s="1166"/>
      <c r="DV21" s="1166"/>
      <c r="DW21" s="1166"/>
      <c r="DX21" s="1166"/>
      <c r="DY21" s="1166"/>
      <c r="DZ21" s="1166"/>
      <c r="EA21" s="1166"/>
      <c r="EB21" s="1166"/>
      <c r="EC21" s="1166"/>
      <c r="ED21" s="1166"/>
      <c r="EE21" s="1166"/>
      <c r="EF21" s="1166"/>
      <c r="EG21" s="1166"/>
      <c r="EH21" s="1166"/>
      <c r="EI21" s="1166"/>
      <c r="EJ21" s="1166"/>
      <c r="EK21" s="1166"/>
      <c r="EL21" s="1166"/>
      <c r="EM21" s="1166"/>
      <c r="EN21" s="1166"/>
      <c r="EO21" s="1166"/>
      <c r="EP21" s="1166"/>
      <c r="EQ21" s="1166"/>
      <c r="ER21" s="1166"/>
      <c r="ES21" s="1166"/>
      <c r="ET21" s="1166"/>
      <c r="EU21" s="1166"/>
      <c r="EV21" s="1166"/>
      <c r="EW21" s="1166"/>
      <c r="EX21" s="1166"/>
      <c r="EY21" s="1166"/>
      <c r="EZ21" s="1166"/>
      <c r="FA21" s="1166"/>
      <c r="FB21" s="1166"/>
      <c r="FC21" s="1166"/>
      <c r="FD21" s="1166"/>
      <c r="FE21" s="1166"/>
      <c r="FF21" s="1166"/>
      <c r="FG21" s="1166"/>
      <c r="FH21" s="1166"/>
      <c r="FI21" s="1166"/>
      <c r="FJ21" s="1166"/>
      <c r="FK21" s="1166"/>
      <c r="FL21" s="1166"/>
      <c r="FM21" s="1166"/>
      <c r="FN21" s="1166"/>
      <c r="FO21" s="1166"/>
      <c r="FP21" s="1166"/>
      <c r="FQ21" s="1166"/>
      <c r="FR21" s="1166"/>
      <c r="FS21" s="1166"/>
      <c r="FT21" s="1166"/>
      <c r="FU21" s="1166"/>
      <c r="FV21" s="1166"/>
      <c r="FW21" s="1166"/>
      <c r="FX21" s="1166"/>
      <c r="FY21" s="1166"/>
      <c r="FZ21" s="1166"/>
      <c r="GA21" s="1166"/>
      <c r="GB21" s="1166"/>
      <c r="GC21" s="1166"/>
      <c r="GD21" s="1166"/>
      <c r="GE21" s="1166"/>
      <c r="GF21" s="1166"/>
      <c r="GG21" s="1166"/>
      <c r="GH21" s="1166"/>
      <c r="GI21" s="1166"/>
      <c r="GJ21" s="1166"/>
      <c r="GK21" s="1166"/>
      <c r="GL21" s="1166"/>
      <c r="GM21" s="1166"/>
      <c r="GN21" s="1166"/>
      <c r="GO21" s="1166"/>
      <c r="GP21" s="1166"/>
      <c r="GQ21" s="1166"/>
      <c r="GR21" s="1166"/>
      <c r="GS21" s="1166"/>
      <c r="GT21" s="1166"/>
      <c r="GU21" s="1166"/>
      <c r="GV21" s="1166"/>
      <c r="GW21" s="1166"/>
      <c r="GX21" s="1166"/>
      <c r="GY21" s="1166"/>
      <c r="GZ21" s="1166"/>
      <c r="HA21" s="1166"/>
      <c r="HB21" s="1166"/>
      <c r="HC21" s="1166"/>
      <c r="HD21" s="1166"/>
      <c r="HE21" s="1166"/>
      <c r="HF21" s="1166"/>
      <c r="HG21" s="1166"/>
      <c r="HH21" s="1166"/>
      <c r="HI21" s="1166"/>
      <c r="HJ21" s="1166"/>
      <c r="HK21" s="1166"/>
      <c r="HL21" s="1166"/>
      <c r="HM21" s="1166"/>
      <c r="HN21" s="1166"/>
      <c r="HO21" s="1166"/>
      <c r="HP21" s="1166"/>
      <c r="HQ21" s="1166"/>
      <c r="HR21" s="1166"/>
      <c r="HS21" s="1166"/>
      <c r="HT21" s="1166"/>
      <c r="HU21" s="1166"/>
      <c r="HV21" s="1166"/>
      <c r="HW21" s="1166"/>
      <c r="HX21" s="1166"/>
      <c r="HY21" s="1166"/>
      <c r="HZ21" s="1166"/>
      <c r="IA21" s="1166"/>
      <c r="IB21" s="1166"/>
      <c r="IC21" s="1166"/>
      <c r="ID21" s="1166"/>
      <c r="IE21" s="1166"/>
      <c r="IF21" s="1166"/>
      <c r="IG21" s="1166"/>
      <c r="IH21" s="1166"/>
      <c r="II21" s="1166"/>
      <c r="IJ21" s="1166"/>
      <c r="IK21" s="1166"/>
      <c r="IL21" s="1166"/>
      <c r="IM21" s="1166"/>
      <c r="IN21" s="1166"/>
      <c r="IO21" s="1166"/>
      <c r="IP21" s="1166"/>
      <c r="IQ21" s="1166"/>
      <c r="IR21" s="1166"/>
      <c r="IS21" s="1166"/>
      <c r="IT21" s="1166"/>
      <c r="IU21" s="1166"/>
      <c r="IV21" s="1166"/>
    </row>
    <row r="22" spans="1:256" s="1464" customFormat="1" ht="18" customHeight="1" x14ac:dyDescent="0.35">
      <c r="A22" s="1452">
        <v>13</v>
      </c>
      <c r="B22" s="1465"/>
      <c r="C22" s="1187"/>
      <c r="D22" s="1477" t="s">
        <v>230</v>
      </c>
      <c r="E22" s="1468"/>
      <c r="F22" s="1490"/>
      <c r="G22" s="1478"/>
      <c r="H22" s="1479"/>
      <c r="I22" s="1569"/>
      <c r="J22" s="1489"/>
      <c r="K22" s="1488">
        <v>32831</v>
      </c>
      <c r="L22" s="1488"/>
      <c r="M22" s="1488">
        <v>1084109</v>
      </c>
      <c r="N22" s="1488"/>
      <c r="O22" s="1480">
        <f>SUM(I22:N22)</f>
        <v>1116940</v>
      </c>
      <c r="P22" s="1475"/>
      <c r="Q22" s="1166"/>
      <c r="R22" s="1166"/>
      <c r="S22" s="1166"/>
      <c r="T22" s="1166"/>
      <c r="U22" s="1166"/>
      <c r="V22" s="1166"/>
      <c r="W22" s="1166"/>
      <c r="X22" s="1166"/>
      <c r="Y22" s="1166"/>
      <c r="Z22" s="1166"/>
      <c r="AA22" s="1166"/>
      <c r="AB22" s="1166"/>
      <c r="AC22" s="1166"/>
      <c r="AD22" s="1166"/>
      <c r="AE22" s="1166"/>
      <c r="AF22" s="1166"/>
      <c r="AG22" s="1166"/>
      <c r="AH22" s="1166"/>
      <c r="AI22" s="1166"/>
      <c r="AJ22" s="1166"/>
      <c r="AK22" s="1166"/>
      <c r="AL22" s="1166"/>
      <c r="AM22" s="1166"/>
      <c r="AN22" s="1166"/>
      <c r="AO22" s="1166"/>
      <c r="AP22" s="1166"/>
      <c r="AQ22" s="1166"/>
      <c r="AR22" s="1166"/>
      <c r="AS22" s="1166"/>
      <c r="AT22" s="1166"/>
      <c r="AU22" s="1166"/>
      <c r="AV22" s="1166"/>
      <c r="AW22" s="1166"/>
      <c r="AX22" s="1166"/>
      <c r="AY22" s="1166"/>
      <c r="AZ22" s="1166"/>
      <c r="BA22" s="1166"/>
      <c r="BB22" s="1166"/>
      <c r="BC22" s="1166"/>
      <c r="BD22" s="1166"/>
      <c r="BE22" s="1166"/>
      <c r="BF22" s="1166"/>
      <c r="BG22" s="1166"/>
      <c r="BH22" s="1166"/>
      <c r="BI22" s="1166"/>
      <c r="BJ22" s="1166"/>
      <c r="BK22" s="1166"/>
      <c r="BL22" s="1166"/>
      <c r="BM22" s="1166"/>
      <c r="BN22" s="1166"/>
      <c r="BO22" s="1166"/>
      <c r="BP22" s="1166"/>
      <c r="BQ22" s="1166"/>
      <c r="BR22" s="1166"/>
      <c r="BS22" s="1166"/>
      <c r="BT22" s="1166"/>
      <c r="BU22" s="1166"/>
      <c r="BV22" s="1166"/>
      <c r="BW22" s="1166"/>
      <c r="BX22" s="1166"/>
      <c r="BY22" s="1166"/>
      <c r="BZ22" s="1166"/>
      <c r="CA22" s="1166"/>
      <c r="CB22" s="1166"/>
      <c r="CC22" s="1166"/>
      <c r="CD22" s="1166"/>
      <c r="CE22" s="1166"/>
      <c r="CF22" s="1166"/>
      <c r="CG22" s="1166"/>
      <c r="CH22" s="1166"/>
      <c r="CI22" s="1166"/>
      <c r="CJ22" s="1166"/>
      <c r="CK22" s="1166"/>
      <c r="CL22" s="1166"/>
      <c r="CM22" s="1166"/>
      <c r="CN22" s="1166"/>
      <c r="CO22" s="1166"/>
      <c r="CP22" s="1166"/>
      <c r="CQ22" s="1166"/>
      <c r="CR22" s="1166"/>
      <c r="CS22" s="1166"/>
      <c r="CT22" s="1166"/>
      <c r="CU22" s="1166"/>
      <c r="CV22" s="1166"/>
      <c r="CW22" s="1166"/>
      <c r="CX22" s="1166"/>
      <c r="CY22" s="1166"/>
      <c r="CZ22" s="1166"/>
      <c r="DA22" s="1166"/>
      <c r="DB22" s="1166"/>
      <c r="DC22" s="1166"/>
      <c r="DD22" s="1166"/>
      <c r="DE22" s="1166"/>
      <c r="DF22" s="1166"/>
      <c r="DG22" s="1166"/>
      <c r="DH22" s="1166"/>
      <c r="DI22" s="1166"/>
      <c r="DJ22" s="1166"/>
      <c r="DK22" s="1166"/>
      <c r="DL22" s="1166"/>
      <c r="DM22" s="1166"/>
      <c r="DN22" s="1166"/>
      <c r="DO22" s="1166"/>
      <c r="DP22" s="1166"/>
      <c r="DQ22" s="1166"/>
      <c r="DR22" s="1166"/>
      <c r="DS22" s="1166"/>
      <c r="DT22" s="1166"/>
      <c r="DU22" s="1166"/>
      <c r="DV22" s="1166"/>
      <c r="DW22" s="1166"/>
      <c r="DX22" s="1166"/>
      <c r="DY22" s="1166"/>
      <c r="DZ22" s="1166"/>
      <c r="EA22" s="1166"/>
      <c r="EB22" s="1166"/>
      <c r="EC22" s="1166"/>
      <c r="ED22" s="1166"/>
      <c r="EE22" s="1166"/>
      <c r="EF22" s="1166"/>
      <c r="EG22" s="1166"/>
      <c r="EH22" s="1166"/>
      <c r="EI22" s="1166"/>
      <c r="EJ22" s="1166"/>
      <c r="EK22" s="1166"/>
      <c r="EL22" s="1166"/>
      <c r="EM22" s="1166"/>
      <c r="EN22" s="1166"/>
      <c r="EO22" s="1166"/>
      <c r="EP22" s="1166"/>
      <c r="EQ22" s="1166"/>
      <c r="ER22" s="1166"/>
      <c r="ES22" s="1166"/>
      <c r="ET22" s="1166"/>
      <c r="EU22" s="1166"/>
      <c r="EV22" s="1166"/>
      <c r="EW22" s="1166"/>
      <c r="EX22" s="1166"/>
      <c r="EY22" s="1166"/>
      <c r="EZ22" s="1166"/>
      <c r="FA22" s="1166"/>
      <c r="FB22" s="1166"/>
      <c r="FC22" s="1166"/>
      <c r="FD22" s="1166"/>
      <c r="FE22" s="1166"/>
      <c r="FF22" s="1166"/>
      <c r="FG22" s="1166"/>
      <c r="FH22" s="1166"/>
      <c r="FI22" s="1166"/>
      <c r="FJ22" s="1166"/>
      <c r="FK22" s="1166"/>
      <c r="FL22" s="1166"/>
      <c r="FM22" s="1166"/>
      <c r="FN22" s="1166"/>
      <c r="FO22" s="1166"/>
      <c r="FP22" s="1166"/>
      <c r="FQ22" s="1166"/>
      <c r="FR22" s="1166"/>
      <c r="FS22" s="1166"/>
      <c r="FT22" s="1166"/>
      <c r="FU22" s="1166"/>
      <c r="FV22" s="1166"/>
      <c r="FW22" s="1166"/>
      <c r="FX22" s="1166"/>
      <c r="FY22" s="1166"/>
      <c r="FZ22" s="1166"/>
      <c r="GA22" s="1166"/>
      <c r="GB22" s="1166"/>
      <c r="GC22" s="1166"/>
      <c r="GD22" s="1166"/>
      <c r="GE22" s="1166"/>
      <c r="GF22" s="1166"/>
      <c r="GG22" s="1166"/>
      <c r="GH22" s="1166"/>
      <c r="GI22" s="1166"/>
      <c r="GJ22" s="1166"/>
      <c r="GK22" s="1166"/>
      <c r="GL22" s="1166"/>
      <c r="GM22" s="1166"/>
      <c r="GN22" s="1166"/>
      <c r="GO22" s="1166"/>
      <c r="GP22" s="1166"/>
      <c r="GQ22" s="1166"/>
      <c r="GR22" s="1166"/>
      <c r="GS22" s="1166"/>
      <c r="GT22" s="1166"/>
      <c r="GU22" s="1166"/>
      <c r="GV22" s="1166"/>
      <c r="GW22" s="1166"/>
      <c r="GX22" s="1166"/>
      <c r="GY22" s="1166"/>
      <c r="GZ22" s="1166"/>
      <c r="HA22" s="1166"/>
      <c r="HB22" s="1166"/>
      <c r="HC22" s="1166"/>
      <c r="HD22" s="1166"/>
      <c r="HE22" s="1166"/>
      <c r="HF22" s="1166"/>
      <c r="HG22" s="1166"/>
      <c r="HH22" s="1166"/>
      <c r="HI22" s="1166"/>
      <c r="HJ22" s="1166"/>
      <c r="HK22" s="1166"/>
      <c r="HL22" s="1166"/>
      <c r="HM22" s="1166"/>
      <c r="HN22" s="1166"/>
      <c r="HO22" s="1166"/>
      <c r="HP22" s="1166"/>
      <c r="HQ22" s="1166"/>
      <c r="HR22" s="1166"/>
      <c r="HS22" s="1166"/>
      <c r="HT22" s="1166"/>
      <c r="HU22" s="1166"/>
      <c r="HV22" s="1166"/>
      <c r="HW22" s="1166"/>
      <c r="HX22" s="1166"/>
      <c r="HY22" s="1166"/>
      <c r="HZ22" s="1166"/>
      <c r="IA22" s="1166"/>
      <c r="IB22" s="1166"/>
      <c r="IC22" s="1166"/>
      <c r="ID22" s="1166"/>
      <c r="IE22" s="1166"/>
      <c r="IF22" s="1166"/>
      <c r="IG22" s="1166"/>
      <c r="IH22" s="1166"/>
      <c r="II22" s="1166"/>
      <c r="IJ22" s="1166"/>
      <c r="IK22" s="1166"/>
      <c r="IL22" s="1166"/>
      <c r="IM22" s="1166"/>
      <c r="IN22" s="1166"/>
      <c r="IO22" s="1166"/>
      <c r="IP22" s="1166"/>
      <c r="IQ22" s="1166"/>
      <c r="IR22" s="1166"/>
      <c r="IS22" s="1166"/>
      <c r="IT22" s="1166"/>
      <c r="IU22" s="1166"/>
      <c r="IV22" s="1166"/>
    </row>
    <row r="23" spans="1:256" s="1464" customFormat="1" ht="18" customHeight="1" x14ac:dyDescent="0.35">
      <c r="A23" s="1452">
        <v>14</v>
      </c>
      <c r="B23" s="1465"/>
      <c r="C23" s="1187"/>
      <c r="D23" s="1481" t="s">
        <v>231</v>
      </c>
      <c r="E23" s="1468"/>
      <c r="F23" s="1490"/>
      <c r="G23" s="1478"/>
      <c r="H23" s="1479"/>
      <c r="I23" s="1582"/>
      <c r="J23" s="1492"/>
      <c r="K23" s="1491">
        <v>9043</v>
      </c>
      <c r="L23" s="1491"/>
      <c r="M23" s="1491">
        <v>1367897</v>
      </c>
      <c r="N23" s="1491"/>
      <c r="O23" s="1222">
        <f>SUM(I23:N23)</f>
        <v>1376940</v>
      </c>
      <c r="P23" s="1475"/>
      <c r="Q23" s="1166"/>
      <c r="R23" s="1166"/>
      <c r="S23" s="1166"/>
      <c r="T23" s="1166"/>
      <c r="U23" s="1166"/>
      <c r="V23" s="1166"/>
      <c r="W23" s="1166"/>
      <c r="X23" s="1166"/>
      <c r="Y23" s="1166"/>
      <c r="Z23" s="1166"/>
      <c r="AA23" s="1166"/>
      <c r="AB23" s="1166"/>
      <c r="AC23" s="1166"/>
      <c r="AD23" s="1166"/>
      <c r="AE23" s="1166"/>
      <c r="AF23" s="1166"/>
      <c r="AG23" s="1166"/>
      <c r="AH23" s="1166"/>
      <c r="AI23" s="1166"/>
      <c r="AJ23" s="1166"/>
      <c r="AK23" s="1166"/>
      <c r="AL23" s="1166"/>
      <c r="AM23" s="1166"/>
      <c r="AN23" s="1166"/>
      <c r="AO23" s="1166"/>
      <c r="AP23" s="1166"/>
      <c r="AQ23" s="1166"/>
      <c r="AR23" s="1166"/>
      <c r="AS23" s="1166"/>
      <c r="AT23" s="1166"/>
      <c r="AU23" s="1166"/>
      <c r="AV23" s="1166"/>
      <c r="AW23" s="1166"/>
      <c r="AX23" s="1166"/>
      <c r="AY23" s="1166"/>
      <c r="AZ23" s="1166"/>
      <c r="BA23" s="1166"/>
      <c r="BB23" s="1166"/>
      <c r="BC23" s="1166"/>
      <c r="BD23" s="1166"/>
      <c r="BE23" s="1166"/>
      <c r="BF23" s="1166"/>
      <c r="BG23" s="1166"/>
      <c r="BH23" s="1166"/>
      <c r="BI23" s="1166"/>
      <c r="BJ23" s="1166"/>
      <c r="BK23" s="1166"/>
      <c r="BL23" s="1166"/>
      <c r="BM23" s="1166"/>
      <c r="BN23" s="1166"/>
      <c r="BO23" s="1166"/>
      <c r="BP23" s="1166"/>
      <c r="BQ23" s="1166"/>
      <c r="BR23" s="1166"/>
      <c r="BS23" s="1166"/>
      <c r="BT23" s="1166"/>
      <c r="BU23" s="1166"/>
      <c r="BV23" s="1166"/>
      <c r="BW23" s="1166"/>
      <c r="BX23" s="1166"/>
      <c r="BY23" s="1166"/>
      <c r="BZ23" s="1166"/>
      <c r="CA23" s="1166"/>
      <c r="CB23" s="1166"/>
      <c r="CC23" s="1166"/>
      <c r="CD23" s="1166"/>
      <c r="CE23" s="1166"/>
      <c r="CF23" s="1166"/>
      <c r="CG23" s="1166"/>
      <c r="CH23" s="1166"/>
      <c r="CI23" s="1166"/>
      <c r="CJ23" s="1166"/>
      <c r="CK23" s="1166"/>
      <c r="CL23" s="1166"/>
      <c r="CM23" s="1166"/>
      <c r="CN23" s="1166"/>
      <c r="CO23" s="1166"/>
      <c r="CP23" s="1166"/>
      <c r="CQ23" s="1166"/>
      <c r="CR23" s="1166"/>
      <c r="CS23" s="1166"/>
      <c r="CT23" s="1166"/>
      <c r="CU23" s="1166"/>
      <c r="CV23" s="1166"/>
      <c r="CW23" s="1166"/>
      <c r="CX23" s="1166"/>
      <c r="CY23" s="1166"/>
      <c r="CZ23" s="1166"/>
      <c r="DA23" s="1166"/>
      <c r="DB23" s="1166"/>
      <c r="DC23" s="1166"/>
      <c r="DD23" s="1166"/>
      <c r="DE23" s="1166"/>
      <c r="DF23" s="1166"/>
      <c r="DG23" s="1166"/>
      <c r="DH23" s="1166"/>
      <c r="DI23" s="1166"/>
      <c r="DJ23" s="1166"/>
      <c r="DK23" s="1166"/>
      <c r="DL23" s="1166"/>
      <c r="DM23" s="1166"/>
      <c r="DN23" s="1166"/>
      <c r="DO23" s="1166"/>
      <c r="DP23" s="1166"/>
      <c r="DQ23" s="1166"/>
      <c r="DR23" s="1166"/>
      <c r="DS23" s="1166"/>
      <c r="DT23" s="1166"/>
      <c r="DU23" s="1166"/>
      <c r="DV23" s="1166"/>
      <c r="DW23" s="1166"/>
      <c r="DX23" s="1166"/>
      <c r="DY23" s="1166"/>
      <c r="DZ23" s="1166"/>
      <c r="EA23" s="1166"/>
      <c r="EB23" s="1166"/>
      <c r="EC23" s="1166"/>
      <c r="ED23" s="1166"/>
      <c r="EE23" s="1166"/>
      <c r="EF23" s="1166"/>
      <c r="EG23" s="1166"/>
      <c r="EH23" s="1166"/>
      <c r="EI23" s="1166"/>
      <c r="EJ23" s="1166"/>
      <c r="EK23" s="1166"/>
      <c r="EL23" s="1166"/>
      <c r="EM23" s="1166"/>
      <c r="EN23" s="1166"/>
      <c r="EO23" s="1166"/>
      <c r="EP23" s="1166"/>
      <c r="EQ23" s="1166"/>
      <c r="ER23" s="1166"/>
      <c r="ES23" s="1166"/>
      <c r="ET23" s="1166"/>
      <c r="EU23" s="1166"/>
      <c r="EV23" s="1166"/>
      <c r="EW23" s="1166"/>
      <c r="EX23" s="1166"/>
      <c r="EY23" s="1166"/>
      <c r="EZ23" s="1166"/>
      <c r="FA23" s="1166"/>
      <c r="FB23" s="1166"/>
      <c r="FC23" s="1166"/>
      <c r="FD23" s="1166"/>
      <c r="FE23" s="1166"/>
      <c r="FF23" s="1166"/>
      <c r="FG23" s="1166"/>
      <c r="FH23" s="1166"/>
      <c r="FI23" s="1166"/>
      <c r="FJ23" s="1166"/>
      <c r="FK23" s="1166"/>
      <c r="FL23" s="1166"/>
      <c r="FM23" s="1166"/>
      <c r="FN23" s="1166"/>
      <c r="FO23" s="1166"/>
      <c r="FP23" s="1166"/>
      <c r="FQ23" s="1166"/>
      <c r="FR23" s="1166"/>
      <c r="FS23" s="1166"/>
      <c r="FT23" s="1166"/>
      <c r="FU23" s="1166"/>
      <c r="FV23" s="1166"/>
      <c r="FW23" s="1166"/>
      <c r="FX23" s="1166"/>
      <c r="FY23" s="1166"/>
      <c r="FZ23" s="1166"/>
      <c r="GA23" s="1166"/>
      <c r="GB23" s="1166"/>
      <c r="GC23" s="1166"/>
      <c r="GD23" s="1166"/>
      <c r="GE23" s="1166"/>
      <c r="GF23" s="1166"/>
      <c r="GG23" s="1166"/>
      <c r="GH23" s="1166"/>
      <c r="GI23" s="1166"/>
      <c r="GJ23" s="1166"/>
      <c r="GK23" s="1166"/>
      <c r="GL23" s="1166"/>
      <c r="GM23" s="1166"/>
      <c r="GN23" s="1166"/>
      <c r="GO23" s="1166"/>
      <c r="GP23" s="1166"/>
      <c r="GQ23" s="1166"/>
      <c r="GR23" s="1166"/>
      <c r="GS23" s="1166"/>
      <c r="GT23" s="1166"/>
      <c r="GU23" s="1166"/>
      <c r="GV23" s="1166"/>
      <c r="GW23" s="1166"/>
      <c r="GX23" s="1166"/>
      <c r="GY23" s="1166"/>
      <c r="GZ23" s="1166"/>
      <c r="HA23" s="1166"/>
      <c r="HB23" s="1166"/>
      <c r="HC23" s="1166"/>
      <c r="HD23" s="1166"/>
      <c r="HE23" s="1166"/>
      <c r="HF23" s="1166"/>
      <c r="HG23" s="1166"/>
      <c r="HH23" s="1166"/>
      <c r="HI23" s="1166"/>
      <c r="HJ23" s="1166"/>
      <c r="HK23" s="1166"/>
      <c r="HL23" s="1166"/>
      <c r="HM23" s="1166"/>
      <c r="HN23" s="1166"/>
      <c r="HO23" s="1166"/>
      <c r="HP23" s="1166"/>
      <c r="HQ23" s="1166"/>
      <c r="HR23" s="1166"/>
      <c r="HS23" s="1166"/>
      <c r="HT23" s="1166"/>
      <c r="HU23" s="1166"/>
      <c r="HV23" s="1166"/>
      <c r="HW23" s="1166"/>
      <c r="HX23" s="1166"/>
      <c r="HY23" s="1166"/>
      <c r="HZ23" s="1166"/>
      <c r="IA23" s="1166"/>
      <c r="IB23" s="1166"/>
      <c r="IC23" s="1166"/>
      <c r="ID23" s="1166"/>
      <c r="IE23" s="1166"/>
      <c r="IF23" s="1166"/>
      <c r="IG23" s="1166"/>
      <c r="IH23" s="1166"/>
      <c r="II23" s="1166"/>
      <c r="IJ23" s="1166"/>
      <c r="IK23" s="1166"/>
      <c r="IL23" s="1166"/>
      <c r="IM23" s="1166"/>
      <c r="IN23" s="1166"/>
      <c r="IO23" s="1166"/>
      <c r="IP23" s="1166"/>
      <c r="IQ23" s="1166"/>
      <c r="IR23" s="1166"/>
      <c r="IS23" s="1166"/>
      <c r="IT23" s="1166"/>
      <c r="IU23" s="1166"/>
      <c r="IV23" s="1166"/>
    </row>
    <row r="24" spans="1:256" s="1464" customFormat="1" ht="18" customHeight="1" x14ac:dyDescent="0.35">
      <c r="A24" s="1452">
        <v>15</v>
      </c>
      <c r="B24" s="1465"/>
      <c r="C24" s="1187"/>
      <c r="D24" s="1484" t="s">
        <v>1098</v>
      </c>
      <c r="E24" s="1468"/>
      <c r="F24" s="1490"/>
      <c r="G24" s="1478"/>
      <c r="H24" s="1479"/>
      <c r="I24" s="1569"/>
      <c r="J24" s="1489"/>
      <c r="K24" s="1493"/>
      <c r="L24" s="1493"/>
      <c r="M24" s="1493">
        <v>35126</v>
      </c>
      <c r="N24" s="1488"/>
      <c r="O24" s="1581">
        <f>SUM(I24:N24)</f>
        <v>35126</v>
      </c>
      <c r="P24" s="1475"/>
      <c r="Q24" s="1166"/>
      <c r="R24" s="1166"/>
      <c r="S24" s="1166"/>
      <c r="T24" s="1166"/>
      <c r="U24" s="1166"/>
      <c r="V24" s="1166"/>
      <c r="W24" s="1166"/>
      <c r="X24" s="1166"/>
      <c r="Y24" s="1166"/>
      <c r="Z24" s="1166"/>
      <c r="AA24" s="1166"/>
      <c r="AB24" s="1166"/>
      <c r="AC24" s="1166"/>
      <c r="AD24" s="1166"/>
      <c r="AE24" s="1166"/>
      <c r="AF24" s="1166"/>
      <c r="AG24" s="1166"/>
      <c r="AH24" s="1166"/>
      <c r="AI24" s="1166"/>
      <c r="AJ24" s="1166"/>
      <c r="AK24" s="1166"/>
      <c r="AL24" s="1166"/>
      <c r="AM24" s="1166"/>
      <c r="AN24" s="1166"/>
      <c r="AO24" s="1166"/>
      <c r="AP24" s="1166"/>
      <c r="AQ24" s="1166"/>
      <c r="AR24" s="1166"/>
      <c r="AS24" s="1166"/>
      <c r="AT24" s="1166"/>
      <c r="AU24" s="1166"/>
      <c r="AV24" s="1166"/>
      <c r="AW24" s="1166"/>
      <c r="AX24" s="1166"/>
      <c r="AY24" s="1166"/>
      <c r="AZ24" s="1166"/>
      <c r="BA24" s="1166"/>
      <c r="BB24" s="1166"/>
      <c r="BC24" s="1166"/>
      <c r="BD24" s="1166"/>
      <c r="BE24" s="1166"/>
      <c r="BF24" s="1166"/>
      <c r="BG24" s="1166"/>
      <c r="BH24" s="1166"/>
      <c r="BI24" s="1166"/>
      <c r="BJ24" s="1166"/>
      <c r="BK24" s="1166"/>
      <c r="BL24" s="1166"/>
      <c r="BM24" s="1166"/>
      <c r="BN24" s="1166"/>
      <c r="BO24" s="1166"/>
      <c r="BP24" s="1166"/>
      <c r="BQ24" s="1166"/>
      <c r="BR24" s="1166"/>
      <c r="BS24" s="1166"/>
      <c r="BT24" s="1166"/>
      <c r="BU24" s="1166"/>
      <c r="BV24" s="1166"/>
      <c r="BW24" s="1166"/>
      <c r="BX24" s="1166"/>
      <c r="BY24" s="1166"/>
      <c r="BZ24" s="1166"/>
      <c r="CA24" s="1166"/>
      <c r="CB24" s="1166"/>
      <c r="CC24" s="1166"/>
      <c r="CD24" s="1166"/>
      <c r="CE24" s="1166"/>
      <c r="CF24" s="1166"/>
      <c r="CG24" s="1166"/>
      <c r="CH24" s="1166"/>
      <c r="CI24" s="1166"/>
      <c r="CJ24" s="1166"/>
      <c r="CK24" s="1166"/>
      <c r="CL24" s="1166"/>
      <c r="CM24" s="1166"/>
      <c r="CN24" s="1166"/>
      <c r="CO24" s="1166"/>
      <c r="CP24" s="1166"/>
      <c r="CQ24" s="1166"/>
      <c r="CR24" s="1166"/>
      <c r="CS24" s="1166"/>
      <c r="CT24" s="1166"/>
      <c r="CU24" s="1166"/>
      <c r="CV24" s="1166"/>
      <c r="CW24" s="1166"/>
      <c r="CX24" s="1166"/>
      <c r="CY24" s="1166"/>
      <c r="CZ24" s="1166"/>
      <c r="DA24" s="1166"/>
      <c r="DB24" s="1166"/>
      <c r="DC24" s="1166"/>
      <c r="DD24" s="1166"/>
      <c r="DE24" s="1166"/>
      <c r="DF24" s="1166"/>
      <c r="DG24" s="1166"/>
      <c r="DH24" s="1166"/>
      <c r="DI24" s="1166"/>
      <c r="DJ24" s="1166"/>
      <c r="DK24" s="1166"/>
      <c r="DL24" s="1166"/>
      <c r="DM24" s="1166"/>
      <c r="DN24" s="1166"/>
      <c r="DO24" s="1166"/>
      <c r="DP24" s="1166"/>
      <c r="DQ24" s="1166"/>
      <c r="DR24" s="1166"/>
      <c r="DS24" s="1166"/>
      <c r="DT24" s="1166"/>
      <c r="DU24" s="1166"/>
      <c r="DV24" s="1166"/>
      <c r="DW24" s="1166"/>
      <c r="DX24" s="1166"/>
      <c r="DY24" s="1166"/>
      <c r="DZ24" s="1166"/>
      <c r="EA24" s="1166"/>
      <c r="EB24" s="1166"/>
      <c r="EC24" s="1166"/>
      <c r="ED24" s="1166"/>
      <c r="EE24" s="1166"/>
      <c r="EF24" s="1166"/>
      <c r="EG24" s="1166"/>
      <c r="EH24" s="1166"/>
      <c r="EI24" s="1166"/>
      <c r="EJ24" s="1166"/>
      <c r="EK24" s="1166"/>
      <c r="EL24" s="1166"/>
      <c r="EM24" s="1166"/>
      <c r="EN24" s="1166"/>
      <c r="EO24" s="1166"/>
      <c r="EP24" s="1166"/>
      <c r="EQ24" s="1166"/>
      <c r="ER24" s="1166"/>
      <c r="ES24" s="1166"/>
      <c r="ET24" s="1166"/>
      <c r="EU24" s="1166"/>
      <c r="EV24" s="1166"/>
      <c r="EW24" s="1166"/>
      <c r="EX24" s="1166"/>
      <c r="EY24" s="1166"/>
      <c r="EZ24" s="1166"/>
      <c r="FA24" s="1166"/>
      <c r="FB24" s="1166"/>
      <c r="FC24" s="1166"/>
      <c r="FD24" s="1166"/>
      <c r="FE24" s="1166"/>
      <c r="FF24" s="1166"/>
      <c r="FG24" s="1166"/>
      <c r="FH24" s="1166"/>
      <c r="FI24" s="1166"/>
      <c r="FJ24" s="1166"/>
      <c r="FK24" s="1166"/>
      <c r="FL24" s="1166"/>
      <c r="FM24" s="1166"/>
      <c r="FN24" s="1166"/>
      <c r="FO24" s="1166"/>
      <c r="FP24" s="1166"/>
      <c r="FQ24" s="1166"/>
      <c r="FR24" s="1166"/>
      <c r="FS24" s="1166"/>
      <c r="FT24" s="1166"/>
      <c r="FU24" s="1166"/>
      <c r="FV24" s="1166"/>
      <c r="FW24" s="1166"/>
      <c r="FX24" s="1166"/>
      <c r="FY24" s="1166"/>
      <c r="FZ24" s="1166"/>
      <c r="GA24" s="1166"/>
      <c r="GB24" s="1166"/>
      <c r="GC24" s="1166"/>
      <c r="GD24" s="1166"/>
      <c r="GE24" s="1166"/>
      <c r="GF24" s="1166"/>
      <c r="GG24" s="1166"/>
      <c r="GH24" s="1166"/>
      <c r="GI24" s="1166"/>
      <c r="GJ24" s="1166"/>
      <c r="GK24" s="1166"/>
      <c r="GL24" s="1166"/>
      <c r="GM24" s="1166"/>
      <c r="GN24" s="1166"/>
      <c r="GO24" s="1166"/>
      <c r="GP24" s="1166"/>
      <c r="GQ24" s="1166"/>
      <c r="GR24" s="1166"/>
      <c r="GS24" s="1166"/>
      <c r="GT24" s="1166"/>
      <c r="GU24" s="1166"/>
      <c r="GV24" s="1166"/>
      <c r="GW24" s="1166"/>
      <c r="GX24" s="1166"/>
      <c r="GY24" s="1166"/>
      <c r="GZ24" s="1166"/>
      <c r="HA24" s="1166"/>
      <c r="HB24" s="1166"/>
      <c r="HC24" s="1166"/>
      <c r="HD24" s="1166"/>
      <c r="HE24" s="1166"/>
      <c r="HF24" s="1166"/>
      <c r="HG24" s="1166"/>
      <c r="HH24" s="1166"/>
      <c r="HI24" s="1166"/>
      <c r="HJ24" s="1166"/>
      <c r="HK24" s="1166"/>
      <c r="HL24" s="1166"/>
      <c r="HM24" s="1166"/>
      <c r="HN24" s="1166"/>
      <c r="HO24" s="1166"/>
      <c r="HP24" s="1166"/>
      <c r="HQ24" s="1166"/>
      <c r="HR24" s="1166"/>
      <c r="HS24" s="1166"/>
      <c r="HT24" s="1166"/>
      <c r="HU24" s="1166"/>
      <c r="HV24" s="1166"/>
      <c r="HW24" s="1166"/>
      <c r="HX24" s="1166"/>
      <c r="HY24" s="1166"/>
      <c r="HZ24" s="1166"/>
      <c r="IA24" s="1166"/>
      <c r="IB24" s="1166"/>
      <c r="IC24" s="1166"/>
      <c r="ID24" s="1166"/>
      <c r="IE24" s="1166"/>
      <c r="IF24" s="1166"/>
      <c r="IG24" s="1166"/>
      <c r="IH24" s="1166"/>
      <c r="II24" s="1166"/>
      <c r="IJ24" s="1166"/>
      <c r="IK24" s="1166"/>
      <c r="IL24" s="1166"/>
      <c r="IM24" s="1166"/>
      <c r="IN24" s="1166"/>
      <c r="IO24" s="1166"/>
      <c r="IP24" s="1166"/>
      <c r="IQ24" s="1166"/>
      <c r="IR24" s="1166"/>
      <c r="IS24" s="1166"/>
      <c r="IT24" s="1166"/>
      <c r="IU24" s="1166"/>
      <c r="IV24" s="1166"/>
    </row>
    <row r="25" spans="1:256" s="1464" customFormat="1" ht="18" customHeight="1" x14ac:dyDescent="0.35">
      <c r="A25" s="1452">
        <v>16</v>
      </c>
      <c r="B25" s="1465"/>
      <c r="C25" s="1187"/>
      <c r="D25" s="1481" t="s">
        <v>233</v>
      </c>
      <c r="E25" s="1468"/>
      <c r="F25" s="1490"/>
      <c r="G25" s="1478"/>
      <c r="H25" s="1479"/>
      <c r="I25" s="1582"/>
      <c r="J25" s="1492"/>
      <c r="K25" s="1491">
        <f>SUM(K23:K24)</f>
        <v>9043</v>
      </c>
      <c r="L25" s="1491"/>
      <c r="M25" s="1491">
        <f>SUM(M23:M24)</f>
        <v>1403023</v>
      </c>
      <c r="N25" s="1491"/>
      <c r="O25" s="1222">
        <f>SUM(I25:N25)</f>
        <v>1412066</v>
      </c>
      <c r="P25" s="1475"/>
      <c r="Q25" s="1166"/>
      <c r="R25" s="1166"/>
      <c r="S25" s="1166"/>
      <c r="T25" s="1166"/>
      <c r="U25" s="1166"/>
      <c r="V25" s="1166"/>
      <c r="W25" s="1166"/>
      <c r="X25" s="1166"/>
      <c r="Y25" s="1166"/>
      <c r="Z25" s="1166"/>
      <c r="AA25" s="1166"/>
      <c r="AB25" s="1166"/>
      <c r="AC25" s="1166"/>
      <c r="AD25" s="1166"/>
      <c r="AE25" s="1166"/>
      <c r="AF25" s="1166"/>
      <c r="AG25" s="1166"/>
      <c r="AH25" s="1166"/>
      <c r="AI25" s="1166"/>
      <c r="AJ25" s="1166"/>
      <c r="AK25" s="1166"/>
      <c r="AL25" s="1166"/>
      <c r="AM25" s="1166"/>
      <c r="AN25" s="1166"/>
      <c r="AO25" s="1166"/>
      <c r="AP25" s="1166"/>
      <c r="AQ25" s="1166"/>
      <c r="AR25" s="1166"/>
      <c r="AS25" s="1166"/>
      <c r="AT25" s="1166"/>
      <c r="AU25" s="1166"/>
      <c r="AV25" s="1166"/>
      <c r="AW25" s="1166"/>
      <c r="AX25" s="1166"/>
      <c r="AY25" s="1166"/>
      <c r="AZ25" s="1166"/>
      <c r="BA25" s="1166"/>
      <c r="BB25" s="1166"/>
      <c r="BC25" s="1166"/>
      <c r="BD25" s="1166"/>
      <c r="BE25" s="1166"/>
      <c r="BF25" s="1166"/>
      <c r="BG25" s="1166"/>
      <c r="BH25" s="1166"/>
      <c r="BI25" s="1166"/>
      <c r="BJ25" s="1166"/>
      <c r="BK25" s="1166"/>
      <c r="BL25" s="1166"/>
      <c r="BM25" s="1166"/>
      <c r="BN25" s="1166"/>
      <c r="BO25" s="1166"/>
      <c r="BP25" s="1166"/>
      <c r="BQ25" s="1166"/>
      <c r="BR25" s="1166"/>
      <c r="BS25" s="1166"/>
      <c r="BT25" s="1166"/>
      <c r="BU25" s="1166"/>
      <c r="BV25" s="1166"/>
      <c r="BW25" s="1166"/>
      <c r="BX25" s="1166"/>
      <c r="BY25" s="1166"/>
      <c r="BZ25" s="1166"/>
      <c r="CA25" s="1166"/>
      <c r="CB25" s="1166"/>
      <c r="CC25" s="1166"/>
      <c r="CD25" s="1166"/>
      <c r="CE25" s="1166"/>
      <c r="CF25" s="1166"/>
      <c r="CG25" s="1166"/>
      <c r="CH25" s="1166"/>
      <c r="CI25" s="1166"/>
      <c r="CJ25" s="1166"/>
      <c r="CK25" s="1166"/>
      <c r="CL25" s="1166"/>
      <c r="CM25" s="1166"/>
      <c r="CN25" s="1166"/>
      <c r="CO25" s="1166"/>
      <c r="CP25" s="1166"/>
      <c r="CQ25" s="1166"/>
      <c r="CR25" s="1166"/>
      <c r="CS25" s="1166"/>
      <c r="CT25" s="1166"/>
      <c r="CU25" s="1166"/>
      <c r="CV25" s="1166"/>
      <c r="CW25" s="1166"/>
      <c r="CX25" s="1166"/>
      <c r="CY25" s="1166"/>
      <c r="CZ25" s="1166"/>
      <c r="DA25" s="1166"/>
      <c r="DB25" s="1166"/>
      <c r="DC25" s="1166"/>
      <c r="DD25" s="1166"/>
      <c r="DE25" s="1166"/>
      <c r="DF25" s="1166"/>
      <c r="DG25" s="1166"/>
      <c r="DH25" s="1166"/>
      <c r="DI25" s="1166"/>
      <c r="DJ25" s="1166"/>
      <c r="DK25" s="1166"/>
      <c r="DL25" s="1166"/>
      <c r="DM25" s="1166"/>
      <c r="DN25" s="1166"/>
      <c r="DO25" s="1166"/>
      <c r="DP25" s="1166"/>
      <c r="DQ25" s="1166"/>
      <c r="DR25" s="1166"/>
      <c r="DS25" s="1166"/>
      <c r="DT25" s="1166"/>
      <c r="DU25" s="1166"/>
      <c r="DV25" s="1166"/>
      <c r="DW25" s="1166"/>
      <c r="DX25" s="1166"/>
      <c r="DY25" s="1166"/>
      <c r="DZ25" s="1166"/>
      <c r="EA25" s="1166"/>
      <c r="EB25" s="1166"/>
      <c r="EC25" s="1166"/>
      <c r="ED25" s="1166"/>
      <c r="EE25" s="1166"/>
      <c r="EF25" s="1166"/>
      <c r="EG25" s="1166"/>
      <c r="EH25" s="1166"/>
      <c r="EI25" s="1166"/>
      <c r="EJ25" s="1166"/>
      <c r="EK25" s="1166"/>
      <c r="EL25" s="1166"/>
      <c r="EM25" s="1166"/>
      <c r="EN25" s="1166"/>
      <c r="EO25" s="1166"/>
      <c r="EP25" s="1166"/>
      <c r="EQ25" s="1166"/>
      <c r="ER25" s="1166"/>
      <c r="ES25" s="1166"/>
      <c r="ET25" s="1166"/>
      <c r="EU25" s="1166"/>
      <c r="EV25" s="1166"/>
      <c r="EW25" s="1166"/>
      <c r="EX25" s="1166"/>
      <c r="EY25" s="1166"/>
      <c r="EZ25" s="1166"/>
      <c r="FA25" s="1166"/>
      <c r="FB25" s="1166"/>
      <c r="FC25" s="1166"/>
      <c r="FD25" s="1166"/>
      <c r="FE25" s="1166"/>
      <c r="FF25" s="1166"/>
      <c r="FG25" s="1166"/>
      <c r="FH25" s="1166"/>
      <c r="FI25" s="1166"/>
      <c r="FJ25" s="1166"/>
      <c r="FK25" s="1166"/>
      <c r="FL25" s="1166"/>
      <c r="FM25" s="1166"/>
      <c r="FN25" s="1166"/>
      <c r="FO25" s="1166"/>
      <c r="FP25" s="1166"/>
      <c r="FQ25" s="1166"/>
      <c r="FR25" s="1166"/>
      <c r="FS25" s="1166"/>
      <c r="FT25" s="1166"/>
      <c r="FU25" s="1166"/>
      <c r="FV25" s="1166"/>
      <c r="FW25" s="1166"/>
      <c r="FX25" s="1166"/>
      <c r="FY25" s="1166"/>
      <c r="FZ25" s="1166"/>
      <c r="GA25" s="1166"/>
      <c r="GB25" s="1166"/>
      <c r="GC25" s="1166"/>
      <c r="GD25" s="1166"/>
      <c r="GE25" s="1166"/>
      <c r="GF25" s="1166"/>
      <c r="GG25" s="1166"/>
      <c r="GH25" s="1166"/>
      <c r="GI25" s="1166"/>
      <c r="GJ25" s="1166"/>
      <c r="GK25" s="1166"/>
      <c r="GL25" s="1166"/>
      <c r="GM25" s="1166"/>
      <c r="GN25" s="1166"/>
      <c r="GO25" s="1166"/>
      <c r="GP25" s="1166"/>
      <c r="GQ25" s="1166"/>
      <c r="GR25" s="1166"/>
      <c r="GS25" s="1166"/>
      <c r="GT25" s="1166"/>
      <c r="GU25" s="1166"/>
      <c r="GV25" s="1166"/>
      <c r="GW25" s="1166"/>
      <c r="GX25" s="1166"/>
      <c r="GY25" s="1166"/>
      <c r="GZ25" s="1166"/>
      <c r="HA25" s="1166"/>
      <c r="HB25" s="1166"/>
      <c r="HC25" s="1166"/>
      <c r="HD25" s="1166"/>
      <c r="HE25" s="1166"/>
      <c r="HF25" s="1166"/>
      <c r="HG25" s="1166"/>
      <c r="HH25" s="1166"/>
      <c r="HI25" s="1166"/>
      <c r="HJ25" s="1166"/>
      <c r="HK25" s="1166"/>
      <c r="HL25" s="1166"/>
      <c r="HM25" s="1166"/>
      <c r="HN25" s="1166"/>
      <c r="HO25" s="1166"/>
      <c r="HP25" s="1166"/>
      <c r="HQ25" s="1166"/>
      <c r="HR25" s="1166"/>
      <c r="HS25" s="1166"/>
      <c r="HT25" s="1166"/>
      <c r="HU25" s="1166"/>
      <c r="HV25" s="1166"/>
      <c r="HW25" s="1166"/>
      <c r="HX25" s="1166"/>
      <c r="HY25" s="1166"/>
      <c r="HZ25" s="1166"/>
      <c r="IA25" s="1166"/>
      <c r="IB25" s="1166"/>
      <c r="IC25" s="1166"/>
      <c r="ID25" s="1166"/>
      <c r="IE25" s="1166"/>
      <c r="IF25" s="1166"/>
      <c r="IG25" s="1166"/>
      <c r="IH25" s="1166"/>
      <c r="II25" s="1166"/>
      <c r="IJ25" s="1166"/>
      <c r="IK25" s="1166"/>
      <c r="IL25" s="1166"/>
      <c r="IM25" s="1166"/>
      <c r="IN25" s="1166"/>
      <c r="IO25" s="1166"/>
      <c r="IP25" s="1166"/>
      <c r="IQ25" s="1166"/>
      <c r="IR25" s="1166"/>
      <c r="IS25" s="1166"/>
      <c r="IT25" s="1166"/>
      <c r="IU25" s="1166"/>
      <c r="IV25" s="1166"/>
    </row>
    <row r="26" spans="1:256" s="1464" customFormat="1" ht="87" customHeight="1" x14ac:dyDescent="0.35">
      <c r="A26" s="1452">
        <v>17</v>
      </c>
      <c r="B26" s="1465"/>
      <c r="C26" s="1187">
        <v>9</v>
      </c>
      <c r="D26" s="1585" t="s">
        <v>990</v>
      </c>
      <c r="E26" s="1468">
        <f>F26+G26+O27+P27</f>
        <v>17000</v>
      </c>
      <c r="F26" s="1490"/>
      <c r="G26" s="1478"/>
      <c r="H26" s="1479" t="s">
        <v>296</v>
      </c>
      <c r="I26" s="1569"/>
      <c r="J26" s="1489"/>
      <c r="K26" s="1488"/>
      <c r="L26" s="1488"/>
      <c r="M26" s="1488"/>
      <c r="N26" s="1488"/>
      <c r="O26" s="1480"/>
      <c r="P26" s="1475"/>
      <c r="Q26" s="1166"/>
      <c r="R26" s="1166"/>
      <c r="S26" s="1166"/>
      <c r="T26" s="1166"/>
      <c r="U26" s="1166"/>
      <c r="V26" s="1166"/>
      <c r="W26" s="1166"/>
      <c r="X26" s="1166"/>
      <c r="Y26" s="1166"/>
      <c r="Z26" s="1166"/>
      <c r="AA26" s="1166"/>
      <c r="AB26" s="1166"/>
      <c r="AC26" s="1166"/>
      <c r="AD26" s="1166"/>
      <c r="AE26" s="1166"/>
      <c r="AF26" s="1166"/>
      <c r="AG26" s="1166"/>
      <c r="AH26" s="1166"/>
      <c r="AI26" s="1166"/>
      <c r="AJ26" s="1166"/>
      <c r="AK26" s="1166"/>
      <c r="AL26" s="1166"/>
      <c r="AM26" s="1166"/>
      <c r="AN26" s="1166"/>
      <c r="AO26" s="1166"/>
      <c r="AP26" s="1166"/>
      <c r="AQ26" s="1166"/>
      <c r="AR26" s="1166"/>
      <c r="AS26" s="1166"/>
      <c r="AT26" s="1166"/>
      <c r="AU26" s="1166"/>
      <c r="AV26" s="1166"/>
      <c r="AW26" s="1166"/>
      <c r="AX26" s="1166"/>
      <c r="AY26" s="1166"/>
      <c r="AZ26" s="1166"/>
      <c r="BA26" s="1166"/>
      <c r="BB26" s="1166"/>
      <c r="BC26" s="1166"/>
      <c r="BD26" s="1166"/>
      <c r="BE26" s="1166"/>
      <c r="BF26" s="1166"/>
      <c r="BG26" s="1166"/>
      <c r="BH26" s="1166"/>
      <c r="BI26" s="1166"/>
      <c r="BJ26" s="1166"/>
      <c r="BK26" s="1166"/>
      <c r="BL26" s="1166"/>
      <c r="BM26" s="1166"/>
      <c r="BN26" s="1166"/>
      <c r="BO26" s="1166"/>
      <c r="BP26" s="1166"/>
      <c r="BQ26" s="1166"/>
      <c r="BR26" s="1166"/>
      <c r="BS26" s="1166"/>
      <c r="BT26" s="1166"/>
      <c r="BU26" s="1166"/>
      <c r="BV26" s="1166"/>
      <c r="BW26" s="1166"/>
      <c r="BX26" s="1166"/>
      <c r="BY26" s="1166"/>
      <c r="BZ26" s="1166"/>
      <c r="CA26" s="1166"/>
      <c r="CB26" s="1166"/>
      <c r="CC26" s="1166"/>
      <c r="CD26" s="1166"/>
      <c r="CE26" s="1166"/>
      <c r="CF26" s="1166"/>
      <c r="CG26" s="1166"/>
      <c r="CH26" s="1166"/>
      <c r="CI26" s="1166"/>
      <c r="CJ26" s="1166"/>
      <c r="CK26" s="1166"/>
      <c r="CL26" s="1166"/>
      <c r="CM26" s="1166"/>
      <c r="CN26" s="1166"/>
      <c r="CO26" s="1166"/>
      <c r="CP26" s="1166"/>
      <c r="CQ26" s="1166"/>
      <c r="CR26" s="1166"/>
      <c r="CS26" s="1166"/>
      <c r="CT26" s="1166"/>
      <c r="CU26" s="1166"/>
      <c r="CV26" s="1166"/>
      <c r="CW26" s="1166"/>
      <c r="CX26" s="1166"/>
      <c r="CY26" s="1166"/>
      <c r="CZ26" s="1166"/>
      <c r="DA26" s="1166"/>
      <c r="DB26" s="1166"/>
      <c r="DC26" s="1166"/>
      <c r="DD26" s="1166"/>
      <c r="DE26" s="1166"/>
      <c r="DF26" s="1166"/>
      <c r="DG26" s="1166"/>
      <c r="DH26" s="1166"/>
      <c r="DI26" s="1166"/>
      <c r="DJ26" s="1166"/>
      <c r="DK26" s="1166"/>
      <c r="DL26" s="1166"/>
      <c r="DM26" s="1166"/>
      <c r="DN26" s="1166"/>
      <c r="DO26" s="1166"/>
      <c r="DP26" s="1166"/>
      <c r="DQ26" s="1166"/>
      <c r="DR26" s="1166"/>
      <c r="DS26" s="1166"/>
      <c r="DT26" s="1166"/>
      <c r="DU26" s="1166"/>
      <c r="DV26" s="1166"/>
      <c r="DW26" s="1166"/>
      <c r="DX26" s="1166"/>
      <c r="DY26" s="1166"/>
      <c r="DZ26" s="1166"/>
      <c r="EA26" s="1166"/>
      <c r="EB26" s="1166"/>
      <c r="EC26" s="1166"/>
      <c r="ED26" s="1166"/>
      <c r="EE26" s="1166"/>
      <c r="EF26" s="1166"/>
      <c r="EG26" s="1166"/>
      <c r="EH26" s="1166"/>
      <c r="EI26" s="1166"/>
      <c r="EJ26" s="1166"/>
      <c r="EK26" s="1166"/>
      <c r="EL26" s="1166"/>
      <c r="EM26" s="1166"/>
      <c r="EN26" s="1166"/>
      <c r="EO26" s="1166"/>
      <c r="EP26" s="1166"/>
      <c r="EQ26" s="1166"/>
      <c r="ER26" s="1166"/>
      <c r="ES26" s="1166"/>
      <c r="ET26" s="1166"/>
      <c r="EU26" s="1166"/>
      <c r="EV26" s="1166"/>
      <c r="EW26" s="1166"/>
      <c r="EX26" s="1166"/>
      <c r="EY26" s="1166"/>
      <c r="EZ26" s="1166"/>
      <c r="FA26" s="1166"/>
      <c r="FB26" s="1166"/>
      <c r="FC26" s="1166"/>
      <c r="FD26" s="1166"/>
      <c r="FE26" s="1166"/>
      <c r="FF26" s="1166"/>
      <c r="FG26" s="1166"/>
      <c r="FH26" s="1166"/>
      <c r="FI26" s="1166"/>
      <c r="FJ26" s="1166"/>
      <c r="FK26" s="1166"/>
      <c r="FL26" s="1166"/>
      <c r="FM26" s="1166"/>
      <c r="FN26" s="1166"/>
      <c r="FO26" s="1166"/>
      <c r="FP26" s="1166"/>
      <c r="FQ26" s="1166"/>
      <c r="FR26" s="1166"/>
      <c r="FS26" s="1166"/>
      <c r="FT26" s="1166"/>
      <c r="FU26" s="1166"/>
      <c r="FV26" s="1166"/>
      <c r="FW26" s="1166"/>
      <c r="FX26" s="1166"/>
      <c r="FY26" s="1166"/>
      <c r="FZ26" s="1166"/>
      <c r="GA26" s="1166"/>
      <c r="GB26" s="1166"/>
      <c r="GC26" s="1166"/>
      <c r="GD26" s="1166"/>
      <c r="GE26" s="1166"/>
      <c r="GF26" s="1166"/>
      <c r="GG26" s="1166"/>
      <c r="GH26" s="1166"/>
      <c r="GI26" s="1166"/>
      <c r="GJ26" s="1166"/>
      <c r="GK26" s="1166"/>
      <c r="GL26" s="1166"/>
      <c r="GM26" s="1166"/>
      <c r="GN26" s="1166"/>
      <c r="GO26" s="1166"/>
      <c r="GP26" s="1166"/>
      <c r="GQ26" s="1166"/>
      <c r="GR26" s="1166"/>
      <c r="GS26" s="1166"/>
      <c r="GT26" s="1166"/>
      <c r="GU26" s="1166"/>
      <c r="GV26" s="1166"/>
      <c r="GW26" s="1166"/>
      <c r="GX26" s="1166"/>
      <c r="GY26" s="1166"/>
      <c r="GZ26" s="1166"/>
      <c r="HA26" s="1166"/>
      <c r="HB26" s="1166"/>
      <c r="HC26" s="1166"/>
      <c r="HD26" s="1166"/>
      <c r="HE26" s="1166"/>
      <c r="HF26" s="1166"/>
      <c r="HG26" s="1166"/>
      <c r="HH26" s="1166"/>
      <c r="HI26" s="1166"/>
      <c r="HJ26" s="1166"/>
      <c r="HK26" s="1166"/>
      <c r="HL26" s="1166"/>
      <c r="HM26" s="1166"/>
      <c r="HN26" s="1166"/>
      <c r="HO26" s="1166"/>
      <c r="HP26" s="1166"/>
      <c r="HQ26" s="1166"/>
      <c r="HR26" s="1166"/>
      <c r="HS26" s="1166"/>
      <c r="HT26" s="1166"/>
      <c r="HU26" s="1166"/>
      <c r="HV26" s="1166"/>
      <c r="HW26" s="1166"/>
      <c r="HX26" s="1166"/>
      <c r="HY26" s="1166"/>
      <c r="HZ26" s="1166"/>
      <c r="IA26" s="1166"/>
      <c r="IB26" s="1166"/>
      <c r="IC26" s="1166"/>
      <c r="ID26" s="1166"/>
      <c r="IE26" s="1166"/>
      <c r="IF26" s="1166"/>
      <c r="IG26" s="1166"/>
      <c r="IH26" s="1166"/>
      <c r="II26" s="1166"/>
      <c r="IJ26" s="1166"/>
      <c r="IK26" s="1166"/>
      <c r="IL26" s="1166"/>
      <c r="IM26" s="1166"/>
      <c r="IN26" s="1166"/>
      <c r="IO26" s="1166"/>
      <c r="IP26" s="1166"/>
      <c r="IQ26" s="1166"/>
      <c r="IR26" s="1166"/>
      <c r="IS26" s="1166"/>
      <c r="IT26" s="1166"/>
      <c r="IU26" s="1166"/>
      <c r="IV26" s="1166"/>
    </row>
    <row r="27" spans="1:256" s="1464" customFormat="1" ht="18" customHeight="1" x14ac:dyDescent="0.35">
      <c r="A27" s="1452">
        <v>18</v>
      </c>
      <c r="B27" s="1465"/>
      <c r="C27" s="1187"/>
      <c r="D27" s="1477" t="s">
        <v>230</v>
      </c>
      <c r="E27" s="1468"/>
      <c r="F27" s="1490"/>
      <c r="G27" s="1478"/>
      <c r="H27" s="1479"/>
      <c r="I27" s="1569"/>
      <c r="J27" s="1489"/>
      <c r="K27" s="1488"/>
      <c r="L27" s="1488"/>
      <c r="M27" s="1488">
        <v>17000</v>
      </c>
      <c r="N27" s="1488"/>
      <c r="O27" s="1480">
        <f>SUM(I27:N27)</f>
        <v>17000</v>
      </c>
      <c r="P27" s="1475"/>
      <c r="Q27" s="1166"/>
      <c r="R27" s="1166"/>
      <c r="S27" s="1166"/>
      <c r="T27" s="1166"/>
      <c r="U27" s="1166"/>
      <c r="V27" s="1166"/>
      <c r="W27" s="1166"/>
      <c r="X27" s="1166"/>
      <c r="Y27" s="1166"/>
      <c r="Z27" s="1166"/>
      <c r="AA27" s="1166"/>
      <c r="AB27" s="1166"/>
      <c r="AC27" s="1166"/>
      <c r="AD27" s="1166"/>
      <c r="AE27" s="1166"/>
      <c r="AF27" s="1166"/>
      <c r="AG27" s="1166"/>
      <c r="AH27" s="1166"/>
      <c r="AI27" s="1166"/>
      <c r="AJ27" s="1166"/>
      <c r="AK27" s="1166"/>
      <c r="AL27" s="1166"/>
      <c r="AM27" s="1166"/>
      <c r="AN27" s="1166"/>
      <c r="AO27" s="1166"/>
      <c r="AP27" s="1166"/>
      <c r="AQ27" s="1166"/>
      <c r="AR27" s="1166"/>
      <c r="AS27" s="1166"/>
      <c r="AT27" s="1166"/>
      <c r="AU27" s="1166"/>
      <c r="AV27" s="1166"/>
      <c r="AW27" s="1166"/>
      <c r="AX27" s="1166"/>
      <c r="AY27" s="1166"/>
      <c r="AZ27" s="1166"/>
      <c r="BA27" s="1166"/>
      <c r="BB27" s="1166"/>
      <c r="BC27" s="1166"/>
      <c r="BD27" s="1166"/>
      <c r="BE27" s="1166"/>
      <c r="BF27" s="1166"/>
      <c r="BG27" s="1166"/>
      <c r="BH27" s="1166"/>
      <c r="BI27" s="1166"/>
      <c r="BJ27" s="1166"/>
      <c r="BK27" s="1166"/>
      <c r="BL27" s="1166"/>
      <c r="BM27" s="1166"/>
      <c r="BN27" s="1166"/>
      <c r="BO27" s="1166"/>
      <c r="BP27" s="1166"/>
      <c r="BQ27" s="1166"/>
      <c r="BR27" s="1166"/>
      <c r="BS27" s="1166"/>
      <c r="BT27" s="1166"/>
      <c r="BU27" s="1166"/>
      <c r="BV27" s="1166"/>
      <c r="BW27" s="1166"/>
      <c r="BX27" s="1166"/>
      <c r="BY27" s="1166"/>
      <c r="BZ27" s="1166"/>
      <c r="CA27" s="1166"/>
      <c r="CB27" s="1166"/>
      <c r="CC27" s="1166"/>
      <c r="CD27" s="1166"/>
      <c r="CE27" s="1166"/>
      <c r="CF27" s="1166"/>
      <c r="CG27" s="1166"/>
      <c r="CH27" s="1166"/>
      <c r="CI27" s="1166"/>
      <c r="CJ27" s="1166"/>
      <c r="CK27" s="1166"/>
      <c r="CL27" s="1166"/>
      <c r="CM27" s="1166"/>
      <c r="CN27" s="1166"/>
      <c r="CO27" s="1166"/>
      <c r="CP27" s="1166"/>
      <c r="CQ27" s="1166"/>
      <c r="CR27" s="1166"/>
      <c r="CS27" s="1166"/>
      <c r="CT27" s="1166"/>
      <c r="CU27" s="1166"/>
      <c r="CV27" s="1166"/>
      <c r="CW27" s="1166"/>
      <c r="CX27" s="1166"/>
      <c r="CY27" s="1166"/>
      <c r="CZ27" s="1166"/>
      <c r="DA27" s="1166"/>
      <c r="DB27" s="1166"/>
      <c r="DC27" s="1166"/>
      <c r="DD27" s="1166"/>
      <c r="DE27" s="1166"/>
      <c r="DF27" s="1166"/>
      <c r="DG27" s="1166"/>
      <c r="DH27" s="1166"/>
      <c r="DI27" s="1166"/>
      <c r="DJ27" s="1166"/>
      <c r="DK27" s="1166"/>
      <c r="DL27" s="1166"/>
      <c r="DM27" s="1166"/>
      <c r="DN27" s="1166"/>
      <c r="DO27" s="1166"/>
      <c r="DP27" s="1166"/>
      <c r="DQ27" s="1166"/>
      <c r="DR27" s="1166"/>
      <c r="DS27" s="1166"/>
      <c r="DT27" s="1166"/>
      <c r="DU27" s="1166"/>
      <c r="DV27" s="1166"/>
      <c r="DW27" s="1166"/>
      <c r="DX27" s="1166"/>
      <c r="DY27" s="1166"/>
      <c r="DZ27" s="1166"/>
      <c r="EA27" s="1166"/>
      <c r="EB27" s="1166"/>
      <c r="EC27" s="1166"/>
      <c r="ED27" s="1166"/>
      <c r="EE27" s="1166"/>
      <c r="EF27" s="1166"/>
      <c r="EG27" s="1166"/>
      <c r="EH27" s="1166"/>
      <c r="EI27" s="1166"/>
      <c r="EJ27" s="1166"/>
      <c r="EK27" s="1166"/>
      <c r="EL27" s="1166"/>
      <c r="EM27" s="1166"/>
      <c r="EN27" s="1166"/>
      <c r="EO27" s="1166"/>
      <c r="EP27" s="1166"/>
      <c r="EQ27" s="1166"/>
      <c r="ER27" s="1166"/>
      <c r="ES27" s="1166"/>
      <c r="ET27" s="1166"/>
      <c r="EU27" s="1166"/>
      <c r="EV27" s="1166"/>
      <c r="EW27" s="1166"/>
      <c r="EX27" s="1166"/>
      <c r="EY27" s="1166"/>
      <c r="EZ27" s="1166"/>
      <c r="FA27" s="1166"/>
      <c r="FB27" s="1166"/>
      <c r="FC27" s="1166"/>
      <c r="FD27" s="1166"/>
      <c r="FE27" s="1166"/>
      <c r="FF27" s="1166"/>
      <c r="FG27" s="1166"/>
      <c r="FH27" s="1166"/>
      <c r="FI27" s="1166"/>
      <c r="FJ27" s="1166"/>
      <c r="FK27" s="1166"/>
      <c r="FL27" s="1166"/>
      <c r="FM27" s="1166"/>
      <c r="FN27" s="1166"/>
      <c r="FO27" s="1166"/>
      <c r="FP27" s="1166"/>
      <c r="FQ27" s="1166"/>
      <c r="FR27" s="1166"/>
      <c r="FS27" s="1166"/>
      <c r="FT27" s="1166"/>
      <c r="FU27" s="1166"/>
      <c r="FV27" s="1166"/>
      <c r="FW27" s="1166"/>
      <c r="FX27" s="1166"/>
      <c r="FY27" s="1166"/>
      <c r="FZ27" s="1166"/>
      <c r="GA27" s="1166"/>
      <c r="GB27" s="1166"/>
      <c r="GC27" s="1166"/>
      <c r="GD27" s="1166"/>
      <c r="GE27" s="1166"/>
      <c r="GF27" s="1166"/>
      <c r="GG27" s="1166"/>
      <c r="GH27" s="1166"/>
      <c r="GI27" s="1166"/>
      <c r="GJ27" s="1166"/>
      <c r="GK27" s="1166"/>
      <c r="GL27" s="1166"/>
      <c r="GM27" s="1166"/>
      <c r="GN27" s="1166"/>
      <c r="GO27" s="1166"/>
      <c r="GP27" s="1166"/>
      <c r="GQ27" s="1166"/>
      <c r="GR27" s="1166"/>
      <c r="GS27" s="1166"/>
      <c r="GT27" s="1166"/>
      <c r="GU27" s="1166"/>
      <c r="GV27" s="1166"/>
      <c r="GW27" s="1166"/>
      <c r="GX27" s="1166"/>
      <c r="GY27" s="1166"/>
      <c r="GZ27" s="1166"/>
      <c r="HA27" s="1166"/>
      <c r="HB27" s="1166"/>
      <c r="HC27" s="1166"/>
      <c r="HD27" s="1166"/>
      <c r="HE27" s="1166"/>
      <c r="HF27" s="1166"/>
      <c r="HG27" s="1166"/>
      <c r="HH27" s="1166"/>
      <c r="HI27" s="1166"/>
      <c r="HJ27" s="1166"/>
      <c r="HK27" s="1166"/>
      <c r="HL27" s="1166"/>
      <c r="HM27" s="1166"/>
      <c r="HN27" s="1166"/>
      <c r="HO27" s="1166"/>
      <c r="HP27" s="1166"/>
      <c r="HQ27" s="1166"/>
      <c r="HR27" s="1166"/>
      <c r="HS27" s="1166"/>
      <c r="HT27" s="1166"/>
      <c r="HU27" s="1166"/>
      <c r="HV27" s="1166"/>
      <c r="HW27" s="1166"/>
      <c r="HX27" s="1166"/>
      <c r="HY27" s="1166"/>
      <c r="HZ27" s="1166"/>
      <c r="IA27" s="1166"/>
      <c r="IB27" s="1166"/>
      <c r="IC27" s="1166"/>
      <c r="ID27" s="1166"/>
      <c r="IE27" s="1166"/>
      <c r="IF27" s="1166"/>
      <c r="IG27" s="1166"/>
      <c r="IH27" s="1166"/>
      <c r="II27" s="1166"/>
      <c r="IJ27" s="1166"/>
      <c r="IK27" s="1166"/>
      <c r="IL27" s="1166"/>
      <c r="IM27" s="1166"/>
      <c r="IN27" s="1166"/>
      <c r="IO27" s="1166"/>
      <c r="IP27" s="1166"/>
      <c r="IQ27" s="1166"/>
      <c r="IR27" s="1166"/>
      <c r="IS27" s="1166"/>
      <c r="IT27" s="1166"/>
      <c r="IU27" s="1166"/>
      <c r="IV27" s="1166"/>
    </row>
    <row r="28" spans="1:256" s="1464" customFormat="1" ht="18" customHeight="1" x14ac:dyDescent="0.35">
      <c r="A28" s="1452">
        <v>19</v>
      </c>
      <c r="B28" s="1465"/>
      <c r="C28" s="1187"/>
      <c r="D28" s="1481" t="s">
        <v>231</v>
      </c>
      <c r="E28" s="1468"/>
      <c r="F28" s="1490"/>
      <c r="G28" s="1478"/>
      <c r="H28" s="1479"/>
      <c r="I28" s="1569"/>
      <c r="J28" s="1489"/>
      <c r="K28" s="1488"/>
      <c r="L28" s="1488"/>
      <c r="M28" s="1491">
        <v>17000</v>
      </c>
      <c r="N28" s="1488"/>
      <c r="O28" s="1222">
        <f>SUM(I28:N28)</f>
        <v>17000</v>
      </c>
      <c r="P28" s="1475"/>
      <c r="Q28" s="1166"/>
      <c r="R28" s="1166"/>
      <c r="S28" s="1166"/>
      <c r="T28" s="1166"/>
      <c r="U28" s="1166"/>
      <c r="V28" s="1166"/>
      <c r="W28" s="1166"/>
      <c r="X28" s="1166"/>
      <c r="Y28" s="1166"/>
      <c r="Z28" s="1166"/>
      <c r="AA28" s="1166"/>
      <c r="AB28" s="1166"/>
      <c r="AC28" s="1166"/>
      <c r="AD28" s="1166"/>
      <c r="AE28" s="1166"/>
      <c r="AF28" s="1166"/>
      <c r="AG28" s="1166"/>
      <c r="AH28" s="1166"/>
      <c r="AI28" s="1166"/>
      <c r="AJ28" s="1166"/>
      <c r="AK28" s="1166"/>
      <c r="AL28" s="1166"/>
      <c r="AM28" s="1166"/>
      <c r="AN28" s="1166"/>
      <c r="AO28" s="1166"/>
      <c r="AP28" s="1166"/>
      <c r="AQ28" s="1166"/>
      <c r="AR28" s="1166"/>
      <c r="AS28" s="1166"/>
      <c r="AT28" s="1166"/>
      <c r="AU28" s="1166"/>
      <c r="AV28" s="1166"/>
      <c r="AW28" s="1166"/>
      <c r="AX28" s="1166"/>
      <c r="AY28" s="1166"/>
      <c r="AZ28" s="1166"/>
      <c r="BA28" s="1166"/>
      <c r="BB28" s="1166"/>
      <c r="BC28" s="1166"/>
      <c r="BD28" s="1166"/>
      <c r="BE28" s="1166"/>
      <c r="BF28" s="1166"/>
      <c r="BG28" s="1166"/>
      <c r="BH28" s="1166"/>
      <c r="BI28" s="1166"/>
      <c r="BJ28" s="1166"/>
      <c r="BK28" s="1166"/>
      <c r="BL28" s="1166"/>
      <c r="BM28" s="1166"/>
      <c r="BN28" s="1166"/>
      <c r="BO28" s="1166"/>
      <c r="BP28" s="1166"/>
      <c r="BQ28" s="1166"/>
      <c r="BR28" s="1166"/>
      <c r="BS28" s="1166"/>
      <c r="BT28" s="1166"/>
      <c r="BU28" s="1166"/>
      <c r="BV28" s="1166"/>
      <c r="BW28" s="1166"/>
      <c r="BX28" s="1166"/>
      <c r="BY28" s="1166"/>
      <c r="BZ28" s="1166"/>
      <c r="CA28" s="1166"/>
      <c r="CB28" s="1166"/>
      <c r="CC28" s="1166"/>
      <c r="CD28" s="1166"/>
      <c r="CE28" s="1166"/>
      <c r="CF28" s="1166"/>
      <c r="CG28" s="1166"/>
      <c r="CH28" s="1166"/>
      <c r="CI28" s="1166"/>
      <c r="CJ28" s="1166"/>
      <c r="CK28" s="1166"/>
      <c r="CL28" s="1166"/>
      <c r="CM28" s="1166"/>
      <c r="CN28" s="1166"/>
      <c r="CO28" s="1166"/>
      <c r="CP28" s="1166"/>
      <c r="CQ28" s="1166"/>
      <c r="CR28" s="1166"/>
      <c r="CS28" s="1166"/>
      <c r="CT28" s="1166"/>
      <c r="CU28" s="1166"/>
      <c r="CV28" s="1166"/>
      <c r="CW28" s="1166"/>
      <c r="CX28" s="1166"/>
      <c r="CY28" s="1166"/>
      <c r="CZ28" s="1166"/>
      <c r="DA28" s="1166"/>
      <c r="DB28" s="1166"/>
      <c r="DC28" s="1166"/>
      <c r="DD28" s="1166"/>
      <c r="DE28" s="1166"/>
      <c r="DF28" s="1166"/>
      <c r="DG28" s="1166"/>
      <c r="DH28" s="1166"/>
      <c r="DI28" s="1166"/>
      <c r="DJ28" s="1166"/>
      <c r="DK28" s="1166"/>
      <c r="DL28" s="1166"/>
      <c r="DM28" s="1166"/>
      <c r="DN28" s="1166"/>
      <c r="DO28" s="1166"/>
      <c r="DP28" s="1166"/>
      <c r="DQ28" s="1166"/>
      <c r="DR28" s="1166"/>
      <c r="DS28" s="1166"/>
      <c r="DT28" s="1166"/>
      <c r="DU28" s="1166"/>
      <c r="DV28" s="1166"/>
      <c r="DW28" s="1166"/>
      <c r="DX28" s="1166"/>
      <c r="DY28" s="1166"/>
      <c r="DZ28" s="1166"/>
      <c r="EA28" s="1166"/>
      <c r="EB28" s="1166"/>
      <c r="EC28" s="1166"/>
      <c r="ED28" s="1166"/>
      <c r="EE28" s="1166"/>
      <c r="EF28" s="1166"/>
      <c r="EG28" s="1166"/>
      <c r="EH28" s="1166"/>
      <c r="EI28" s="1166"/>
      <c r="EJ28" s="1166"/>
      <c r="EK28" s="1166"/>
      <c r="EL28" s="1166"/>
      <c r="EM28" s="1166"/>
      <c r="EN28" s="1166"/>
      <c r="EO28" s="1166"/>
      <c r="EP28" s="1166"/>
      <c r="EQ28" s="1166"/>
      <c r="ER28" s="1166"/>
      <c r="ES28" s="1166"/>
      <c r="ET28" s="1166"/>
      <c r="EU28" s="1166"/>
      <c r="EV28" s="1166"/>
      <c r="EW28" s="1166"/>
      <c r="EX28" s="1166"/>
      <c r="EY28" s="1166"/>
      <c r="EZ28" s="1166"/>
      <c r="FA28" s="1166"/>
      <c r="FB28" s="1166"/>
      <c r="FC28" s="1166"/>
      <c r="FD28" s="1166"/>
      <c r="FE28" s="1166"/>
      <c r="FF28" s="1166"/>
      <c r="FG28" s="1166"/>
      <c r="FH28" s="1166"/>
      <c r="FI28" s="1166"/>
      <c r="FJ28" s="1166"/>
      <c r="FK28" s="1166"/>
      <c r="FL28" s="1166"/>
      <c r="FM28" s="1166"/>
      <c r="FN28" s="1166"/>
      <c r="FO28" s="1166"/>
      <c r="FP28" s="1166"/>
      <c r="FQ28" s="1166"/>
      <c r="FR28" s="1166"/>
      <c r="FS28" s="1166"/>
      <c r="FT28" s="1166"/>
      <c r="FU28" s="1166"/>
      <c r="FV28" s="1166"/>
      <c r="FW28" s="1166"/>
      <c r="FX28" s="1166"/>
      <c r="FY28" s="1166"/>
      <c r="FZ28" s="1166"/>
      <c r="GA28" s="1166"/>
      <c r="GB28" s="1166"/>
      <c r="GC28" s="1166"/>
      <c r="GD28" s="1166"/>
      <c r="GE28" s="1166"/>
      <c r="GF28" s="1166"/>
      <c r="GG28" s="1166"/>
      <c r="GH28" s="1166"/>
      <c r="GI28" s="1166"/>
      <c r="GJ28" s="1166"/>
      <c r="GK28" s="1166"/>
      <c r="GL28" s="1166"/>
      <c r="GM28" s="1166"/>
      <c r="GN28" s="1166"/>
      <c r="GO28" s="1166"/>
      <c r="GP28" s="1166"/>
      <c r="GQ28" s="1166"/>
      <c r="GR28" s="1166"/>
      <c r="GS28" s="1166"/>
      <c r="GT28" s="1166"/>
      <c r="GU28" s="1166"/>
      <c r="GV28" s="1166"/>
      <c r="GW28" s="1166"/>
      <c r="GX28" s="1166"/>
      <c r="GY28" s="1166"/>
      <c r="GZ28" s="1166"/>
      <c r="HA28" s="1166"/>
      <c r="HB28" s="1166"/>
      <c r="HC28" s="1166"/>
      <c r="HD28" s="1166"/>
      <c r="HE28" s="1166"/>
      <c r="HF28" s="1166"/>
      <c r="HG28" s="1166"/>
      <c r="HH28" s="1166"/>
      <c r="HI28" s="1166"/>
      <c r="HJ28" s="1166"/>
      <c r="HK28" s="1166"/>
      <c r="HL28" s="1166"/>
      <c r="HM28" s="1166"/>
      <c r="HN28" s="1166"/>
      <c r="HO28" s="1166"/>
      <c r="HP28" s="1166"/>
      <c r="HQ28" s="1166"/>
      <c r="HR28" s="1166"/>
      <c r="HS28" s="1166"/>
      <c r="HT28" s="1166"/>
      <c r="HU28" s="1166"/>
      <c r="HV28" s="1166"/>
      <c r="HW28" s="1166"/>
      <c r="HX28" s="1166"/>
      <c r="HY28" s="1166"/>
      <c r="HZ28" s="1166"/>
      <c r="IA28" s="1166"/>
      <c r="IB28" s="1166"/>
      <c r="IC28" s="1166"/>
      <c r="ID28" s="1166"/>
      <c r="IE28" s="1166"/>
      <c r="IF28" s="1166"/>
      <c r="IG28" s="1166"/>
      <c r="IH28" s="1166"/>
      <c r="II28" s="1166"/>
      <c r="IJ28" s="1166"/>
      <c r="IK28" s="1166"/>
      <c r="IL28" s="1166"/>
      <c r="IM28" s="1166"/>
      <c r="IN28" s="1166"/>
      <c r="IO28" s="1166"/>
      <c r="IP28" s="1166"/>
      <c r="IQ28" s="1166"/>
      <c r="IR28" s="1166"/>
      <c r="IS28" s="1166"/>
      <c r="IT28" s="1166"/>
      <c r="IU28" s="1166"/>
      <c r="IV28" s="1166"/>
    </row>
    <row r="29" spans="1:256" s="1464" customFormat="1" ht="18" customHeight="1" x14ac:dyDescent="0.35">
      <c r="A29" s="1452">
        <v>20</v>
      </c>
      <c r="B29" s="1465"/>
      <c r="C29" s="1187"/>
      <c r="D29" s="1484" t="s">
        <v>245</v>
      </c>
      <c r="E29" s="1468"/>
      <c r="F29" s="1490"/>
      <c r="G29" s="1478"/>
      <c r="H29" s="1479"/>
      <c r="I29" s="1569"/>
      <c r="J29" s="1489"/>
      <c r="K29" s="1488"/>
      <c r="L29" s="1488"/>
      <c r="M29" s="1488"/>
      <c r="N29" s="1488"/>
      <c r="O29" s="1581">
        <f>SUM(I29:N29)</f>
        <v>0</v>
      </c>
      <c r="P29" s="1475"/>
      <c r="Q29" s="1166"/>
      <c r="R29" s="1166"/>
      <c r="S29" s="1166"/>
      <c r="T29" s="1166"/>
      <c r="U29" s="1166"/>
      <c r="V29" s="1166"/>
      <c r="W29" s="1166"/>
      <c r="X29" s="1166"/>
      <c r="Y29" s="1166"/>
      <c r="Z29" s="1166"/>
      <c r="AA29" s="1166"/>
      <c r="AB29" s="1166"/>
      <c r="AC29" s="1166"/>
      <c r="AD29" s="1166"/>
      <c r="AE29" s="1166"/>
      <c r="AF29" s="1166"/>
      <c r="AG29" s="1166"/>
      <c r="AH29" s="1166"/>
      <c r="AI29" s="1166"/>
      <c r="AJ29" s="1166"/>
      <c r="AK29" s="1166"/>
      <c r="AL29" s="1166"/>
      <c r="AM29" s="1166"/>
      <c r="AN29" s="1166"/>
      <c r="AO29" s="1166"/>
      <c r="AP29" s="1166"/>
      <c r="AQ29" s="1166"/>
      <c r="AR29" s="1166"/>
      <c r="AS29" s="1166"/>
      <c r="AT29" s="1166"/>
      <c r="AU29" s="1166"/>
      <c r="AV29" s="1166"/>
      <c r="AW29" s="1166"/>
      <c r="AX29" s="1166"/>
      <c r="AY29" s="1166"/>
      <c r="AZ29" s="1166"/>
      <c r="BA29" s="1166"/>
      <c r="BB29" s="1166"/>
      <c r="BC29" s="1166"/>
      <c r="BD29" s="1166"/>
      <c r="BE29" s="1166"/>
      <c r="BF29" s="1166"/>
      <c r="BG29" s="1166"/>
      <c r="BH29" s="1166"/>
      <c r="BI29" s="1166"/>
      <c r="BJ29" s="1166"/>
      <c r="BK29" s="1166"/>
      <c r="BL29" s="1166"/>
      <c r="BM29" s="1166"/>
      <c r="BN29" s="1166"/>
      <c r="BO29" s="1166"/>
      <c r="BP29" s="1166"/>
      <c r="BQ29" s="1166"/>
      <c r="BR29" s="1166"/>
      <c r="BS29" s="1166"/>
      <c r="BT29" s="1166"/>
      <c r="BU29" s="1166"/>
      <c r="BV29" s="1166"/>
      <c r="BW29" s="1166"/>
      <c r="BX29" s="1166"/>
      <c r="BY29" s="1166"/>
      <c r="BZ29" s="1166"/>
      <c r="CA29" s="1166"/>
      <c r="CB29" s="1166"/>
      <c r="CC29" s="1166"/>
      <c r="CD29" s="1166"/>
      <c r="CE29" s="1166"/>
      <c r="CF29" s="1166"/>
      <c r="CG29" s="1166"/>
      <c r="CH29" s="1166"/>
      <c r="CI29" s="1166"/>
      <c r="CJ29" s="1166"/>
      <c r="CK29" s="1166"/>
      <c r="CL29" s="1166"/>
      <c r="CM29" s="1166"/>
      <c r="CN29" s="1166"/>
      <c r="CO29" s="1166"/>
      <c r="CP29" s="1166"/>
      <c r="CQ29" s="1166"/>
      <c r="CR29" s="1166"/>
      <c r="CS29" s="1166"/>
      <c r="CT29" s="1166"/>
      <c r="CU29" s="1166"/>
      <c r="CV29" s="1166"/>
      <c r="CW29" s="1166"/>
      <c r="CX29" s="1166"/>
      <c r="CY29" s="1166"/>
      <c r="CZ29" s="1166"/>
      <c r="DA29" s="1166"/>
      <c r="DB29" s="1166"/>
      <c r="DC29" s="1166"/>
      <c r="DD29" s="1166"/>
      <c r="DE29" s="1166"/>
      <c r="DF29" s="1166"/>
      <c r="DG29" s="1166"/>
      <c r="DH29" s="1166"/>
      <c r="DI29" s="1166"/>
      <c r="DJ29" s="1166"/>
      <c r="DK29" s="1166"/>
      <c r="DL29" s="1166"/>
      <c r="DM29" s="1166"/>
      <c r="DN29" s="1166"/>
      <c r="DO29" s="1166"/>
      <c r="DP29" s="1166"/>
      <c r="DQ29" s="1166"/>
      <c r="DR29" s="1166"/>
      <c r="DS29" s="1166"/>
      <c r="DT29" s="1166"/>
      <c r="DU29" s="1166"/>
      <c r="DV29" s="1166"/>
      <c r="DW29" s="1166"/>
      <c r="DX29" s="1166"/>
      <c r="DY29" s="1166"/>
      <c r="DZ29" s="1166"/>
      <c r="EA29" s="1166"/>
      <c r="EB29" s="1166"/>
      <c r="EC29" s="1166"/>
      <c r="ED29" s="1166"/>
      <c r="EE29" s="1166"/>
      <c r="EF29" s="1166"/>
      <c r="EG29" s="1166"/>
      <c r="EH29" s="1166"/>
      <c r="EI29" s="1166"/>
      <c r="EJ29" s="1166"/>
      <c r="EK29" s="1166"/>
      <c r="EL29" s="1166"/>
      <c r="EM29" s="1166"/>
      <c r="EN29" s="1166"/>
      <c r="EO29" s="1166"/>
      <c r="EP29" s="1166"/>
      <c r="EQ29" s="1166"/>
      <c r="ER29" s="1166"/>
      <c r="ES29" s="1166"/>
      <c r="ET29" s="1166"/>
      <c r="EU29" s="1166"/>
      <c r="EV29" s="1166"/>
      <c r="EW29" s="1166"/>
      <c r="EX29" s="1166"/>
      <c r="EY29" s="1166"/>
      <c r="EZ29" s="1166"/>
      <c r="FA29" s="1166"/>
      <c r="FB29" s="1166"/>
      <c r="FC29" s="1166"/>
      <c r="FD29" s="1166"/>
      <c r="FE29" s="1166"/>
      <c r="FF29" s="1166"/>
      <c r="FG29" s="1166"/>
      <c r="FH29" s="1166"/>
      <c r="FI29" s="1166"/>
      <c r="FJ29" s="1166"/>
      <c r="FK29" s="1166"/>
      <c r="FL29" s="1166"/>
      <c r="FM29" s="1166"/>
      <c r="FN29" s="1166"/>
      <c r="FO29" s="1166"/>
      <c r="FP29" s="1166"/>
      <c r="FQ29" s="1166"/>
      <c r="FR29" s="1166"/>
      <c r="FS29" s="1166"/>
      <c r="FT29" s="1166"/>
      <c r="FU29" s="1166"/>
      <c r="FV29" s="1166"/>
      <c r="FW29" s="1166"/>
      <c r="FX29" s="1166"/>
      <c r="FY29" s="1166"/>
      <c r="FZ29" s="1166"/>
      <c r="GA29" s="1166"/>
      <c r="GB29" s="1166"/>
      <c r="GC29" s="1166"/>
      <c r="GD29" s="1166"/>
      <c r="GE29" s="1166"/>
      <c r="GF29" s="1166"/>
      <c r="GG29" s="1166"/>
      <c r="GH29" s="1166"/>
      <c r="GI29" s="1166"/>
      <c r="GJ29" s="1166"/>
      <c r="GK29" s="1166"/>
      <c r="GL29" s="1166"/>
      <c r="GM29" s="1166"/>
      <c r="GN29" s="1166"/>
      <c r="GO29" s="1166"/>
      <c r="GP29" s="1166"/>
      <c r="GQ29" s="1166"/>
      <c r="GR29" s="1166"/>
      <c r="GS29" s="1166"/>
      <c r="GT29" s="1166"/>
      <c r="GU29" s="1166"/>
      <c r="GV29" s="1166"/>
      <c r="GW29" s="1166"/>
      <c r="GX29" s="1166"/>
      <c r="GY29" s="1166"/>
      <c r="GZ29" s="1166"/>
      <c r="HA29" s="1166"/>
      <c r="HB29" s="1166"/>
      <c r="HC29" s="1166"/>
      <c r="HD29" s="1166"/>
      <c r="HE29" s="1166"/>
      <c r="HF29" s="1166"/>
      <c r="HG29" s="1166"/>
      <c r="HH29" s="1166"/>
      <c r="HI29" s="1166"/>
      <c r="HJ29" s="1166"/>
      <c r="HK29" s="1166"/>
      <c r="HL29" s="1166"/>
      <c r="HM29" s="1166"/>
      <c r="HN29" s="1166"/>
      <c r="HO29" s="1166"/>
      <c r="HP29" s="1166"/>
      <c r="HQ29" s="1166"/>
      <c r="HR29" s="1166"/>
      <c r="HS29" s="1166"/>
      <c r="HT29" s="1166"/>
      <c r="HU29" s="1166"/>
      <c r="HV29" s="1166"/>
      <c r="HW29" s="1166"/>
      <c r="HX29" s="1166"/>
      <c r="HY29" s="1166"/>
      <c r="HZ29" s="1166"/>
      <c r="IA29" s="1166"/>
      <c r="IB29" s="1166"/>
      <c r="IC29" s="1166"/>
      <c r="ID29" s="1166"/>
      <c r="IE29" s="1166"/>
      <c r="IF29" s="1166"/>
      <c r="IG29" s="1166"/>
      <c r="IH29" s="1166"/>
      <c r="II29" s="1166"/>
      <c r="IJ29" s="1166"/>
      <c r="IK29" s="1166"/>
      <c r="IL29" s="1166"/>
      <c r="IM29" s="1166"/>
      <c r="IN29" s="1166"/>
      <c r="IO29" s="1166"/>
      <c r="IP29" s="1166"/>
      <c r="IQ29" s="1166"/>
      <c r="IR29" s="1166"/>
      <c r="IS29" s="1166"/>
      <c r="IT29" s="1166"/>
      <c r="IU29" s="1166"/>
      <c r="IV29" s="1166"/>
    </row>
    <row r="30" spans="1:256" s="1464" customFormat="1" ht="18" customHeight="1" x14ac:dyDescent="0.35">
      <c r="A30" s="1452">
        <v>21</v>
      </c>
      <c r="B30" s="1465"/>
      <c r="C30" s="1187"/>
      <c r="D30" s="1481" t="s">
        <v>233</v>
      </c>
      <c r="E30" s="1468"/>
      <c r="F30" s="1490"/>
      <c r="G30" s="1478"/>
      <c r="H30" s="1479"/>
      <c r="I30" s="1569"/>
      <c r="J30" s="1489"/>
      <c r="K30" s="1488"/>
      <c r="L30" s="1488"/>
      <c r="M30" s="1491">
        <f>SUM(M28:M29)</f>
        <v>17000</v>
      </c>
      <c r="N30" s="1488"/>
      <c r="O30" s="1222">
        <f>SUM(I30:N30)</f>
        <v>17000</v>
      </c>
      <c r="P30" s="1475"/>
      <c r="Q30" s="1166"/>
      <c r="R30" s="1166"/>
      <c r="S30" s="1166"/>
      <c r="T30" s="1166"/>
      <c r="U30" s="1166"/>
      <c r="V30" s="1166"/>
      <c r="W30" s="1166"/>
      <c r="X30" s="1166"/>
      <c r="Y30" s="1166"/>
      <c r="Z30" s="1166"/>
      <c r="AA30" s="1166"/>
      <c r="AB30" s="1166"/>
      <c r="AC30" s="1166"/>
      <c r="AD30" s="1166"/>
      <c r="AE30" s="1166"/>
      <c r="AF30" s="1166"/>
      <c r="AG30" s="1166"/>
      <c r="AH30" s="1166"/>
      <c r="AI30" s="1166"/>
      <c r="AJ30" s="1166"/>
      <c r="AK30" s="1166"/>
      <c r="AL30" s="1166"/>
      <c r="AM30" s="1166"/>
      <c r="AN30" s="1166"/>
      <c r="AO30" s="1166"/>
      <c r="AP30" s="1166"/>
      <c r="AQ30" s="1166"/>
      <c r="AR30" s="1166"/>
      <c r="AS30" s="1166"/>
      <c r="AT30" s="1166"/>
      <c r="AU30" s="1166"/>
      <c r="AV30" s="1166"/>
      <c r="AW30" s="1166"/>
      <c r="AX30" s="1166"/>
      <c r="AY30" s="1166"/>
      <c r="AZ30" s="1166"/>
      <c r="BA30" s="1166"/>
      <c r="BB30" s="1166"/>
      <c r="BC30" s="1166"/>
      <c r="BD30" s="1166"/>
      <c r="BE30" s="1166"/>
      <c r="BF30" s="1166"/>
      <c r="BG30" s="1166"/>
      <c r="BH30" s="1166"/>
      <c r="BI30" s="1166"/>
      <c r="BJ30" s="1166"/>
      <c r="BK30" s="1166"/>
      <c r="BL30" s="1166"/>
      <c r="BM30" s="1166"/>
      <c r="BN30" s="1166"/>
      <c r="BO30" s="1166"/>
      <c r="BP30" s="1166"/>
      <c r="BQ30" s="1166"/>
      <c r="BR30" s="1166"/>
      <c r="BS30" s="1166"/>
      <c r="BT30" s="1166"/>
      <c r="BU30" s="1166"/>
      <c r="BV30" s="1166"/>
      <c r="BW30" s="1166"/>
      <c r="BX30" s="1166"/>
      <c r="BY30" s="1166"/>
      <c r="BZ30" s="1166"/>
      <c r="CA30" s="1166"/>
      <c r="CB30" s="1166"/>
      <c r="CC30" s="1166"/>
      <c r="CD30" s="1166"/>
      <c r="CE30" s="1166"/>
      <c r="CF30" s="1166"/>
      <c r="CG30" s="1166"/>
      <c r="CH30" s="1166"/>
      <c r="CI30" s="1166"/>
      <c r="CJ30" s="1166"/>
      <c r="CK30" s="1166"/>
      <c r="CL30" s="1166"/>
      <c r="CM30" s="1166"/>
      <c r="CN30" s="1166"/>
      <c r="CO30" s="1166"/>
      <c r="CP30" s="1166"/>
      <c r="CQ30" s="1166"/>
      <c r="CR30" s="1166"/>
      <c r="CS30" s="1166"/>
      <c r="CT30" s="1166"/>
      <c r="CU30" s="1166"/>
      <c r="CV30" s="1166"/>
      <c r="CW30" s="1166"/>
      <c r="CX30" s="1166"/>
      <c r="CY30" s="1166"/>
      <c r="CZ30" s="1166"/>
      <c r="DA30" s="1166"/>
      <c r="DB30" s="1166"/>
      <c r="DC30" s="1166"/>
      <c r="DD30" s="1166"/>
      <c r="DE30" s="1166"/>
      <c r="DF30" s="1166"/>
      <c r="DG30" s="1166"/>
      <c r="DH30" s="1166"/>
      <c r="DI30" s="1166"/>
      <c r="DJ30" s="1166"/>
      <c r="DK30" s="1166"/>
      <c r="DL30" s="1166"/>
      <c r="DM30" s="1166"/>
      <c r="DN30" s="1166"/>
      <c r="DO30" s="1166"/>
      <c r="DP30" s="1166"/>
      <c r="DQ30" s="1166"/>
      <c r="DR30" s="1166"/>
      <c r="DS30" s="1166"/>
      <c r="DT30" s="1166"/>
      <c r="DU30" s="1166"/>
      <c r="DV30" s="1166"/>
      <c r="DW30" s="1166"/>
      <c r="DX30" s="1166"/>
      <c r="DY30" s="1166"/>
      <c r="DZ30" s="1166"/>
      <c r="EA30" s="1166"/>
      <c r="EB30" s="1166"/>
      <c r="EC30" s="1166"/>
      <c r="ED30" s="1166"/>
      <c r="EE30" s="1166"/>
      <c r="EF30" s="1166"/>
      <c r="EG30" s="1166"/>
      <c r="EH30" s="1166"/>
      <c r="EI30" s="1166"/>
      <c r="EJ30" s="1166"/>
      <c r="EK30" s="1166"/>
      <c r="EL30" s="1166"/>
      <c r="EM30" s="1166"/>
      <c r="EN30" s="1166"/>
      <c r="EO30" s="1166"/>
      <c r="EP30" s="1166"/>
      <c r="EQ30" s="1166"/>
      <c r="ER30" s="1166"/>
      <c r="ES30" s="1166"/>
      <c r="ET30" s="1166"/>
      <c r="EU30" s="1166"/>
      <c r="EV30" s="1166"/>
      <c r="EW30" s="1166"/>
      <c r="EX30" s="1166"/>
      <c r="EY30" s="1166"/>
      <c r="EZ30" s="1166"/>
      <c r="FA30" s="1166"/>
      <c r="FB30" s="1166"/>
      <c r="FC30" s="1166"/>
      <c r="FD30" s="1166"/>
      <c r="FE30" s="1166"/>
      <c r="FF30" s="1166"/>
      <c r="FG30" s="1166"/>
      <c r="FH30" s="1166"/>
      <c r="FI30" s="1166"/>
      <c r="FJ30" s="1166"/>
      <c r="FK30" s="1166"/>
      <c r="FL30" s="1166"/>
      <c r="FM30" s="1166"/>
      <c r="FN30" s="1166"/>
      <c r="FO30" s="1166"/>
      <c r="FP30" s="1166"/>
      <c r="FQ30" s="1166"/>
      <c r="FR30" s="1166"/>
      <c r="FS30" s="1166"/>
      <c r="FT30" s="1166"/>
      <c r="FU30" s="1166"/>
      <c r="FV30" s="1166"/>
      <c r="FW30" s="1166"/>
      <c r="FX30" s="1166"/>
      <c r="FY30" s="1166"/>
      <c r="FZ30" s="1166"/>
      <c r="GA30" s="1166"/>
      <c r="GB30" s="1166"/>
      <c r="GC30" s="1166"/>
      <c r="GD30" s="1166"/>
      <c r="GE30" s="1166"/>
      <c r="GF30" s="1166"/>
      <c r="GG30" s="1166"/>
      <c r="GH30" s="1166"/>
      <c r="GI30" s="1166"/>
      <c r="GJ30" s="1166"/>
      <c r="GK30" s="1166"/>
      <c r="GL30" s="1166"/>
      <c r="GM30" s="1166"/>
      <c r="GN30" s="1166"/>
      <c r="GO30" s="1166"/>
      <c r="GP30" s="1166"/>
      <c r="GQ30" s="1166"/>
      <c r="GR30" s="1166"/>
      <c r="GS30" s="1166"/>
      <c r="GT30" s="1166"/>
      <c r="GU30" s="1166"/>
      <c r="GV30" s="1166"/>
      <c r="GW30" s="1166"/>
      <c r="GX30" s="1166"/>
      <c r="GY30" s="1166"/>
      <c r="GZ30" s="1166"/>
      <c r="HA30" s="1166"/>
      <c r="HB30" s="1166"/>
      <c r="HC30" s="1166"/>
      <c r="HD30" s="1166"/>
      <c r="HE30" s="1166"/>
      <c r="HF30" s="1166"/>
      <c r="HG30" s="1166"/>
      <c r="HH30" s="1166"/>
      <c r="HI30" s="1166"/>
      <c r="HJ30" s="1166"/>
      <c r="HK30" s="1166"/>
      <c r="HL30" s="1166"/>
      <c r="HM30" s="1166"/>
      <c r="HN30" s="1166"/>
      <c r="HO30" s="1166"/>
      <c r="HP30" s="1166"/>
      <c r="HQ30" s="1166"/>
      <c r="HR30" s="1166"/>
      <c r="HS30" s="1166"/>
      <c r="HT30" s="1166"/>
      <c r="HU30" s="1166"/>
      <c r="HV30" s="1166"/>
      <c r="HW30" s="1166"/>
      <c r="HX30" s="1166"/>
      <c r="HY30" s="1166"/>
      <c r="HZ30" s="1166"/>
      <c r="IA30" s="1166"/>
      <c r="IB30" s="1166"/>
      <c r="IC30" s="1166"/>
      <c r="ID30" s="1166"/>
      <c r="IE30" s="1166"/>
      <c r="IF30" s="1166"/>
      <c r="IG30" s="1166"/>
      <c r="IH30" s="1166"/>
      <c r="II30" s="1166"/>
      <c r="IJ30" s="1166"/>
      <c r="IK30" s="1166"/>
      <c r="IL30" s="1166"/>
      <c r="IM30" s="1166"/>
      <c r="IN30" s="1166"/>
      <c r="IO30" s="1166"/>
      <c r="IP30" s="1166"/>
      <c r="IQ30" s="1166"/>
      <c r="IR30" s="1166"/>
      <c r="IS30" s="1166"/>
      <c r="IT30" s="1166"/>
      <c r="IU30" s="1166"/>
      <c r="IV30" s="1166"/>
    </row>
    <row r="31" spans="1:256" s="1464" customFormat="1" ht="22.5" customHeight="1" x14ac:dyDescent="0.35">
      <c r="A31" s="1452">
        <v>22</v>
      </c>
      <c r="B31" s="1465"/>
      <c r="C31" s="1187">
        <v>14</v>
      </c>
      <c r="D31" s="1223" t="s">
        <v>991</v>
      </c>
      <c r="E31" s="1468">
        <f>F31+G31+O32+P32</f>
        <v>63500</v>
      </c>
      <c r="F31" s="1490"/>
      <c r="G31" s="1478"/>
      <c r="H31" s="1479" t="s">
        <v>296</v>
      </c>
      <c r="I31" s="1569"/>
      <c r="J31" s="1489"/>
      <c r="K31" s="1488"/>
      <c r="L31" s="1488"/>
      <c r="M31" s="1488"/>
      <c r="N31" s="1488"/>
      <c r="O31" s="1480"/>
      <c r="P31" s="1475"/>
      <c r="Q31" s="1166"/>
      <c r="R31" s="1166"/>
      <c r="S31" s="1166"/>
      <c r="T31" s="1166"/>
      <c r="U31" s="1166"/>
      <c r="V31" s="1166"/>
      <c r="W31" s="1166"/>
      <c r="X31" s="1166"/>
      <c r="Y31" s="1166"/>
      <c r="Z31" s="1166"/>
      <c r="AA31" s="1166"/>
      <c r="AB31" s="1166"/>
      <c r="AC31" s="1166"/>
      <c r="AD31" s="1166"/>
      <c r="AE31" s="1166"/>
      <c r="AF31" s="1166"/>
      <c r="AG31" s="1166"/>
      <c r="AH31" s="1166"/>
      <c r="AI31" s="1166"/>
      <c r="AJ31" s="1166"/>
      <c r="AK31" s="1166"/>
      <c r="AL31" s="1166"/>
      <c r="AM31" s="1166"/>
      <c r="AN31" s="1166"/>
      <c r="AO31" s="1166"/>
      <c r="AP31" s="1166"/>
      <c r="AQ31" s="1166"/>
      <c r="AR31" s="1166"/>
      <c r="AS31" s="1166"/>
      <c r="AT31" s="1166"/>
      <c r="AU31" s="1166"/>
      <c r="AV31" s="1166"/>
      <c r="AW31" s="1166"/>
      <c r="AX31" s="1166"/>
      <c r="AY31" s="1166"/>
      <c r="AZ31" s="1166"/>
      <c r="BA31" s="1166"/>
      <c r="BB31" s="1166"/>
      <c r="BC31" s="1166"/>
      <c r="BD31" s="1166"/>
      <c r="BE31" s="1166"/>
      <c r="BF31" s="1166"/>
      <c r="BG31" s="1166"/>
      <c r="BH31" s="1166"/>
      <c r="BI31" s="1166"/>
      <c r="BJ31" s="1166"/>
      <c r="BK31" s="1166"/>
      <c r="BL31" s="1166"/>
      <c r="BM31" s="1166"/>
      <c r="BN31" s="1166"/>
      <c r="BO31" s="1166"/>
      <c r="BP31" s="1166"/>
      <c r="BQ31" s="1166"/>
      <c r="BR31" s="1166"/>
      <c r="BS31" s="1166"/>
      <c r="BT31" s="1166"/>
      <c r="BU31" s="1166"/>
      <c r="BV31" s="1166"/>
      <c r="BW31" s="1166"/>
      <c r="BX31" s="1166"/>
      <c r="BY31" s="1166"/>
      <c r="BZ31" s="1166"/>
      <c r="CA31" s="1166"/>
      <c r="CB31" s="1166"/>
      <c r="CC31" s="1166"/>
      <c r="CD31" s="1166"/>
      <c r="CE31" s="1166"/>
      <c r="CF31" s="1166"/>
      <c r="CG31" s="1166"/>
      <c r="CH31" s="1166"/>
      <c r="CI31" s="1166"/>
      <c r="CJ31" s="1166"/>
      <c r="CK31" s="1166"/>
      <c r="CL31" s="1166"/>
      <c r="CM31" s="1166"/>
      <c r="CN31" s="1166"/>
      <c r="CO31" s="1166"/>
      <c r="CP31" s="1166"/>
      <c r="CQ31" s="1166"/>
      <c r="CR31" s="1166"/>
      <c r="CS31" s="1166"/>
      <c r="CT31" s="1166"/>
      <c r="CU31" s="1166"/>
      <c r="CV31" s="1166"/>
      <c r="CW31" s="1166"/>
      <c r="CX31" s="1166"/>
      <c r="CY31" s="1166"/>
      <c r="CZ31" s="1166"/>
      <c r="DA31" s="1166"/>
      <c r="DB31" s="1166"/>
      <c r="DC31" s="1166"/>
      <c r="DD31" s="1166"/>
      <c r="DE31" s="1166"/>
      <c r="DF31" s="1166"/>
      <c r="DG31" s="1166"/>
      <c r="DH31" s="1166"/>
      <c r="DI31" s="1166"/>
      <c r="DJ31" s="1166"/>
      <c r="DK31" s="1166"/>
      <c r="DL31" s="1166"/>
      <c r="DM31" s="1166"/>
      <c r="DN31" s="1166"/>
      <c r="DO31" s="1166"/>
      <c r="DP31" s="1166"/>
      <c r="DQ31" s="1166"/>
      <c r="DR31" s="1166"/>
      <c r="DS31" s="1166"/>
      <c r="DT31" s="1166"/>
      <c r="DU31" s="1166"/>
      <c r="DV31" s="1166"/>
      <c r="DW31" s="1166"/>
      <c r="DX31" s="1166"/>
      <c r="DY31" s="1166"/>
      <c r="DZ31" s="1166"/>
      <c r="EA31" s="1166"/>
      <c r="EB31" s="1166"/>
      <c r="EC31" s="1166"/>
      <c r="ED31" s="1166"/>
      <c r="EE31" s="1166"/>
      <c r="EF31" s="1166"/>
      <c r="EG31" s="1166"/>
      <c r="EH31" s="1166"/>
      <c r="EI31" s="1166"/>
      <c r="EJ31" s="1166"/>
      <c r="EK31" s="1166"/>
      <c r="EL31" s="1166"/>
      <c r="EM31" s="1166"/>
      <c r="EN31" s="1166"/>
      <c r="EO31" s="1166"/>
      <c r="EP31" s="1166"/>
      <c r="EQ31" s="1166"/>
      <c r="ER31" s="1166"/>
      <c r="ES31" s="1166"/>
      <c r="ET31" s="1166"/>
      <c r="EU31" s="1166"/>
      <c r="EV31" s="1166"/>
      <c r="EW31" s="1166"/>
      <c r="EX31" s="1166"/>
      <c r="EY31" s="1166"/>
      <c r="EZ31" s="1166"/>
      <c r="FA31" s="1166"/>
      <c r="FB31" s="1166"/>
      <c r="FC31" s="1166"/>
      <c r="FD31" s="1166"/>
      <c r="FE31" s="1166"/>
      <c r="FF31" s="1166"/>
      <c r="FG31" s="1166"/>
      <c r="FH31" s="1166"/>
      <c r="FI31" s="1166"/>
      <c r="FJ31" s="1166"/>
      <c r="FK31" s="1166"/>
      <c r="FL31" s="1166"/>
      <c r="FM31" s="1166"/>
      <c r="FN31" s="1166"/>
      <c r="FO31" s="1166"/>
      <c r="FP31" s="1166"/>
      <c r="FQ31" s="1166"/>
      <c r="FR31" s="1166"/>
      <c r="FS31" s="1166"/>
      <c r="FT31" s="1166"/>
      <c r="FU31" s="1166"/>
      <c r="FV31" s="1166"/>
      <c r="FW31" s="1166"/>
      <c r="FX31" s="1166"/>
      <c r="FY31" s="1166"/>
      <c r="FZ31" s="1166"/>
      <c r="GA31" s="1166"/>
      <c r="GB31" s="1166"/>
      <c r="GC31" s="1166"/>
      <c r="GD31" s="1166"/>
      <c r="GE31" s="1166"/>
      <c r="GF31" s="1166"/>
      <c r="GG31" s="1166"/>
      <c r="GH31" s="1166"/>
      <c r="GI31" s="1166"/>
      <c r="GJ31" s="1166"/>
      <c r="GK31" s="1166"/>
      <c r="GL31" s="1166"/>
      <c r="GM31" s="1166"/>
      <c r="GN31" s="1166"/>
      <c r="GO31" s="1166"/>
      <c r="GP31" s="1166"/>
      <c r="GQ31" s="1166"/>
      <c r="GR31" s="1166"/>
      <c r="GS31" s="1166"/>
      <c r="GT31" s="1166"/>
      <c r="GU31" s="1166"/>
      <c r="GV31" s="1166"/>
      <c r="GW31" s="1166"/>
      <c r="GX31" s="1166"/>
      <c r="GY31" s="1166"/>
      <c r="GZ31" s="1166"/>
      <c r="HA31" s="1166"/>
      <c r="HB31" s="1166"/>
      <c r="HC31" s="1166"/>
      <c r="HD31" s="1166"/>
      <c r="HE31" s="1166"/>
      <c r="HF31" s="1166"/>
      <c r="HG31" s="1166"/>
      <c r="HH31" s="1166"/>
      <c r="HI31" s="1166"/>
      <c r="HJ31" s="1166"/>
      <c r="HK31" s="1166"/>
      <c r="HL31" s="1166"/>
      <c r="HM31" s="1166"/>
      <c r="HN31" s="1166"/>
      <c r="HO31" s="1166"/>
      <c r="HP31" s="1166"/>
      <c r="HQ31" s="1166"/>
      <c r="HR31" s="1166"/>
      <c r="HS31" s="1166"/>
      <c r="HT31" s="1166"/>
      <c r="HU31" s="1166"/>
      <c r="HV31" s="1166"/>
      <c r="HW31" s="1166"/>
      <c r="HX31" s="1166"/>
      <c r="HY31" s="1166"/>
      <c r="HZ31" s="1166"/>
      <c r="IA31" s="1166"/>
      <c r="IB31" s="1166"/>
      <c r="IC31" s="1166"/>
      <c r="ID31" s="1166"/>
      <c r="IE31" s="1166"/>
      <c r="IF31" s="1166"/>
      <c r="IG31" s="1166"/>
      <c r="IH31" s="1166"/>
      <c r="II31" s="1166"/>
      <c r="IJ31" s="1166"/>
      <c r="IK31" s="1166"/>
      <c r="IL31" s="1166"/>
      <c r="IM31" s="1166"/>
      <c r="IN31" s="1166"/>
      <c r="IO31" s="1166"/>
      <c r="IP31" s="1166"/>
      <c r="IQ31" s="1166"/>
      <c r="IR31" s="1166"/>
      <c r="IS31" s="1166"/>
      <c r="IT31" s="1166"/>
      <c r="IU31" s="1166"/>
      <c r="IV31" s="1166"/>
    </row>
    <row r="32" spans="1:256" s="1464" customFormat="1" ht="18" customHeight="1" x14ac:dyDescent="0.35">
      <c r="A32" s="1452">
        <v>23</v>
      </c>
      <c r="B32" s="1498"/>
      <c r="C32" s="1499"/>
      <c r="D32" s="1500" t="s">
        <v>230</v>
      </c>
      <c r="E32" s="1501"/>
      <c r="F32" s="1586"/>
      <c r="G32" s="1502"/>
      <c r="H32" s="1503"/>
      <c r="I32" s="1587"/>
      <c r="J32" s="1588"/>
      <c r="K32" s="1589">
        <v>63500</v>
      </c>
      <c r="L32" s="1589"/>
      <c r="M32" s="1589"/>
      <c r="N32" s="1589"/>
      <c r="O32" s="1507">
        <f>SUM(I32:N32)</f>
        <v>63500</v>
      </c>
      <c r="P32" s="1508"/>
      <c r="Q32" s="1166"/>
      <c r="R32" s="1166"/>
      <c r="S32" s="1166"/>
      <c r="T32" s="1166"/>
      <c r="U32" s="1166"/>
      <c r="V32" s="1166"/>
      <c r="W32" s="1166"/>
      <c r="X32" s="1166"/>
      <c r="Y32" s="1166"/>
      <c r="Z32" s="1166"/>
      <c r="AA32" s="1166"/>
      <c r="AB32" s="1166"/>
      <c r="AC32" s="1166"/>
      <c r="AD32" s="1166"/>
      <c r="AE32" s="1166"/>
      <c r="AF32" s="1166"/>
      <c r="AG32" s="1166"/>
      <c r="AH32" s="1166"/>
      <c r="AI32" s="1166"/>
      <c r="AJ32" s="1166"/>
      <c r="AK32" s="1166"/>
      <c r="AL32" s="1166"/>
      <c r="AM32" s="1166"/>
      <c r="AN32" s="1166"/>
      <c r="AO32" s="1166"/>
      <c r="AP32" s="1166"/>
      <c r="AQ32" s="1166"/>
      <c r="AR32" s="1166"/>
      <c r="AS32" s="1166"/>
      <c r="AT32" s="1166"/>
      <c r="AU32" s="1166"/>
      <c r="AV32" s="1166"/>
      <c r="AW32" s="1166"/>
      <c r="AX32" s="1166"/>
      <c r="AY32" s="1166"/>
      <c r="AZ32" s="1166"/>
      <c r="BA32" s="1166"/>
      <c r="BB32" s="1166"/>
      <c r="BC32" s="1166"/>
      <c r="BD32" s="1166"/>
      <c r="BE32" s="1166"/>
      <c r="BF32" s="1166"/>
      <c r="BG32" s="1166"/>
      <c r="BH32" s="1166"/>
      <c r="BI32" s="1166"/>
      <c r="BJ32" s="1166"/>
      <c r="BK32" s="1166"/>
      <c r="BL32" s="1166"/>
      <c r="BM32" s="1166"/>
      <c r="BN32" s="1166"/>
      <c r="BO32" s="1166"/>
      <c r="BP32" s="1166"/>
      <c r="BQ32" s="1166"/>
      <c r="BR32" s="1166"/>
      <c r="BS32" s="1166"/>
      <c r="BT32" s="1166"/>
      <c r="BU32" s="1166"/>
      <c r="BV32" s="1166"/>
      <c r="BW32" s="1166"/>
      <c r="BX32" s="1166"/>
      <c r="BY32" s="1166"/>
      <c r="BZ32" s="1166"/>
      <c r="CA32" s="1166"/>
      <c r="CB32" s="1166"/>
      <c r="CC32" s="1166"/>
      <c r="CD32" s="1166"/>
      <c r="CE32" s="1166"/>
      <c r="CF32" s="1166"/>
      <c r="CG32" s="1166"/>
      <c r="CH32" s="1166"/>
      <c r="CI32" s="1166"/>
      <c r="CJ32" s="1166"/>
      <c r="CK32" s="1166"/>
      <c r="CL32" s="1166"/>
      <c r="CM32" s="1166"/>
      <c r="CN32" s="1166"/>
      <c r="CO32" s="1166"/>
      <c r="CP32" s="1166"/>
      <c r="CQ32" s="1166"/>
      <c r="CR32" s="1166"/>
      <c r="CS32" s="1166"/>
      <c r="CT32" s="1166"/>
      <c r="CU32" s="1166"/>
      <c r="CV32" s="1166"/>
      <c r="CW32" s="1166"/>
      <c r="CX32" s="1166"/>
      <c r="CY32" s="1166"/>
      <c r="CZ32" s="1166"/>
      <c r="DA32" s="1166"/>
      <c r="DB32" s="1166"/>
      <c r="DC32" s="1166"/>
      <c r="DD32" s="1166"/>
      <c r="DE32" s="1166"/>
      <c r="DF32" s="1166"/>
      <c r="DG32" s="1166"/>
      <c r="DH32" s="1166"/>
      <c r="DI32" s="1166"/>
      <c r="DJ32" s="1166"/>
      <c r="DK32" s="1166"/>
      <c r="DL32" s="1166"/>
      <c r="DM32" s="1166"/>
      <c r="DN32" s="1166"/>
      <c r="DO32" s="1166"/>
      <c r="DP32" s="1166"/>
      <c r="DQ32" s="1166"/>
      <c r="DR32" s="1166"/>
      <c r="DS32" s="1166"/>
      <c r="DT32" s="1166"/>
      <c r="DU32" s="1166"/>
      <c r="DV32" s="1166"/>
      <c r="DW32" s="1166"/>
      <c r="DX32" s="1166"/>
      <c r="DY32" s="1166"/>
      <c r="DZ32" s="1166"/>
      <c r="EA32" s="1166"/>
      <c r="EB32" s="1166"/>
      <c r="EC32" s="1166"/>
      <c r="ED32" s="1166"/>
      <c r="EE32" s="1166"/>
      <c r="EF32" s="1166"/>
      <c r="EG32" s="1166"/>
      <c r="EH32" s="1166"/>
      <c r="EI32" s="1166"/>
      <c r="EJ32" s="1166"/>
      <c r="EK32" s="1166"/>
      <c r="EL32" s="1166"/>
      <c r="EM32" s="1166"/>
      <c r="EN32" s="1166"/>
      <c r="EO32" s="1166"/>
      <c r="EP32" s="1166"/>
      <c r="EQ32" s="1166"/>
      <c r="ER32" s="1166"/>
      <c r="ES32" s="1166"/>
      <c r="ET32" s="1166"/>
      <c r="EU32" s="1166"/>
      <c r="EV32" s="1166"/>
      <c r="EW32" s="1166"/>
      <c r="EX32" s="1166"/>
      <c r="EY32" s="1166"/>
      <c r="EZ32" s="1166"/>
      <c r="FA32" s="1166"/>
      <c r="FB32" s="1166"/>
      <c r="FC32" s="1166"/>
      <c r="FD32" s="1166"/>
      <c r="FE32" s="1166"/>
      <c r="FF32" s="1166"/>
      <c r="FG32" s="1166"/>
      <c r="FH32" s="1166"/>
      <c r="FI32" s="1166"/>
      <c r="FJ32" s="1166"/>
      <c r="FK32" s="1166"/>
      <c r="FL32" s="1166"/>
      <c r="FM32" s="1166"/>
      <c r="FN32" s="1166"/>
      <c r="FO32" s="1166"/>
      <c r="FP32" s="1166"/>
      <c r="FQ32" s="1166"/>
      <c r="FR32" s="1166"/>
      <c r="FS32" s="1166"/>
      <c r="FT32" s="1166"/>
      <c r="FU32" s="1166"/>
      <c r="FV32" s="1166"/>
      <c r="FW32" s="1166"/>
      <c r="FX32" s="1166"/>
      <c r="FY32" s="1166"/>
      <c r="FZ32" s="1166"/>
      <c r="GA32" s="1166"/>
      <c r="GB32" s="1166"/>
      <c r="GC32" s="1166"/>
      <c r="GD32" s="1166"/>
      <c r="GE32" s="1166"/>
      <c r="GF32" s="1166"/>
      <c r="GG32" s="1166"/>
      <c r="GH32" s="1166"/>
      <c r="GI32" s="1166"/>
      <c r="GJ32" s="1166"/>
      <c r="GK32" s="1166"/>
      <c r="GL32" s="1166"/>
      <c r="GM32" s="1166"/>
      <c r="GN32" s="1166"/>
      <c r="GO32" s="1166"/>
      <c r="GP32" s="1166"/>
      <c r="GQ32" s="1166"/>
      <c r="GR32" s="1166"/>
      <c r="GS32" s="1166"/>
      <c r="GT32" s="1166"/>
      <c r="GU32" s="1166"/>
      <c r="GV32" s="1166"/>
      <c r="GW32" s="1166"/>
      <c r="GX32" s="1166"/>
      <c r="GY32" s="1166"/>
      <c r="GZ32" s="1166"/>
      <c r="HA32" s="1166"/>
      <c r="HB32" s="1166"/>
      <c r="HC32" s="1166"/>
      <c r="HD32" s="1166"/>
      <c r="HE32" s="1166"/>
      <c r="HF32" s="1166"/>
      <c r="HG32" s="1166"/>
      <c r="HH32" s="1166"/>
      <c r="HI32" s="1166"/>
      <c r="HJ32" s="1166"/>
      <c r="HK32" s="1166"/>
      <c r="HL32" s="1166"/>
      <c r="HM32" s="1166"/>
      <c r="HN32" s="1166"/>
      <c r="HO32" s="1166"/>
      <c r="HP32" s="1166"/>
      <c r="HQ32" s="1166"/>
      <c r="HR32" s="1166"/>
      <c r="HS32" s="1166"/>
      <c r="HT32" s="1166"/>
      <c r="HU32" s="1166"/>
      <c r="HV32" s="1166"/>
      <c r="HW32" s="1166"/>
      <c r="HX32" s="1166"/>
      <c r="HY32" s="1166"/>
      <c r="HZ32" s="1166"/>
      <c r="IA32" s="1166"/>
      <c r="IB32" s="1166"/>
      <c r="IC32" s="1166"/>
      <c r="ID32" s="1166"/>
      <c r="IE32" s="1166"/>
      <c r="IF32" s="1166"/>
      <c r="IG32" s="1166"/>
      <c r="IH32" s="1166"/>
      <c r="II32" s="1166"/>
      <c r="IJ32" s="1166"/>
      <c r="IK32" s="1166"/>
      <c r="IL32" s="1166"/>
      <c r="IM32" s="1166"/>
      <c r="IN32" s="1166"/>
      <c r="IO32" s="1166"/>
      <c r="IP32" s="1166"/>
      <c r="IQ32" s="1166"/>
      <c r="IR32" s="1166"/>
      <c r="IS32" s="1166"/>
      <c r="IT32" s="1166"/>
      <c r="IU32" s="1166"/>
      <c r="IV32" s="1166"/>
    </row>
    <row r="33" spans="1:256" s="1464" customFormat="1" ht="18" customHeight="1" x14ac:dyDescent="0.35">
      <c r="A33" s="1452">
        <v>24</v>
      </c>
      <c r="B33" s="1525"/>
      <c r="C33" s="1187"/>
      <c r="D33" s="1290" t="s">
        <v>231</v>
      </c>
      <c r="E33" s="1468"/>
      <c r="F33" s="1490"/>
      <c r="G33" s="1520"/>
      <c r="H33" s="1479"/>
      <c r="I33" s="1569"/>
      <c r="J33" s="1569"/>
      <c r="K33" s="1494">
        <v>63500</v>
      </c>
      <c r="L33" s="1487"/>
      <c r="M33" s="1487"/>
      <c r="N33" s="1487"/>
      <c r="O33" s="1222">
        <f>SUM(I33:N33)</f>
        <v>63500</v>
      </c>
      <c r="P33" s="1475"/>
      <c r="Q33" s="1166"/>
      <c r="R33" s="1166"/>
      <c r="S33" s="1166"/>
      <c r="T33" s="1166"/>
      <c r="U33" s="1166"/>
      <c r="V33" s="1166"/>
      <c r="W33" s="1166"/>
      <c r="X33" s="1166"/>
      <c r="Y33" s="1166"/>
      <c r="Z33" s="1166"/>
      <c r="AA33" s="1166"/>
      <c r="AB33" s="1166"/>
      <c r="AC33" s="1166"/>
      <c r="AD33" s="1166"/>
      <c r="AE33" s="1166"/>
      <c r="AF33" s="1166"/>
      <c r="AG33" s="1166"/>
      <c r="AH33" s="1166"/>
      <c r="AI33" s="1166"/>
      <c r="AJ33" s="1166"/>
      <c r="AK33" s="1166"/>
      <c r="AL33" s="1166"/>
      <c r="AM33" s="1166"/>
      <c r="AN33" s="1166"/>
      <c r="AO33" s="1166"/>
      <c r="AP33" s="1166"/>
      <c r="AQ33" s="1166"/>
      <c r="AR33" s="1166"/>
      <c r="AS33" s="1166"/>
      <c r="AT33" s="1166"/>
      <c r="AU33" s="1166"/>
      <c r="AV33" s="1166"/>
      <c r="AW33" s="1166"/>
      <c r="AX33" s="1166"/>
      <c r="AY33" s="1166"/>
      <c r="AZ33" s="1166"/>
      <c r="BA33" s="1166"/>
      <c r="BB33" s="1166"/>
      <c r="BC33" s="1166"/>
      <c r="BD33" s="1166"/>
      <c r="BE33" s="1166"/>
      <c r="BF33" s="1166"/>
      <c r="BG33" s="1166"/>
      <c r="BH33" s="1166"/>
      <c r="BI33" s="1166"/>
      <c r="BJ33" s="1166"/>
      <c r="BK33" s="1166"/>
      <c r="BL33" s="1166"/>
      <c r="BM33" s="1166"/>
      <c r="BN33" s="1166"/>
      <c r="BO33" s="1166"/>
      <c r="BP33" s="1166"/>
      <c r="BQ33" s="1166"/>
      <c r="BR33" s="1166"/>
      <c r="BS33" s="1166"/>
      <c r="BT33" s="1166"/>
      <c r="BU33" s="1166"/>
      <c r="BV33" s="1166"/>
      <c r="BW33" s="1166"/>
      <c r="BX33" s="1166"/>
      <c r="BY33" s="1166"/>
      <c r="BZ33" s="1166"/>
      <c r="CA33" s="1166"/>
      <c r="CB33" s="1166"/>
      <c r="CC33" s="1166"/>
      <c r="CD33" s="1166"/>
      <c r="CE33" s="1166"/>
      <c r="CF33" s="1166"/>
      <c r="CG33" s="1166"/>
      <c r="CH33" s="1166"/>
      <c r="CI33" s="1166"/>
      <c r="CJ33" s="1166"/>
      <c r="CK33" s="1166"/>
      <c r="CL33" s="1166"/>
      <c r="CM33" s="1166"/>
      <c r="CN33" s="1166"/>
      <c r="CO33" s="1166"/>
      <c r="CP33" s="1166"/>
      <c r="CQ33" s="1166"/>
      <c r="CR33" s="1166"/>
      <c r="CS33" s="1166"/>
      <c r="CT33" s="1166"/>
      <c r="CU33" s="1166"/>
      <c r="CV33" s="1166"/>
      <c r="CW33" s="1166"/>
      <c r="CX33" s="1166"/>
      <c r="CY33" s="1166"/>
      <c r="CZ33" s="1166"/>
      <c r="DA33" s="1166"/>
      <c r="DB33" s="1166"/>
      <c r="DC33" s="1166"/>
      <c r="DD33" s="1166"/>
      <c r="DE33" s="1166"/>
      <c r="DF33" s="1166"/>
      <c r="DG33" s="1166"/>
      <c r="DH33" s="1166"/>
      <c r="DI33" s="1166"/>
      <c r="DJ33" s="1166"/>
      <c r="DK33" s="1166"/>
      <c r="DL33" s="1166"/>
      <c r="DM33" s="1166"/>
      <c r="DN33" s="1166"/>
      <c r="DO33" s="1166"/>
      <c r="DP33" s="1166"/>
      <c r="DQ33" s="1166"/>
      <c r="DR33" s="1166"/>
      <c r="DS33" s="1166"/>
      <c r="DT33" s="1166"/>
      <c r="DU33" s="1166"/>
      <c r="DV33" s="1166"/>
      <c r="DW33" s="1166"/>
      <c r="DX33" s="1166"/>
      <c r="DY33" s="1166"/>
      <c r="DZ33" s="1166"/>
      <c r="EA33" s="1166"/>
      <c r="EB33" s="1166"/>
      <c r="EC33" s="1166"/>
      <c r="ED33" s="1166"/>
      <c r="EE33" s="1166"/>
      <c r="EF33" s="1166"/>
      <c r="EG33" s="1166"/>
      <c r="EH33" s="1166"/>
      <c r="EI33" s="1166"/>
      <c r="EJ33" s="1166"/>
      <c r="EK33" s="1166"/>
      <c r="EL33" s="1166"/>
      <c r="EM33" s="1166"/>
      <c r="EN33" s="1166"/>
      <c r="EO33" s="1166"/>
      <c r="EP33" s="1166"/>
      <c r="EQ33" s="1166"/>
      <c r="ER33" s="1166"/>
      <c r="ES33" s="1166"/>
      <c r="ET33" s="1166"/>
      <c r="EU33" s="1166"/>
      <c r="EV33" s="1166"/>
      <c r="EW33" s="1166"/>
      <c r="EX33" s="1166"/>
      <c r="EY33" s="1166"/>
      <c r="EZ33" s="1166"/>
      <c r="FA33" s="1166"/>
      <c r="FB33" s="1166"/>
      <c r="FC33" s="1166"/>
      <c r="FD33" s="1166"/>
      <c r="FE33" s="1166"/>
      <c r="FF33" s="1166"/>
      <c r="FG33" s="1166"/>
      <c r="FH33" s="1166"/>
      <c r="FI33" s="1166"/>
      <c r="FJ33" s="1166"/>
      <c r="FK33" s="1166"/>
      <c r="FL33" s="1166"/>
      <c r="FM33" s="1166"/>
      <c r="FN33" s="1166"/>
      <c r="FO33" s="1166"/>
      <c r="FP33" s="1166"/>
      <c r="FQ33" s="1166"/>
      <c r="FR33" s="1166"/>
      <c r="FS33" s="1166"/>
      <c r="FT33" s="1166"/>
      <c r="FU33" s="1166"/>
      <c r="FV33" s="1166"/>
      <c r="FW33" s="1166"/>
      <c r="FX33" s="1166"/>
      <c r="FY33" s="1166"/>
      <c r="FZ33" s="1166"/>
      <c r="GA33" s="1166"/>
      <c r="GB33" s="1166"/>
      <c r="GC33" s="1166"/>
      <c r="GD33" s="1166"/>
      <c r="GE33" s="1166"/>
      <c r="GF33" s="1166"/>
      <c r="GG33" s="1166"/>
      <c r="GH33" s="1166"/>
      <c r="GI33" s="1166"/>
      <c r="GJ33" s="1166"/>
      <c r="GK33" s="1166"/>
      <c r="GL33" s="1166"/>
      <c r="GM33" s="1166"/>
      <c r="GN33" s="1166"/>
      <c r="GO33" s="1166"/>
      <c r="GP33" s="1166"/>
      <c r="GQ33" s="1166"/>
      <c r="GR33" s="1166"/>
      <c r="GS33" s="1166"/>
      <c r="GT33" s="1166"/>
      <c r="GU33" s="1166"/>
      <c r="GV33" s="1166"/>
      <c r="GW33" s="1166"/>
      <c r="GX33" s="1166"/>
      <c r="GY33" s="1166"/>
      <c r="GZ33" s="1166"/>
      <c r="HA33" s="1166"/>
      <c r="HB33" s="1166"/>
      <c r="HC33" s="1166"/>
      <c r="HD33" s="1166"/>
      <c r="HE33" s="1166"/>
      <c r="HF33" s="1166"/>
      <c r="HG33" s="1166"/>
      <c r="HH33" s="1166"/>
      <c r="HI33" s="1166"/>
      <c r="HJ33" s="1166"/>
      <c r="HK33" s="1166"/>
      <c r="HL33" s="1166"/>
      <c r="HM33" s="1166"/>
      <c r="HN33" s="1166"/>
      <c r="HO33" s="1166"/>
      <c r="HP33" s="1166"/>
      <c r="HQ33" s="1166"/>
      <c r="HR33" s="1166"/>
      <c r="HS33" s="1166"/>
      <c r="HT33" s="1166"/>
      <c r="HU33" s="1166"/>
      <c r="HV33" s="1166"/>
      <c r="HW33" s="1166"/>
      <c r="HX33" s="1166"/>
      <c r="HY33" s="1166"/>
      <c r="HZ33" s="1166"/>
      <c r="IA33" s="1166"/>
      <c r="IB33" s="1166"/>
      <c r="IC33" s="1166"/>
      <c r="ID33" s="1166"/>
      <c r="IE33" s="1166"/>
      <c r="IF33" s="1166"/>
      <c r="IG33" s="1166"/>
      <c r="IH33" s="1166"/>
      <c r="II33" s="1166"/>
      <c r="IJ33" s="1166"/>
      <c r="IK33" s="1166"/>
      <c r="IL33" s="1166"/>
      <c r="IM33" s="1166"/>
      <c r="IN33" s="1166"/>
      <c r="IO33" s="1166"/>
      <c r="IP33" s="1166"/>
      <c r="IQ33" s="1166"/>
      <c r="IR33" s="1166"/>
      <c r="IS33" s="1166"/>
      <c r="IT33" s="1166"/>
      <c r="IU33" s="1166"/>
      <c r="IV33" s="1166"/>
    </row>
    <row r="34" spans="1:256" s="1464" customFormat="1" ht="18" customHeight="1" x14ac:dyDescent="0.35">
      <c r="A34" s="1452">
        <v>25</v>
      </c>
      <c r="B34" s="1525"/>
      <c r="C34" s="1187"/>
      <c r="D34" s="1388" t="s">
        <v>245</v>
      </c>
      <c r="E34" s="1468"/>
      <c r="F34" s="1490"/>
      <c r="G34" s="1520"/>
      <c r="H34" s="1479"/>
      <c r="I34" s="1569"/>
      <c r="J34" s="1569"/>
      <c r="K34" s="1487"/>
      <c r="L34" s="1487"/>
      <c r="M34" s="1487"/>
      <c r="N34" s="1487"/>
      <c r="O34" s="1581">
        <f>SUM(I34:N34)</f>
        <v>0</v>
      </c>
      <c r="P34" s="1475"/>
      <c r="Q34" s="1166"/>
      <c r="R34" s="1166"/>
      <c r="S34" s="1166"/>
      <c r="T34" s="1166"/>
      <c r="U34" s="1166"/>
      <c r="V34" s="1166"/>
      <c r="W34" s="1166"/>
      <c r="X34" s="1166"/>
      <c r="Y34" s="1166"/>
      <c r="Z34" s="1166"/>
      <c r="AA34" s="1166"/>
      <c r="AB34" s="1166"/>
      <c r="AC34" s="1166"/>
      <c r="AD34" s="1166"/>
      <c r="AE34" s="1166"/>
      <c r="AF34" s="1166"/>
      <c r="AG34" s="1166"/>
      <c r="AH34" s="1166"/>
      <c r="AI34" s="1166"/>
      <c r="AJ34" s="1166"/>
      <c r="AK34" s="1166"/>
      <c r="AL34" s="1166"/>
      <c r="AM34" s="1166"/>
      <c r="AN34" s="1166"/>
      <c r="AO34" s="1166"/>
      <c r="AP34" s="1166"/>
      <c r="AQ34" s="1166"/>
      <c r="AR34" s="1166"/>
      <c r="AS34" s="1166"/>
      <c r="AT34" s="1166"/>
      <c r="AU34" s="1166"/>
      <c r="AV34" s="1166"/>
      <c r="AW34" s="1166"/>
      <c r="AX34" s="1166"/>
      <c r="AY34" s="1166"/>
      <c r="AZ34" s="1166"/>
      <c r="BA34" s="1166"/>
      <c r="BB34" s="1166"/>
      <c r="BC34" s="1166"/>
      <c r="BD34" s="1166"/>
      <c r="BE34" s="1166"/>
      <c r="BF34" s="1166"/>
      <c r="BG34" s="1166"/>
      <c r="BH34" s="1166"/>
      <c r="BI34" s="1166"/>
      <c r="BJ34" s="1166"/>
      <c r="BK34" s="1166"/>
      <c r="BL34" s="1166"/>
      <c r="BM34" s="1166"/>
      <c r="BN34" s="1166"/>
      <c r="BO34" s="1166"/>
      <c r="BP34" s="1166"/>
      <c r="BQ34" s="1166"/>
      <c r="BR34" s="1166"/>
      <c r="BS34" s="1166"/>
      <c r="BT34" s="1166"/>
      <c r="BU34" s="1166"/>
      <c r="BV34" s="1166"/>
      <c r="BW34" s="1166"/>
      <c r="BX34" s="1166"/>
      <c r="BY34" s="1166"/>
      <c r="BZ34" s="1166"/>
      <c r="CA34" s="1166"/>
      <c r="CB34" s="1166"/>
      <c r="CC34" s="1166"/>
      <c r="CD34" s="1166"/>
      <c r="CE34" s="1166"/>
      <c r="CF34" s="1166"/>
      <c r="CG34" s="1166"/>
      <c r="CH34" s="1166"/>
      <c r="CI34" s="1166"/>
      <c r="CJ34" s="1166"/>
      <c r="CK34" s="1166"/>
      <c r="CL34" s="1166"/>
      <c r="CM34" s="1166"/>
      <c r="CN34" s="1166"/>
      <c r="CO34" s="1166"/>
      <c r="CP34" s="1166"/>
      <c r="CQ34" s="1166"/>
      <c r="CR34" s="1166"/>
      <c r="CS34" s="1166"/>
      <c r="CT34" s="1166"/>
      <c r="CU34" s="1166"/>
      <c r="CV34" s="1166"/>
      <c r="CW34" s="1166"/>
      <c r="CX34" s="1166"/>
      <c r="CY34" s="1166"/>
      <c r="CZ34" s="1166"/>
      <c r="DA34" s="1166"/>
      <c r="DB34" s="1166"/>
      <c r="DC34" s="1166"/>
      <c r="DD34" s="1166"/>
      <c r="DE34" s="1166"/>
      <c r="DF34" s="1166"/>
      <c r="DG34" s="1166"/>
      <c r="DH34" s="1166"/>
      <c r="DI34" s="1166"/>
      <c r="DJ34" s="1166"/>
      <c r="DK34" s="1166"/>
      <c r="DL34" s="1166"/>
      <c r="DM34" s="1166"/>
      <c r="DN34" s="1166"/>
      <c r="DO34" s="1166"/>
      <c r="DP34" s="1166"/>
      <c r="DQ34" s="1166"/>
      <c r="DR34" s="1166"/>
      <c r="DS34" s="1166"/>
      <c r="DT34" s="1166"/>
      <c r="DU34" s="1166"/>
      <c r="DV34" s="1166"/>
      <c r="DW34" s="1166"/>
      <c r="DX34" s="1166"/>
      <c r="DY34" s="1166"/>
      <c r="DZ34" s="1166"/>
      <c r="EA34" s="1166"/>
      <c r="EB34" s="1166"/>
      <c r="EC34" s="1166"/>
      <c r="ED34" s="1166"/>
      <c r="EE34" s="1166"/>
      <c r="EF34" s="1166"/>
      <c r="EG34" s="1166"/>
      <c r="EH34" s="1166"/>
      <c r="EI34" s="1166"/>
      <c r="EJ34" s="1166"/>
      <c r="EK34" s="1166"/>
      <c r="EL34" s="1166"/>
      <c r="EM34" s="1166"/>
      <c r="EN34" s="1166"/>
      <c r="EO34" s="1166"/>
      <c r="EP34" s="1166"/>
      <c r="EQ34" s="1166"/>
      <c r="ER34" s="1166"/>
      <c r="ES34" s="1166"/>
      <c r="ET34" s="1166"/>
      <c r="EU34" s="1166"/>
      <c r="EV34" s="1166"/>
      <c r="EW34" s="1166"/>
      <c r="EX34" s="1166"/>
      <c r="EY34" s="1166"/>
      <c r="EZ34" s="1166"/>
      <c r="FA34" s="1166"/>
      <c r="FB34" s="1166"/>
      <c r="FC34" s="1166"/>
      <c r="FD34" s="1166"/>
      <c r="FE34" s="1166"/>
      <c r="FF34" s="1166"/>
      <c r="FG34" s="1166"/>
      <c r="FH34" s="1166"/>
      <c r="FI34" s="1166"/>
      <c r="FJ34" s="1166"/>
      <c r="FK34" s="1166"/>
      <c r="FL34" s="1166"/>
      <c r="FM34" s="1166"/>
      <c r="FN34" s="1166"/>
      <c r="FO34" s="1166"/>
      <c r="FP34" s="1166"/>
      <c r="FQ34" s="1166"/>
      <c r="FR34" s="1166"/>
      <c r="FS34" s="1166"/>
      <c r="FT34" s="1166"/>
      <c r="FU34" s="1166"/>
      <c r="FV34" s="1166"/>
      <c r="FW34" s="1166"/>
      <c r="FX34" s="1166"/>
      <c r="FY34" s="1166"/>
      <c r="FZ34" s="1166"/>
      <c r="GA34" s="1166"/>
      <c r="GB34" s="1166"/>
      <c r="GC34" s="1166"/>
      <c r="GD34" s="1166"/>
      <c r="GE34" s="1166"/>
      <c r="GF34" s="1166"/>
      <c r="GG34" s="1166"/>
      <c r="GH34" s="1166"/>
      <c r="GI34" s="1166"/>
      <c r="GJ34" s="1166"/>
      <c r="GK34" s="1166"/>
      <c r="GL34" s="1166"/>
      <c r="GM34" s="1166"/>
      <c r="GN34" s="1166"/>
      <c r="GO34" s="1166"/>
      <c r="GP34" s="1166"/>
      <c r="GQ34" s="1166"/>
      <c r="GR34" s="1166"/>
      <c r="GS34" s="1166"/>
      <c r="GT34" s="1166"/>
      <c r="GU34" s="1166"/>
      <c r="GV34" s="1166"/>
      <c r="GW34" s="1166"/>
      <c r="GX34" s="1166"/>
      <c r="GY34" s="1166"/>
      <c r="GZ34" s="1166"/>
      <c r="HA34" s="1166"/>
      <c r="HB34" s="1166"/>
      <c r="HC34" s="1166"/>
      <c r="HD34" s="1166"/>
      <c r="HE34" s="1166"/>
      <c r="HF34" s="1166"/>
      <c r="HG34" s="1166"/>
      <c r="HH34" s="1166"/>
      <c r="HI34" s="1166"/>
      <c r="HJ34" s="1166"/>
      <c r="HK34" s="1166"/>
      <c r="HL34" s="1166"/>
      <c r="HM34" s="1166"/>
      <c r="HN34" s="1166"/>
      <c r="HO34" s="1166"/>
      <c r="HP34" s="1166"/>
      <c r="HQ34" s="1166"/>
      <c r="HR34" s="1166"/>
      <c r="HS34" s="1166"/>
      <c r="HT34" s="1166"/>
      <c r="HU34" s="1166"/>
      <c r="HV34" s="1166"/>
      <c r="HW34" s="1166"/>
      <c r="HX34" s="1166"/>
      <c r="HY34" s="1166"/>
      <c r="HZ34" s="1166"/>
      <c r="IA34" s="1166"/>
      <c r="IB34" s="1166"/>
      <c r="IC34" s="1166"/>
      <c r="ID34" s="1166"/>
      <c r="IE34" s="1166"/>
      <c r="IF34" s="1166"/>
      <c r="IG34" s="1166"/>
      <c r="IH34" s="1166"/>
      <c r="II34" s="1166"/>
      <c r="IJ34" s="1166"/>
      <c r="IK34" s="1166"/>
      <c r="IL34" s="1166"/>
      <c r="IM34" s="1166"/>
      <c r="IN34" s="1166"/>
      <c r="IO34" s="1166"/>
      <c r="IP34" s="1166"/>
      <c r="IQ34" s="1166"/>
      <c r="IR34" s="1166"/>
      <c r="IS34" s="1166"/>
      <c r="IT34" s="1166"/>
      <c r="IU34" s="1166"/>
      <c r="IV34" s="1166"/>
    </row>
    <row r="35" spans="1:256" s="1464" customFormat="1" ht="18" customHeight="1" x14ac:dyDescent="0.35">
      <c r="A35" s="1452">
        <v>26</v>
      </c>
      <c r="B35" s="1525"/>
      <c r="C35" s="1187"/>
      <c r="D35" s="1290" t="s">
        <v>233</v>
      </c>
      <c r="E35" s="1468"/>
      <c r="F35" s="1490"/>
      <c r="G35" s="1520"/>
      <c r="H35" s="1479"/>
      <c r="I35" s="1569"/>
      <c r="J35" s="1569"/>
      <c r="K35" s="1494">
        <f>SUM(K33:K34)</f>
        <v>63500</v>
      </c>
      <c r="L35" s="1487"/>
      <c r="M35" s="1487"/>
      <c r="N35" s="1487"/>
      <c r="O35" s="1222">
        <f>SUM(I35:N35)</f>
        <v>63500</v>
      </c>
      <c r="P35" s="1475"/>
      <c r="Q35" s="1166"/>
      <c r="R35" s="1166"/>
      <c r="S35" s="1166"/>
      <c r="T35" s="1166"/>
      <c r="U35" s="1166"/>
      <c r="V35" s="1166"/>
      <c r="W35" s="1166"/>
      <c r="X35" s="1166"/>
      <c r="Y35" s="1166"/>
      <c r="Z35" s="1166"/>
      <c r="AA35" s="1166"/>
      <c r="AB35" s="1166"/>
      <c r="AC35" s="1166"/>
      <c r="AD35" s="1166"/>
      <c r="AE35" s="1166"/>
      <c r="AF35" s="1166"/>
      <c r="AG35" s="1166"/>
      <c r="AH35" s="1166"/>
      <c r="AI35" s="1166"/>
      <c r="AJ35" s="1166"/>
      <c r="AK35" s="1166"/>
      <c r="AL35" s="1166"/>
      <c r="AM35" s="1166"/>
      <c r="AN35" s="1166"/>
      <c r="AO35" s="1166"/>
      <c r="AP35" s="1166"/>
      <c r="AQ35" s="1166"/>
      <c r="AR35" s="1166"/>
      <c r="AS35" s="1166"/>
      <c r="AT35" s="1166"/>
      <c r="AU35" s="1166"/>
      <c r="AV35" s="1166"/>
      <c r="AW35" s="1166"/>
      <c r="AX35" s="1166"/>
      <c r="AY35" s="1166"/>
      <c r="AZ35" s="1166"/>
      <c r="BA35" s="1166"/>
      <c r="BB35" s="1166"/>
      <c r="BC35" s="1166"/>
      <c r="BD35" s="1166"/>
      <c r="BE35" s="1166"/>
      <c r="BF35" s="1166"/>
      <c r="BG35" s="1166"/>
      <c r="BH35" s="1166"/>
      <c r="BI35" s="1166"/>
      <c r="BJ35" s="1166"/>
      <c r="BK35" s="1166"/>
      <c r="BL35" s="1166"/>
      <c r="BM35" s="1166"/>
      <c r="BN35" s="1166"/>
      <c r="BO35" s="1166"/>
      <c r="BP35" s="1166"/>
      <c r="BQ35" s="1166"/>
      <c r="BR35" s="1166"/>
      <c r="BS35" s="1166"/>
      <c r="BT35" s="1166"/>
      <c r="BU35" s="1166"/>
      <c r="BV35" s="1166"/>
      <c r="BW35" s="1166"/>
      <c r="BX35" s="1166"/>
      <c r="BY35" s="1166"/>
      <c r="BZ35" s="1166"/>
      <c r="CA35" s="1166"/>
      <c r="CB35" s="1166"/>
      <c r="CC35" s="1166"/>
      <c r="CD35" s="1166"/>
      <c r="CE35" s="1166"/>
      <c r="CF35" s="1166"/>
      <c r="CG35" s="1166"/>
      <c r="CH35" s="1166"/>
      <c r="CI35" s="1166"/>
      <c r="CJ35" s="1166"/>
      <c r="CK35" s="1166"/>
      <c r="CL35" s="1166"/>
      <c r="CM35" s="1166"/>
      <c r="CN35" s="1166"/>
      <c r="CO35" s="1166"/>
      <c r="CP35" s="1166"/>
      <c r="CQ35" s="1166"/>
      <c r="CR35" s="1166"/>
      <c r="CS35" s="1166"/>
      <c r="CT35" s="1166"/>
      <c r="CU35" s="1166"/>
      <c r="CV35" s="1166"/>
      <c r="CW35" s="1166"/>
      <c r="CX35" s="1166"/>
      <c r="CY35" s="1166"/>
      <c r="CZ35" s="1166"/>
      <c r="DA35" s="1166"/>
      <c r="DB35" s="1166"/>
      <c r="DC35" s="1166"/>
      <c r="DD35" s="1166"/>
      <c r="DE35" s="1166"/>
      <c r="DF35" s="1166"/>
      <c r="DG35" s="1166"/>
      <c r="DH35" s="1166"/>
      <c r="DI35" s="1166"/>
      <c r="DJ35" s="1166"/>
      <c r="DK35" s="1166"/>
      <c r="DL35" s="1166"/>
      <c r="DM35" s="1166"/>
      <c r="DN35" s="1166"/>
      <c r="DO35" s="1166"/>
      <c r="DP35" s="1166"/>
      <c r="DQ35" s="1166"/>
      <c r="DR35" s="1166"/>
      <c r="DS35" s="1166"/>
      <c r="DT35" s="1166"/>
      <c r="DU35" s="1166"/>
      <c r="DV35" s="1166"/>
      <c r="DW35" s="1166"/>
      <c r="DX35" s="1166"/>
      <c r="DY35" s="1166"/>
      <c r="DZ35" s="1166"/>
      <c r="EA35" s="1166"/>
      <c r="EB35" s="1166"/>
      <c r="EC35" s="1166"/>
      <c r="ED35" s="1166"/>
      <c r="EE35" s="1166"/>
      <c r="EF35" s="1166"/>
      <c r="EG35" s="1166"/>
      <c r="EH35" s="1166"/>
      <c r="EI35" s="1166"/>
      <c r="EJ35" s="1166"/>
      <c r="EK35" s="1166"/>
      <c r="EL35" s="1166"/>
      <c r="EM35" s="1166"/>
      <c r="EN35" s="1166"/>
      <c r="EO35" s="1166"/>
      <c r="EP35" s="1166"/>
      <c r="EQ35" s="1166"/>
      <c r="ER35" s="1166"/>
      <c r="ES35" s="1166"/>
      <c r="ET35" s="1166"/>
      <c r="EU35" s="1166"/>
      <c r="EV35" s="1166"/>
      <c r="EW35" s="1166"/>
      <c r="EX35" s="1166"/>
      <c r="EY35" s="1166"/>
      <c r="EZ35" s="1166"/>
      <c r="FA35" s="1166"/>
      <c r="FB35" s="1166"/>
      <c r="FC35" s="1166"/>
      <c r="FD35" s="1166"/>
      <c r="FE35" s="1166"/>
      <c r="FF35" s="1166"/>
      <c r="FG35" s="1166"/>
      <c r="FH35" s="1166"/>
      <c r="FI35" s="1166"/>
      <c r="FJ35" s="1166"/>
      <c r="FK35" s="1166"/>
      <c r="FL35" s="1166"/>
      <c r="FM35" s="1166"/>
      <c r="FN35" s="1166"/>
      <c r="FO35" s="1166"/>
      <c r="FP35" s="1166"/>
      <c r="FQ35" s="1166"/>
      <c r="FR35" s="1166"/>
      <c r="FS35" s="1166"/>
      <c r="FT35" s="1166"/>
      <c r="FU35" s="1166"/>
      <c r="FV35" s="1166"/>
      <c r="FW35" s="1166"/>
      <c r="FX35" s="1166"/>
      <c r="FY35" s="1166"/>
      <c r="FZ35" s="1166"/>
      <c r="GA35" s="1166"/>
      <c r="GB35" s="1166"/>
      <c r="GC35" s="1166"/>
      <c r="GD35" s="1166"/>
      <c r="GE35" s="1166"/>
      <c r="GF35" s="1166"/>
      <c r="GG35" s="1166"/>
      <c r="GH35" s="1166"/>
      <c r="GI35" s="1166"/>
      <c r="GJ35" s="1166"/>
      <c r="GK35" s="1166"/>
      <c r="GL35" s="1166"/>
      <c r="GM35" s="1166"/>
      <c r="GN35" s="1166"/>
      <c r="GO35" s="1166"/>
      <c r="GP35" s="1166"/>
      <c r="GQ35" s="1166"/>
      <c r="GR35" s="1166"/>
      <c r="GS35" s="1166"/>
      <c r="GT35" s="1166"/>
      <c r="GU35" s="1166"/>
      <c r="GV35" s="1166"/>
      <c r="GW35" s="1166"/>
      <c r="GX35" s="1166"/>
      <c r="GY35" s="1166"/>
      <c r="GZ35" s="1166"/>
      <c r="HA35" s="1166"/>
      <c r="HB35" s="1166"/>
      <c r="HC35" s="1166"/>
      <c r="HD35" s="1166"/>
      <c r="HE35" s="1166"/>
      <c r="HF35" s="1166"/>
      <c r="HG35" s="1166"/>
      <c r="HH35" s="1166"/>
      <c r="HI35" s="1166"/>
      <c r="HJ35" s="1166"/>
      <c r="HK35" s="1166"/>
      <c r="HL35" s="1166"/>
      <c r="HM35" s="1166"/>
      <c r="HN35" s="1166"/>
      <c r="HO35" s="1166"/>
      <c r="HP35" s="1166"/>
      <c r="HQ35" s="1166"/>
      <c r="HR35" s="1166"/>
      <c r="HS35" s="1166"/>
      <c r="HT35" s="1166"/>
      <c r="HU35" s="1166"/>
      <c r="HV35" s="1166"/>
      <c r="HW35" s="1166"/>
      <c r="HX35" s="1166"/>
      <c r="HY35" s="1166"/>
      <c r="HZ35" s="1166"/>
      <c r="IA35" s="1166"/>
      <c r="IB35" s="1166"/>
      <c r="IC35" s="1166"/>
      <c r="ID35" s="1166"/>
      <c r="IE35" s="1166"/>
      <c r="IF35" s="1166"/>
      <c r="IG35" s="1166"/>
      <c r="IH35" s="1166"/>
      <c r="II35" s="1166"/>
      <c r="IJ35" s="1166"/>
      <c r="IK35" s="1166"/>
      <c r="IL35" s="1166"/>
      <c r="IM35" s="1166"/>
      <c r="IN35" s="1166"/>
      <c r="IO35" s="1166"/>
      <c r="IP35" s="1166"/>
      <c r="IQ35" s="1166"/>
      <c r="IR35" s="1166"/>
      <c r="IS35" s="1166"/>
      <c r="IT35" s="1166"/>
      <c r="IU35" s="1166"/>
      <c r="IV35" s="1166"/>
    </row>
    <row r="36" spans="1:256" s="1464" customFormat="1" ht="22.5" customHeight="1" x14ac:dyDescent="0.35">
      <c r="A36" s="1452">
        <v>27</v>
      </c>
      <c r="B36" s="1525"/>
      <c r="C36" s="1187">
        <v>15</v>
      </c>
      <c r="D36" s="1223" t="s">
        <v>992</v>
      </c>
      <c r="E36" s="1468">
        <f>F36+G36+O39+P38</f>
        <v>19990</v>
      </c>
      <c r="F36" s="1490"/>
      <c r="G36" s="1520"/>
      <c r="H36" s="1479" t="s">
        <v>296</v>
      </c>
      <c r="I36" s="1569"/>
      <c r="J36" s="1569"/>
      <c r="K36" s="1487"/>
      <c r="L36" s="1487"/>
      <c r="M36" s="1487"/>
      <c r="N36" s="1487"/>
      <c r="O36" s="1480"/>
      <c r="P36" s="1475"/>
      <c r="Q36" s="1166"/>
      <c r="R36" s="1166"/>
      <c r="S36" s="1166"/>
      <c r="T36" s="1166"/>
      <c r="U36" s="1166"/>
      <c r="V36" s="1166"/>
      <c r="W36" s="1166"/>
      <c r="X36" s="1166"/>
      <c r="Y36" s="1166"/>
      <c r="Z36" s="1166"/>
      <c r="AA36" s="1166"/>
      <c r="AB36" s="1166"/>
      <c r="AC36" s="1166"/>
      <c r="AD36" s="1166"/>
      <c r="AE36" s="1166"/>
      <c r="AF36" s="1166"/>
      <c r="AG36" s="1166"/>
      <c r="AH36" s="1166"/>
      <c r="AI36" s="1166"/>
      <c r="AJ36" s="1166"/>
      <c r="AK36" s="1166"/>
      <c r="AL36" s="1166"/>
      <c r="AM36" s="1166"/>
      <c r="AN36" s="1166"/>
      <c r="AO36" s="1166"/>
      <c r="AP36" s="1166"/>
      <c r="AQ36" s="1166"/>
      <c r="AR36" s="1166"/>
      <c r="AS36" s="1166"/>
      <c r="AT36" s="1166"/>
      <c r="AU36" s="1166"/>
      <c r="AV36" s="1166"/>
      <c r="AW36" s="1166"/>
      <c r="AX36" s="1166"/>
      <c r="AY36" s="1166"/>
      <c r="AZ36" s="1166"/>
      <c r="BA36" s="1166"/>
      <c r="BB36" s="1166"/>
      <c r="BC36" s="1166"/>
      <c r="BD36" s="1166"/>
      <c r="BE36" s="1166"/>
      <c r="BF36" s="1166"/>
      <c r="BG36" s="1166"/>
      <c r="BH36" s="1166"/>
      <c r="BI36" s="1166"/>
      <c r="BJ36" s="1166"/>
      <c r="BK36" s="1166"/>
      <c r="BL36" s="1166"/>
      <c r="BM36" s="1166"/>
      <c r="BN36" s="1166"/>
      <c r="BO36" s="1166"/>
      <c r="BP36" s="1166"/>
      <c r="BQ36" s="1166"/>
      <c r="BR36" s="1166"/>
      <c r="BS36" s="1166"/>
      <c r="BT36" s="1166"/>
      <c r="BU36" s="1166"/>
      <c r="BV36" s="1166"/>
      <c r="BW36" s="1166"/>
      <c r="BX36" s="1166"/>
      <c r="BY36" s="1166"/>
      <c r="BZ36" s="1166"/>
      <c r="CA36" s="1166"/>
      <c r="CB36" s="1166"/>
      <c r="CC36" s="1166"/>
      <c r="CD36" s="1166"/>
      <c r="CE36" s="1166"/>
      <c r="CF36" s="1166"/>
      <c r="CG36" s="1166"/>
      <c r="CH36" s="1166"/>
      <c r="CI36" s="1166"/>
      <c r="CJ36" s="1166"/>
      <c r="CK36" s="1166"/>
      <c r="CL36" s="1166"/>
      <c r="CM36" s="1166"/>
      <c r="CN36" s="1166"/>
      <c r="CO36" s="1166"/>
      <c r="CP36" s="1166"/>
      <c r="CQ36" s="1166"/>
      <c r="CR36" s="1166"/>
      <c r="CS36" s="1166"/>
      <c r="CT36" s="1166"/>
      <c r="CU36" s="1166"/>
      <c r="CV36" s="1166"/>
      <c r="CW36" s="1166"/>
      <c r="CX36" s="1166"/>
      <c r="CY36" s="1166"/>
      <c r="CZ36" s="1166"/>
      <c r="DA36" s="1166"/>
      <c r="DB36" s="1166"/>
      <c r="DC36" s="1166"/>
      <c r="DD36" s="1166"/>
      <c r="DE36" s="1166"/>
      <c r="DF36" s="1166"/>
      <c r="DG36" s="1166"/>
      <c r="DH36" s="1166"/>
      <c r="DI36" s="1166"/>
      <c r="DJ36" s="1166"/>
      <c r="DK36" s="1166"/>
      <c r="DL36" s="1166"/>
      <c r="DM36" s="1166"/>
      <c r="DN36" s="1166"/>
      <c r="DO36" s="1166"/>
      <c r="DP36" s="1166"/>
      <c r="DQ36" s="1166"/>
      <c r="DR36" s="1166"/>
      <c r="DS36" s="1166"/>
      <c r="DT36" s="1166"/>
      <c r="DU36" s="1166"/>
      <c r="DV36" s="1166"/>
      <c r="DW36" s="1166"/>
      <c r="DX36" s="1166"/>
      <c r="DY36" s="1166"/>
      <c r="DZ36" s="1166"/>
      <c r="EA36" s="1166"/>
      <c r="EB36" s="1166"/>
      <c r="EC36" s="1166"/>
      <c r="ED36" s="1166"/>
      <c r="EE36" s="1166"/>
      <c r="EF36" s="1166"/>
      <c r="EG36" s="1166"/>
      <c r="EH36" s="1166"/>
      <c r="EI36" s="1166"/>
      <c r="EJ36" s="1166"/>
      <c r="EK36" s="1166"/>
      <c r="EL36" s="1166"/>
      <c r="EM36" s="1166"/>
      <c r="EN36" s="1166"/>
      <c r="EO36" s="1166"/>
      <c r="EP36" s="1166"/>
      <c r="EQ36" s="1166"/>
      <c r="ER36" s="1166"/>
      <c r="ES36" s="1166"/>
      <c r="ET36" s="1166"/>
      <c r="EU36" s="1166"/>
      <c r="EV36" s="1166"/>
      <c r="EW36" s="1166"/>
      <c r="EX36" s="1166"/>
      <c r="EY36" s="1166"/>
      <c r="EZ36" s="1166"/>
      <c r="FA36" s="1166"/>
      <c r="FB36" s="1166"/>
      <c r="FC36" s="1166"/>
      <c r="FD36" s="1166"/>
      <c r="FE36" s="1166"/>
      <c r="FF36" s="1166"/>
      <c r="FG36" s="1166"/>
      <c r="FH36" s="1166"/>
      <c r="FI36" s="1166"/>
      <c r="FJ36" s="1166"/>
      <c r="FK36" s="1166"/>
      <c r="FL36" s="1166"/>
      <c r="FM36" s="1166"/>
      <c r="FN36" s="1166"/>
      <c r="FO36" s="1166"/>
      <c r="FP36" s="1166"/>
      <c r="FQ36" s="1166"/>
      <c r="FR36" s="1166"/>
      <c r="FS36" s="1166"/>
      <c r="FT36" s="1166"/>
      <c r="FU36" s="1166"/>
      <c r="FV36" s="1166"/>
      <c r="FW36" s="1166"/>
      <c r="FX36" s="1166"/>
      <c r="FY36" s="1166"/>
      <c r="FZ36" s="1166"/>
      <c r="GA36" s="1166"/>
      <c r="GB36" s="1166"/>
      <c r="GC36" s="1166"/>
      <c r="GD36" s="1166"/>
      <c r="GE36" s="1166"/>
      <c r="GF36" s="1166"/>
      <c r="GG36" s="1166"/>
      <c r="GH36" s="1166"/>
      <c r="GI36" s="1166"/>
      <c r="GJ36" s="1166"/>
      <c r="GK36" s="1166"/>
      <c r="GL36" s="1166"/>
      <c r="GM36" s="1166"/>
      <c r="GN36" s="1166"/>
      <c r="GO36" s="1166"/>
      <c r="GP36" s="1166"/>
      <c r="GQ36" s="1166"/>
      <c r="GR36" s="1166"/>
      <c r="GS36" s="1166"/>
      <c r="GT36" s="1166"/>
      <c r="GU36" s="1166"/>
      <c r="GV36" s="1166"/>
      <c r="GW36" s="1166"/>
      <c r="GX36" s="1166"/>
      <c r="GY36" s="1166"/>
      <c r="GZ36" s="1166"/>
      <c r="HA36" s="1166"/>
      <c r="HB36" s="1166"/>
      <c r="HC36" s="1166"/>
      <c r="HD36" s="1166"/>
      <c r="HE36" s="1166"/>
      <c r="HF36" s="1166"/>
      <c r="HG36" s="1166"/>
      <c r="HH36" s="1166"/>
      <c r="HI36" s="1166"/>
      <c r="HJ36" s="1166"/>
      <c r="HK36" s="1166"/>
      <c r="HL36" s="1166"/>
      <c r="HM36" s="1166"/>
      <c r="HN36" s="1166"/>
      <c r="HO36" s="1166"/>
      <c r="HP36" s="1166"/>
      <c r="HQ36" s="1166"/>
      <c r="HR36" s="1166"/>
      <c r="HS36" s="1166"/>
      <c r="HT36" s="1166"/>
      <c r="HU36" s="1166"/>
      <c r="HV36" s="1166"/>
      <c r="HW36" s="1166"/>
      <c r="HX36" s="1166"/>
      <c r="HY36" s="1166"/>
      <c r="HZ36" s="1166"/>
      <c r="IA36" s="1166"/>
      <c r="IB36" s="1166"/>
      <c r="IC36" s="1166"/>
      <c r="ID36" s="1166"/>
      <c r="IE36" s="1166"/>
      <c r="IF36" s="1166"/>
      <c r="IG36" s="1166"/>
      <c r="IH36" s="1166"/>
      <c r="II36" s="1166"/>
      <c r="IJ36" s="1166"/>
      <c r="IK36" s="1166"/>
      <c r="IL36" s="1166"/>
      <c r="IM36" s="1166"/>
      <c r="IN36" s="1166"/>
      <c r="IO36" s="1166"/>
      <c r="IP36" s="1166"/>
      <c r="IQ36" s="1166"/>
      <c r="IR36" s="1166"/>
      <c r="IS36" s="1166"/>
      <c r="IT36" s="1166"/>
      <c r="IU36" s="1166"/>
      <c r="IV36" s="1166"/>
    </row>
    <row r="37" spans="1:256" s="1464" customFormat="1" ht="18" customHeight="1" x14ac:dyDescent="0.35">
      <c r="A37" s="1452">
        <v>28</v>
      </c>
      <c r="B37" s="1525"/>
      <c r="C37" s="1187"/>
      <c r="D37" s="1290" t="s">
        <v>231</v>
      </c>
      <c r="E37" s="1468"/>
      <c r="F37" s="1490"/>
      <c r="G37" s="1520"/>
      <c r="H37" s="1479"/>
      <c r="I37" s="1569"/>
      <c r="J37" s="1569"/>
      <c r="K37" s="1487"/>
      <c r="L37" s="1487"/>
      <c r="M37" s="1494">
        <v>19990</v>
      </c>
      <c r="N37" s="1487"/>
      <c r="O37" s="1222">
        <f>SUM(I37:N37)</f>
        <v>19990</v>
      </c>
      <c r="P37" s="1475"/>
      <c r="Q37" s="1166"/>
      <c r="R37" s="1166"/>
      <c r="S37" s="1166"/>
      <c r="T37" s="1166"/>
      <c r="U37" s="1166"/>
      <c r="V37" s="1166"/>
      <c r="W37" s="1166"/>
      <c r="X37" s="1166"/>
      <c r="Y37" s="1166"/>
      <c r="Z37" s="1166"/>
      <c r="AA37" s="1166"/>
      <c r="AB37" s="1166"/>
      <c r="AC37" s="1166"/>
      <c r="AD37" s="1166"/>
      <c r="AE37" s="1166"/>
      <c r="AF37" s="1166"/>
      <c r="AG37" s="1166"/>
      <c r="AH37" s="1166"/>
      <c r="AI37" s="1166"/>
      <c r="AJ37" s="1166"/>
      <c r="AK37" s="1166"/>
      <c r="AL37" s="1166"/>
      <c r="AM37" s="1166"/>
      <c r="AN37" s="1166"/>
      <c r="AO37" s="1166"/>
      <c r="AP37" s="1166"/>
      <c r="AQ37" s="1166"/>
      <c r="AR37" s="1166"/>
      <c r="AS37" s="1166"/>
      <c r="AT37" s="1166"/>
      <c r="AU37" s="1166"/>
      <c r="AV37" s="1166"/>
      <c r="AW37" s="1166"/>
      <c r="AX37" s="1166"/>
      <c r="AY37" s="1166"/>
      <c r="AZ37" s="1166"/>
      <c r="BA37" s="1166"/>
      <c r="BB37" s="1166"/>
      <c r="BC37" s="1166"/>
      <c r="BD37" s="1166"/>
      <c r="BE37" s="1166"/>
      <c r="BF37" s="1166"/>
      <c r="BG37" s="1166"/>
      <c r="BH37" s="1166"/>
      <c r="BI37" s="1166"/>
      <c r="BJ37" s="1166"/>
      <c r="BK37" s="1166"/>
      <c r="BL37" s="1166"/>
      <c r="BM37" s="1166"/>
      <c r="BN37" s="1166"/>
      <c r="BO37" s="1166"/>
      <c r="BP37" s="1166"/>
      <c r="BQ37" s="1166"/>
      <c r="BR37" s="1166"/>
      <c r="BS37" s="1166"/>
      <c r="BT37" s="1166"/>
      <c r="BU37" s="1166"/>
      <c r="BV37" s="1166"/>
      <c r="BW37" s="1166"/>
      <c r="BX37" s="1166"/>
      <c r="BY37" s="1166"/>
      <c r="BZ37" s="1166"/>
      <c r="CA37" s="1166"/>
      <c r="CB37" s="1166"/>
      <c r="CC37" s="1166"/>
      <c r="CD37" s="1166"/>
      <c r="CE37" s="1166"/>
      <c r="CF37" s="1166"/>
      <c r="CG37" s="1166"/>
      <c r="CH37" s="1166"/>
      <c r="CI37" s="1166"/>
      <c r="CJ37" s="1166"/>
      <c r="CK37" s="1166"/>
      <c r="CL37" s="1166"/>
      <c r="CM37" s="1166"/>
      <c r="CN37" s="1166"/>
      <c r="CO37" s="1166"/>
      <c r="CP37" s="1166"/>
      <c r="CQ37" s="1166"/>
      <c r="CR37" s="1166"/>
      <c r="CS37" s="1166"/>
      <c r="CT37" s="1166"/>
      <c r="CU37" s="1166"/>
      <c r="CV37" s="1166"/>
      <c r="CW37" s="1166"/>
      <c r="CX37" s="1166"/>
      <c r="CY37" s="1166"/>
      <c r="CZ37" s="1166"/>
      <c r="DA37" s="1166"/>
      <c r="DB37" s="1166"/>
      <c r="DC37" s="1166"/>
      <c r="DD37" s="1166"/>
      <c r="DE37" s="1166"/>
      <c r="DF37" s="1166"/>
      <c r="DG37" s="1166"/>
      <c r="DH37" s="1166"/>
      <c r="DI37" s="1166"/>
      <c r="DJ37" s="1166"/>
      <c r="DK37" s="1166"/>
      <c r="DL37" s="1166"/>
      <c r="DM37" s="1166"/>
      <c r="DN37" s="1166"/>
      <c r="DO37" s="1166"/>
      <c r="DP37" s="1166"/>
      <c r="DQ37" s="1166"/>
      <c r="DR37" s="1166"/>
      <c r="DS37" s="1166"/>
      <c r="DT37" s="1166"/>
      <c r="DU37" s="1166"/>
      <c r="DV37" s="1166"/>
      <c r="DW37" s="1166"/>
      <c r="DX37" s="1166"/>
      <c r="DY37" s="1166"/>
      <c r="DZ37" s="1166"/>
      <c r="EA37" s="1166"/>
      <c r="EB37" s="1166"/>
      <c r="EC37" s="1166"/>
      <c r="ED37" s="1166"/>
      <c r="EE37" s="1166"/>
      <c r="EF37" s="1166"/>
      <c r="EG37" s="1166"/>
      <c r="EH37" s="1166"/>
      <c r="EI37" s="1166"/>
      <c r="EJ37" s="1166"/>
      <c r="EK37" s="1166"/>
      <c r="EL37" s="1166"/>
      <c r="EM37" s="1166"/>
      <c r="EN37" s="1166"/>
      <c r="EO37" s="1166"/>
      <c r="EP37" s="1166"/>
      <c r="EQ37" s="1166"/>
      <c r="ER37" s="1166"/>
      <c r="ES37" s="1166"/>
      <c r="ET37" s="1166"/>
      <c r="EU37" s="1166"/>
      <c r="EV37" s="1166"/>
      <c r="EW37" s="1166"/>
      <c r="EX37" s="1166"/>
      <c r="EY37" s="1166"/>
      <c r="EZ37" s="1166"/>
      <c r="FA37" s="1166"/>
      <c r="FB37" s="1166"/>
      <c r="FC37" s="1166"/>
      <c r="FD37" s="1166"/>
      <c r="FE37" s="1166"/>
      <c r="FF37" s="1166"/>
      <c r="FG37" s="1166"/>
      <c r="FH37" s="1166"/>
      <c r="FI37" s="1166"/>
      <c r="FJ37" s="1166"/>
      <c r="FK37" s="1166"/>
      <c r="FL37" s="1166"/>
      <c r="FM37" s="1166"/>
      <c r="FN37" s="1166"/>
      <c r="FO37" s="1166"/>
      <c r="FP37" s="1166"/>
      <c r="FQ37" s="1166"/>
      <c r="FR37" s="1166"/>
      <c r="FS37" s="1166"/>
      <c r="FT37" s="1166"/>
      <c r="FU37" s="1166"/>
      <c r="FV37" s="1166"/>
      <c r="FW37" s="1166"/>
      <c r="FX37" s="1166"/>
      <c r="FY37" s="1166"/>
      <c r="FZ37" s="1166"/>
      <c r="GA37" s="1166"/>
      <c r="GB37" s="1166"/>
      <c r="GC37" s="1166"/>
      <c r="GD37" s="1166"/>
      <c r="GE37" s="1166"/>
      <c r="GF37" s="1166"/>
      <c r="GG37" s="1166"/>
      <c r="GH37" s="1166"/>
      <c r="GI37" s="1166"/>
      <c r="GJ37" s="1166"/>
      <c r="GK37" s="1166"/>
      <c r="GL37" s="1166"/>
      <c r="GM37" s="1166"/>
      <c r="GN37" s="1166"/>
      <c r="GO37" s="1166"/>
      <c r="GP37" s="1166"/>
      <c r="GQ37" s="1166"/>
      <c r="GR37" s="1166"/>
      <c r="GS37" s="1166"/>
      <c r="GT37" s="1166"/>
      <c r="GU37" s="1166"/>
      <c r="GV37" s="1166"/>
      <c r="GW37" s="1166"/>
      <c r="GX37" s="1166"/>
      <c r="GY37" s="1166"/>
      <c r="GZ37" s="1166"/>
      <c r="HA37" s="1166"/>
      <c r="HB37" s="1166"/>
      <c r="HC37" s="1166"/>
      <c r="HD37" s="1166"/>
      <c r="HE37" s="1166"/>
      <c r="HF37" s="1166"/>
      <c r="HG37" s="1166"/>
      <c r="HH37" s="1166"/>
      <c r="HI37" s="1166"/>
      <c r="HJ37" s="1166"/>
      <c r="HK37" s="1166"/>
      <c r="HL37" s="1166"/>
      <c r="HM37" s="1166"/>
      <c r="HN37" s="1166"/>
      <c r="HO37" s="1166"/>
      <c r="HP37" s="1166"/>
      <c r="HQ37" s="1166"/>
      <c r="HR37" s="1166"/>
      <c r="HS37" s="1166"/>
      <c r="HT37" s="1166"/>
      <c r="HU37" s="1166"/>
      <c r="HV37" s="1166"/>
      <c r="HW37" s="1166"/>
      <c r="HX37" s="1166"/>
      <c r="HY37" s="1166"/>
      <c r="HZ37" s="1166"/>
      <c r="IA37" s="1166"/>
      <c r="IB37" s="1166"/>
      <c r="IC37" s="1166"/>
      <c r="ID37" s="1166"/>
      <c r="IE37" s="1166"/>
      <c r="IF37" s="1166"/>
      <c r="IG37" s="1166"/>
      <c r="IH37" s="1166"/>
      <c r="II37" s="1166"/>
      <c r="IJ37" s="1166"/>
      <c r="IK37" s="1166"/>
      <c r="IL37" s="1166"/>
      <c r="IM37" s="1166"/>
      <c r="IN37" s="1166"/>
      <c r="IO37" s="1166"/>
      <c r="IP37" s="1166"/>
      <c r="IQ37" s="1166"/>
      <c r="IR37" s="1166"/>
      <c r="IS37" s="1166"/>
      <c r="IT37" s="1166"/>
      <c r="IU37" s="1166"/>
      <c r="IV37" s="1166"/>
    </row>
    <row r="38" spans="1:256" s="1464" customFormat="1" ht="18" customHeight="1" x14ac:dyDescent="0.35">
      <c r="A38" s="1452">
        <v>29</v>
      </c>
      <c r="B38" s="1525"/>
      <c r="C38" s="1187"/>
      <c r="D38" s="1388" t="s">
        <v>232</v>
      </c>
      <c r="E38" s="1468"/>
      <c r="F38" s="1490"/>
      <c r="G38" s="1520"/>
      <c r="H38" s="1479"/>
      <c r="I38" s="1569"/>
      <c r="J38" s="1569"/>
      <c r="K38" s="1487"/>
      <c r="L38" s="1487"/>
      <c r="M38" s="1590"/>
      <c r="N38" s="1487"/>
      <c r="O38" s="1581">
        <f>SUM(I38:N38)</f>
        <v>0</v>
      </c>
      <c r="P38" s="1475"/>
      <c r="Q38" s="1166"/>
      <c r="R38" s="1166"/>
      <c r="S38" s="1166"/>
      <c r="T38" s="1166"/>
      <c r="U38" s="1166"/>
      <c r="V38" s="1166"/>
      <c r="W38" s="1166"/>
      <c r="X38" s="1166"/>
      <c r="Y38" s="1166"/>
      <c r="Z38" s="1166"/>
      <c r="AA38" s="1166"/>
      <c r="AB38" s="1166"/>
      <c r="AC38" s="1166"/>
      <c r="AD38" s="1166"/>
      <c r="AE38" s="1166"/>
      <c r="AF38" s="1166"/>
      <c r="AG38" s="1166"/>
      <c r="AH38" s="1166"/>
      <c r="AI38" s="1166"/>
      <c r="AJ38" s="1166"/>
      <c r="AK38" s="1166"/>
      <c r="AL38" s="1166"/>
      <c r="AM38" s="1166"/>
      <c r="AN38" s="1166"/>
      <c r="AO38" s="1166"/>
      <c r="AP38" s="1166"/>
      <c r="AQ38" s="1166"/>
      <c r="AR38" s="1166"/>
      <c r="AS38" s="1166"/>
      <c r="AT38" s="1166"/>
      <c r="AU38" s="1166"/>
      <c r="AV38" s="1166"/>
      <c r="AW38" s="1166"/>
      <c r="AX38" s="1166"/>
      <c r="AY38" s="1166"/>
      <c r="AZ38" s="1166"/>
      <c r="BA38" s="1166"/>
      <c r="BB38" s="1166"/>
      <c r="BC38" s="1166"/>
      <c r="BD38" s="1166"/>
      <c r="BE38" s="1166"/>
      <c r="BF38" s="1166"/>
      <c r="BG38" s="1166"/>
      <c r="BH38" s="1166"/>
      <c r="BI38" s="1166"/>
      <c r="BJ38" s="1166"/>
      <c r="BK38" s="1166"/>
      <c r="BL38" s="1166"/>
      <c r="BM38" s="1166"/>
      <c r="BN38" s="1166"/>
      <c r="BO38" s="1166"/>
      <c r="BP38" s="1166"/>
      <c r="BQ38" s="1166"/>
      <c r="BR38" s="1166"/>
      <c r="BS38" s="1166"/>
      <c r="BT38" s="1166"/>
      <c r="BU38" s="1166"/>
      <c r="BV38" s="1166"/>
      <c r="BW38" s="1166"/>
      <c r="BX38" s="1166"/>
      <c r="BY38" s="1166"/>
      <c r="BZ38" s="1166"/>
      <c r="CA38" s="1166"/>
      <c r="CB38" s="1166"/>
      <c r="CC38" s="1166"/>
      <c r="CD38" s="1166"/>
      <c r="CE38" s="1166"/>
      <c r="CF38" s="1166"/>
      <c r="CG38" s="1166"/>
      <c r="CH38" s="1166"/>
      <c r="CI38" s="1166"/>
      <c r="CJ38" s="1166"/>
      <c r="CK38" s="1166"/>
      <c r="CL38" s="1166"/>
      <c r="CM38" s="1166"/>
      <c r="CN38" s="1166"/>
      <c r="CO38" s="1166"/>
      <c r="CP38" s="1166"/>
      <c r="CQ38" s="1166"/>
      <c r="CR38" s="1166"/>
      <c r="CS38" s="1166"/>
      <c r="CT38" s="1166"/>
      <c r="CU38" s="1166"/>
      <c r="CV38" s="1166"/>
      <c r="CW38" s="1166"/>
      <c r="CX38" s="1166"/>
      <c r="CY38" s="1166"/>
      <c r="CZ38" s="1166"/>
      <c r="DA38" s="1166"/>
      <c r="DB38" s="1166"/>
      <c r="DC38" s="1166"/>
      <c r="DD38" s="1166"/>
      <c r="DE38" s="1166"/>
      <c r="DF38" s="1166"/>
      <c r="DG38" s="1166"/>
      <c r="DH38" s="1166"/>
      <c r="DI38" s="1166"/>
      <c r="DJ38" s="1166"/>
      <c r="DK38" s="1166"/>
      <c r="DL38" s="1166"/>
      <c r="DM38" s="1166"/>
      <c r="DN38" s="1166"/>
      <c r="DO38" s="1166"/>
      <c r="DP38" s="1166"/>
      <c r="DQ38" s="1166"/>
      <c r="DR38" s="1166"/>
      <c r="DS38" s="1166"/>
      <c r="DT38" s="1166"/>
      <c r="DU38" s="1166"/>
      <c r="DV38" s="1166"/>
      <c r="DW38" s="1166"/>
      <c r="DX38" s="1166"/>
      <c r="DY38" s="1166"/>
      <c r="DZ38" s="1166"/>
      <c r="EA38" s="1166"/>
      <c r="EB38" s="1166"/>
      <c r="EC38" s="1166"/>
      <c r="ED38" s="1166"/>
      <c r="EE38" s="1166"/>
      <c r="EF38" s="1166"/>
      <c r="EG38" s="1166"/>
      <c r="EH38" s="1166"/>
      <c r="EI38" s="1166"/>
      <c r="EJ38" s="1166"/>
      <c r="EK38" s="1166"/>
      <c r="EL38" s="1166"/>
      <c r="EM38" s="1166"/>
      <c r="EN38" s="1166"/>
      <c r="EO38" s="1166"/>
      <c r="EP38" s="1166"/>
      <c r="EQ38" s="1166"/>
      <c r="ER38" s="1166"/>
      <c r="ES38" s="1166"/>
      <c r="ET38" s="1166"/>
      <c r="EU38" s="1166"/>
      <c r="EV38" s="1166"/>
      <c r="EW38" s="1166"/>
      <c r="EX38" s="1166"/>
      <c r="EY38" s="1166"/>
      <c r="EZ38" s="1166"/>
      <c r="FA38" s="1166"/>
      <c r="FB38" s="1166"/>
      <c r="FC38" s="1166"/>
      <c r="FD38" s="1166"/>
      <c r="FE38" s="1166"/>
      <c r="FF38" s="1166"/>
      <c r="FG38" s="1166"/>
      <c r="FH38" s="1166"/>
      <c r="FI38" s="1166"/>
      <c r="FJ38" s="1166"/>
      <c r="FK38" s="1166"/>
      <c r="FL38" s="1166"/>
      <c r="FM38" s="1166"/>
      <c r="FN38" s="1166"/>
      <c r="FO38" s="1166"/>
      <c r="FP38" s="1166"/>
      <c r="FQ38" s="1166"/>
      <c r="FR38" s="1166"/>
      <c r="FS38" s="1166"/>
      <c r="FT38" s="1166"/>
      <c r="FU38" s="1166"/>
      <c r="FV38" s="1166"/>
      <c r="FW38" s="1166"/>
      <c r="FX38" s="1166"/>
      <c r="FY38" s="1166"/>
      <c r="FZ38" s="1166"/>
      <c r="GA38" s="1166"/>
      <c r="GB38" s="1166"/>
      <c r="GC38" s="1166"/>
      <c r="GD38" s="1166"/>
      <c r="GE38" s="1166"/>
      <c r="GF38" s="1166"/>
      <c r="GG38" s="1166"/>
      <c r="GH38" s="1166"/>
      <c r="GI38" s="1166"/>
      <c r="GJ38" s="1166"/>
      <c r="GK38" s="1166"/>
      <c r="GL38" s="1166"/>
      <c r="GM38" s="1166"/>
      <c r="GN38" s="1166"/>
      <c r="GO38" s="1166"/>
      <c r="GP38" s="1166"/>
      <c r="GQ38" s="1166"/>
      <c r="GR38" s="1166"/>
      <c r="GS38" s="1166"/>
      <c r="GT38" s="1166"/>
      <c r="GU38" s="1166"/>
      <c r="GV38" s="1166"/>
      <c r="GW38" s="1166"/>
      <c r="GX38" s="1166"/>
      <c r="GY38" s="1166"/>
      <c r="GZ38" s="1166"/>
      <c r="HA38" s="1166"/>
      <c r="HB38" s="1166"/>
      <c r="HC38" s="1166"/>
      <c r="HD38" s="1166"/>
      <c r="HE38" s="1166"/>
      <c r="HF38" s="1166"/>
      <c r="HG38" s="1166"/>
      <c r="HH38" s="1166"/>
      <c r="HI38" s="1166"/>
      <c r="HJ38" s="1166"/>
      <c r="HK38" s="1166"/>
      <c r="HL38" s="1166"/>
      <c r="HM38" s="1166"/>
      <c r="HN38" s="1166"/>
      <c r="HO38" s="1166"/>
      <c r="HP38" s="1166"/>
      <c r="HQ38" s="1166"/>
      <c r="HR38" s="1166"/>
      <c r="HS38" s="1166"/>
      <c r="HT38" s="1166"/>
      <c r="HU38" s="1166"/>
      <c r="HV38" s="1166"/>
      <c r="HW38" s="1166"/>
      <c r="HX38" s="1166"/>
      <c r="HY38" s="1166"/>
      <c r="HZ38" s="1166"/>
      <c r="IA38" s="1166"/>
      <c r="IB38" s="1166"/>
      <c r="IC38" s="1166"/>
      <c r="ID38" s="1166"/>
      <c r="IE38" s="1166"/>
      <c r="IF38" s="1166"/>
      <c r="IG38" s="1166"/>
      <c r="IH38" s="1166"/>
      <c r="II38" s="1166"/>
      <c r="IJ38" s="1166"/>
      <c r="IK38" s="1166"/>
      <c r="IL38" s="1166"/>
      <c r="IM38" s="1166"/>
      <c r="IN38" s="1166"/>
      <c r="IO38" s="1166"/>
      <c r="IP38" s="1166"/>
      <c r="IQ38" s="1166"/>
      <c r="IR38" s="1166"/>
      <c r="IS38" s="1166"/>
      <c r="IT38" s="1166"/>
      <c r="IU38" s="1166"/>
      <c r="IV38" s="1166"/>
    </row>
    <row r="39" spans="1:256" s="1464" customFormat="1" ht="18" customHeight="1" x14ac:dyDescent="0.35">
      <c r="A39" s="1452">
        <v>30</v>
      </c>
      <c r="B39" s="1498"/>
      <c r="C39" s="1499"/>
      <c r="D39" s="1524" t="s">
        <v>233</v>
      </c>
      <c r="E39" s="1501"/>
      <c r="F39" s="1586"/>
      <c r="G39" s="1164"/>
      <c r="H39" s="1591"/>
      <c r="I39" s="1592"/>
      <c r="J39" s="1592"/>
      <c r="K39" s="1593"/>
      <c r="L39" s="1593"/>
      <c r="M39" s="1594">
        <f>SUM(M37:M38)</f>
        <v>19990</v>
      </c>
      <c r="N39" s="1593"/>
      <c r="O39" s="1289">
        <f>SUM(I39:N39)</f>
        <v>19990</v>
      </c>
      <c r="P39" s="1595"/>
      <c r="Q39" s="1166"/>
      <c r="R39" s="1166"/>
      <c r="S39" s="1166"/>
      <c r="T39" s="1166"/>
      <c r="U39" s="1166"/>
      <c r="V39" s="1166"/>
      <c r="W39" s="1166"/>
      <c r="X39" s="1166"/>
      <c r="Y39" s="1166"/>
      <c r="Z39" s="1166"/>
      <c r="AA39" s="1166"/>
      <c r="AB39" s="1166"/>
      <c r="AC39" s="1166"/>
      <c r="AD39" s="1166"/>
      <c r="AE39" s="1166"/>
      <c r="AF39" s="1166"/>
      <c r="AG39" s="1166"/>
      <c r="AH39" s="1166"/>
      <c r="AI39" s="1166"/>
      <c r="AJ39" s="1166"/>
      <c r="AK39" s="1166"/>
      <c r="AL39" s="1166"/>
      <c r="AM39" s="1166"/>
      <c r="AN39" s="1166"/>
      <c r="AO39" s="1166"/>
      <c r="AP39" s="1166"/>
      <c r="AQ39" s="1166"/>
      <c r="AR39" s="1166"/>
      <c r="AS39" s="1166"/>
      <c r="AT39" s="1166"/>
      <c r="AU39" s="1166"/>
      <c r="AV39" s="1166"/>
      <c r="AW39" s="1166"/>
      <c r="AX39" s="1166"/>
      <c r="AY39" s="1166"/>
      <c r="AZ39" s="1166"/>
      <c r="BA39" s="1166"/>
      <c r="BB39" s="1166"/>
      <c r="BC39" s="1166"/>
      <c r="BD39" s="1166"/>
      <c r="BE39" s="1166"/>
      <c r="BF39" s="1166"/>
      <c r="BG39" s="1166"/>
      <c r="BH39" s="1166"/>
      <c r="BI39" s="1166"/>
      <c r="BJ39" s="1166"/>
      <c r="BK39" s="1166"/>
      <c r="BL39" s="1166"/>
      <c r="BM39" s="1166"/>
      <c r="BN39" s="1166"/>
      <c r="BO39" s="1166"/>
      <c r="BP39" s="1166"/>
      <c r="BQ39" s="1166"/>
      <c r="BR39" s="1166"/>
      <c r="BS39" s="1166"/>
      <c r="BT39" s="1166"/>
      <c r="BU39" s="1166"/>
      <c r="BV39" s="1166"/>
      <c r="BW39" s="1166"/>
      <c r="BX39" s="1166"/>
      <c r="BY39" s="1166"/>
      <c r="BZ39" s="1166"/>
      <c r="CA39" s="1166"/>
      <c r="CB39" s="1166"/>
      <c r="CC39" s="1166"/>
      <c r="CD39" s="1166"/>
      <c r="CE39" s="1166"/>
      <c r="CF39" s="1166"/>
      <c r="CG39" s="1166"/>
      <c r="CH39" s="1166"/>
      <c r="CI39" s="1166"/>
      <c r="CJ39" s="1166"/>
      <c r="CK39" s="1166"/>
      <c r="CL39" s="1166"/>
      <c r="CM39" s="1166"/>
      <c r="CN39" s="1166"/>
      <c r="CO39" s="1166"/>
      <c r="CP39" s="1166"/>
      <c r="CQ39" s="1166"/>
      <c r="CR39" s="1166"/>
      <c r="CS39" s="1166"/>
      <c r="CT39" s="1166"/>
      <c r="CU39" s="1166"/>
      <c r="CV39" s="1166"/>
      <c r="CW39" s="1166"/>
      <c r="CX39" s="1166"/>
      <c r="CY39" s="1166"/>
      <c r="CZ39" s="1166"/>
      <c r="DA39" s="1166"/>
      <c r="DB39" s="1166"/>
      <c r="DC39" s="1166"/>
      <c r="DD39" s="1166"/>
      <c r="DE39" s="1166"/>
      <c r="DF39" s="1166"/>
      <c r="DG39" s="1166"/>
      <c r="DH39" s="1166"/>
      <c r="DI39" s="1166"/>
      <c r="DJ39" s="1166"/>
      <c r="DK39" s="1166"/>
      <c r="DL39" s="1166"/>
      <c r="DM39" s="1166"/>
      <c r="DN39" s="1166"/>
      <c r="DO39" s="1166"/>
      <c r="DP39" s="1166"/>
      <c r="DQ39" s="1166"/>
      <c r="DR39" s="1166"/>
      <c r="DS39" s="1166"/>
      <c r="DT39" s="1166"/>
      <c r="DU39" s="1166"/>
      <c r="DV39" s="1166"/>
      <c r="DW39" s="1166"/>
      <c r="DX39" s="1166"/>
      <c r="DY39" s="1166"/>
      <c r="DZ39" s="1166"/>
      <c r="EA39" s="1166"/>
      <c r="EB39" s="1166"/>
      <c r="EC39" s="1166"/>
      <c r="ED39" s="1166"/>
      <c r="EE39" s="1166"/>
      <c r="EF39" s="1166"/>
      <c r="EG39" s="1166"/>
      <c r="EH39" s="1166"/>
      <c r="EI39" s="1166"/>
      <c r="EJ39" s="1166"/>
      <c r="EK39" s="1166"/>
      <c r="EL39" s="1166"/>
      <c r="EM39" s="1166"/>
      <c r="EN39" s="1166"/>
      <c r="EO39" s="1166"/>
      <c r="EP39" s="1166"/>
      <c r="EQ39" s="1166"/>
      <c r="ER39" s="1166"/>
      <c r="ES39" s="1166"/>
      <c r="ET39" s="1166"/>
      <c r="EU39" s="1166"/>
      <c r="EV39" s="1166"/>
      <c r="EW39" s="1166"/>
      <c r="EX39" s="1166"/>
      <c r="EY39" s="1166"/>
      <c r="EZ39" s="1166"/>
      <c r="FA39" s="1166"/>
      <c r="FB39" s="1166"/>
      <c r="FC39" s="1166"/>
      <c r="FD39" s="1166"/>
      <c r="FE39" s="1166"/>
      <c r="FF39" s="1166"/>
      <c r="FG39" s="1166"/>
      <c r="FH39" s="1166"/>
      <c r="FI39" s="1166"/>
      <c r="FJ39" s="1166"/>
      <c r="FK39" s="1166"/>
      <c r="FL39" s="1166"/>
      <c r="FM39" s="1166"/>
      <c r="FN39" s="1166"/>
      <c r="FO39" s="1166"/>
      <c r="FP39" s="1166"/>
      <c r="FQ39" s="1166"/>
      <c r="FR39" s="1166"/>
      <c r="FS39" s="1166"/>
      <c r="FT39" s="1166"/>
      <c r="FU39" s="1166"/>
      <c r="FV39" s="1166"/>
      <c r="FW39" s="1166"/>
      <c r="FX39" s="1166"/>
      <c r="FY39" s="1166"/>
      <c r="FZ39" s="1166"/>
      <c r="GA39" s="1166"/>
      <c r="GB39" s="1166"/>
      <c r="GC39" s="1166"/>
      <c r="GD39" s="1166"/>
      <c r="GE39" s="1166"/>
      <c r="GF39" s="1166"/>
      <c r="GG39" s="1166"/>
      <c r="GH39" s="1166"/>
      <c r="GI39" s="1166"/>
      <c r="GJ39" s="1166"/>
      <c r="GK39" s="1166"/>
      <c r="GL39" s="1166"/>
      <c r="GM39" s="1166"/>
      <c r="GN39" s="1166"/>
      <c r="GO39" s="1166"/>
      <c r="GP39" s="1166"/>
      <c r="GQ39" s="1166"/>
      <c r="GR39" s="1166"/>
      <c r="GS39" s="1166"/>
      <c r="GT39" s="1166"/>
      <c r="GU39" s="1166"/>
      <c r="GV39" s="1166"/>
      <c r="GW39" s="1166"/>
      <c r="GX39" s="1166"/>
      <c r="GY39" s="1166"/>
      <c r="GZ39" s="1166"/>
      <c r="HA39" s="1166"/>
      <c r="HB39" s="1166"/>
      <c r="HC39" s="1166"/>
      <c r="HD39" s="1166"/>
      <c r="HE39" s="1166"/>
      <c r="HF39" s="1166"/>
      <c r="HG39" s="1166"/>
      <c r="HH39" s="1166"/>
      <c r="HI39" s="1166"/>
      <c r="HJ39" s="1166"/>
      <c r="HK39" s="1166"/>
      <c r="HL39" s="1166"/>
      <c r="HM39" s="1166"/>
      <c r="HN39" s="1166"/>
      <c r="HO39" s="1166"/>
      <c r="HP39" s="1166"/>
      <c r="HQ39" s="1166"/>
      <c r="HR39" s="1166"/>
      <c r="HS39" s="1166"/>
      <c r="HT39" s="1166"/>
      <c r="HU39" s="1166"/>
      <c r="HV39" s="1166"/>
      <c r="HW39" s="1166"/>
      <c r="HX39" s="1166"/>
      <c r="HY39" s="1166"/>
      <c r="HZ39" s="1166"/>
      <c r="IA39" s="1166"/>
      <c r="IB39" s="1166"/>
      <c r="IC39" s="1166"/>
      <c r="ID39" s="1166"/>
      <c r="IE39" s="1166"/>
      <c r="IF39" s="1166"/>
      <c r="IG39" s="1166"/>
      <c r="IH39" s="1166"/>
      <c r="II39" s="1166"/>
      <c r="IJ39" s="1166"/>
      <c r="IK39" s="1166"/>
      <c r="IL39" s="1166"/>
      <c r="IM39" s="1166"/>
      <c r="IN39" s="1166"/>
      <c r="IO39" s="1166"/>
      <c r="IP39" s="1166"/>
      <c r="IQ39" s="1166"/>
      <c r="IR39" s="1166"/>
      <c r="IS39" s="1166"/>
      <c r="IT39" s="1166"/>
      <c r="IU39" s="1166"/>
      <c r="IV39" s="1166"/>
    </row>
    <row r="40" spans="1:256" s="1464" customFormat="1" ht="22.5" customHeight="1" x14ac:dyDescent="0.35">
      <c r="A40" s="1452">
        <v>31</v>
      </c>
      <c r="B40" s="1465"/>
      <c r="C40" s="1187">
        <v>16</v>
      </c>
      <c r="D40" s="1223" t="s">
        <v>8</v>
      </c>
      <c r="E40" s="1468">
        <f>F40+G40+O42</f>
        <v>27550</v>
      </c>
      <c r="F40" s="1490"/>
      <c r="G40" s="1596"/>
      <c r="H40" s="1597" t="s">
        <v>296</v>
      </c>
      <c r="I40" s="1489"/>
      <c r="J40" s="1489"/>
      <c r="K40" s="1488"/>
      <c r="L40" s="1488"/>
      <c r="M40" s="1491"/>
      <c r="N40" s="1488"/>
      <c r="O40" s="1222"/>
      <c r="P40" s="1598"/>
      <c r="Q40" s="1166"/>
      <c r="R40" s="1166"/>
      <c r="S40" s="1166"/>
      <c r="T40" s="1166"/>
      <c r="U40" s="1166"/>
      <c r="V40" s="1166"/>
      <c r="W40" s="1166"/>
      <c r="X40" s="1166"/>
      <c r="Y40" s="1166"/>
      <c r="Z40" s="1166"/>
      <c r="AA40" s="1166"/>
      <c r="AB40" s="1166"/>
      <c r="AC40" s="1166"/>
      <c r="AD40" s="1166"/>
      <c r="AE40" s="1166"/>
      <c r="AF40" s="1166"/>
      <c r="AG40" s="1166"/>
      <c r="AH40" s="1166"/>
      <c r="AI40" s="1166"/>
      <c r="AJ40" s="1166"/>
      <c r="AK40" s="1166"/>
      <c r="AL40" s="1166"/>
      <c r="AM40" s="1166"/>
      <c r="AN40" s="1166"/>
      <c r="AO40" s="1166"/>
      <c r="AP40" s="1166"/>
      <c r="AQ40" s="1166"/>
      <c r="AR40" s="1166"/>
      <c r="AS40" s="1166"/>
      <c r="AT40" s="1166"/>
      <c r="AU40" s="1166"/>
      <c r="AV40" s="1166"/>
      <c r="AW40" s="1166"/>
      <c r="AX40" s="1166"/>
      <c r="AY40" s="1166"/>
      <c r="AZ40" s="1166"/>
      <c r="BA40" s="1166"/>
      <c r="BB40" s="1166"/>
      <c r="BC40" s="1166"/>
      <c r="BD40" s="1166"/>
      <c r="BE40" s="1166"/>
      <c r="BF40" s="1166"/>
      <c r="BG40" s="1166"/>
      <c r="BH40" s="1166"/>
      <c r="BI40" s="1166"/>
      <c r="BJ40" s="1166"/>
      <c r="BK40" s="1166"/>
      <c r="BL40" s="1166"/>
      <c r="BM40" s="1166"/>
      <c r="BN40" s="1166"/>
      <c r="BO40" s="1166"/>
      <c r="BP40" s="1166"/>
      <c r="BQ40" s="1166"/>
      <c r="BR40" s="1166"/>
      <c r="BS40" s="1166"/>
      <c r="BT40" s="1166"/>
      <c r="BU40" s="1166"/>
      <c r="BV40" s="1166"/>
      <c r="BW40" s="1166"/>
      <c r="BX40" s="1166"/>
      <c r="BY40" s="1166"/>
      <c r="BZ40" s="1166"/>
      <c r="CA40" s="1166"/>
      <c r="CB40" s="1166"/>
      <c r="CC40" s="1166"/>
      <c r="CD40" s="1166"/>
      <c r="CE40" s="1166"/>
      <c r="CF40" s="1166"/>
      <c r="CG40" s="1166"/>
      <c r="CH40" s="1166"/>
      <c r="CI40" s="1166"/>
      <c r="CJ40" s="1166"/>
      <c r="CK40" s="1166"/>
      <c r="CL40" s="1166"/>
      <c r="CM40" s="1166"/>
      <c r="CN40" s="1166"/>
      <c r="CO40" s="1166"/>
      <c r="CP40" s="1166"/>
      <c r="CQ40" s="1166"/>
      <c r="CR40" s="1166"/>
      <c r="CS40" s="1166"/>
      <c r="CT40" s="1166"/>
      <c r="CU40" s="1166"/>
      <c r="CV40" s="1166"/>
      <c r="CW40" s="1166"/>
      <c r="CX40" s="1166"/>
      <c r="CY40" s="1166"/>
      <c r="CZ40" s="1166"/>
      <c r="DA40" s="1166"/>
      <c r="DB40" s="1166"/>
      <c r="DC40" s="1166"/>
      <c r="DD40" s="1166"/>
      <c r="DE40" s="1166"/>
      <c r="DF40" s="1166"/>
      <c r="DG40" s="1166"/>
      <c r="DH40" s="1166"/>
      <c r="DI40" s="1166"/>
      <c r="DJ40" s="1166"/>
      <c r="DK40" s="1166"/>
      <c r="DL40" s="1166"/>
      <c r="DM40" s="1166"/>
      <c r="DN40" s="1166"/>
      <c r="DO40" s="1166"/>
      <c r="DP40" s="1166"/>
      <c r="DQ40" s="1166"/>
      <c r="DR40" s="1166"/>
      <c r="DS40" s="1166"/>
      <c r="DT40" s="1166"/>
      <c r="DU40" s="1166"/>
      <c r="DV40" s="1166"/>
      <c r="DW40" s="1166"/>
      <c r="DX40" s="1166"/>
      <c r="DY40" s="1166"/>
      <c r="DZ40" s="1166"/>
      <c r="EA40" s="1166"/>
      <c r="EB40" s="1166"/>
      <c r="EC40" s="1166"/>
      <c r="ED40" s="1166"/>
      <c r="EE40" s="1166"/>
      <c r="EF40" s="1166"/>
      <c r="EG40" s="1166"/>
      <c r="EH40" s="1166"/>
      <c r="EI40" s="1166"/>
      <c r="EJ40" s="1166"/>
      <c r="EK40" s="1166"/>
      <c r="EL40" s="1166"/>
      <c r="EM40" s="1166"/>
      <c r="EN40" s="1166"/>
      <c r="EO40" s="1166"/>
      <c r="EP40" s="1166"/>
      <c r="EQ40" s="1166"/>
      <c r="ER40" s="1166"/>
      <c r="ES40" s="1166"/>
      <c r="ET40" s="1166"/>
      <c r="EU40" s="1166"/>
      <c r="EV40" s="1166"/>
      <c r="EW40" s="1166"/>
      <c r="EX40" s="1166"/>
      <c r="EY40" s="1166"/>
      <c r="EZ40" s="1166"/>
      <c r="FA40" s="1166"/>
      <c r="FB40" s="1166"/>
      <c r="FC40" s="1166"/>
      <c r="FD40" s="1166"/>
      <c r="FE40" s="1166"/>
      <c r="FF40" s="1166"/>
      <c r="FG40" s="1166"/>
      <c r="FH40" s="1166"/>
      <c r="FI40" s="1166"/>
      <c r="FJ40" s="1166"/>
      <c r="FK40" s="1166"/>
      <c r="FL40" s="1166"/>
      <c r="FM40" s="1166"/>
      <c r="FN40" s="1166"/>
      <c r="FO40" s="1166"/>
      <c r="FP40" s="1166"/>
      <c r="FQ40" s="1166"/>
      <c r="FR40" s="1166"/>
      <c r="FS40" s="1166"/>
      <c r="FT40" s="1166"/>
      <c r="FU40" s="1166"/>
      <c r="FV40" s="1166"/>
      <c r="FW40" s="1166"/>
      <c r="FX40" s="1166"/>
      <c r="FY40" s="1166"/>
      <c r="FZ40" s="1166"/>
      <c r="GA40" s="1166"/>
      <c r="GB40" s="1166"/>
      <c r="GC40" s="1166"/>
      <c r="GD40" s="1166"/>
      <c r="GE40" s="1166"/>
      <c r="GF40" s="1166"/>
      <c r="GG40" s="1166"/>
      <c r="GH40" s="1166"/>
      <c r="GI40" s="1166"/>
      <c r="GJ40" s="1166"/>
      <c r="GK40" s="1166"/>
      <c r="GL40" s="1166"/>
      <c r="GM40" s="1166"/>
      <c r="GN40" s="1166"/>
      <c r="GO40" s="1166"/>
      <c r="GP40" s="1166"/>
      <c r="GQ40" s="1166"/>
      <c r="GR40" s="1166"/>
      <c r="GS40" s="1166"/>
      <c r="GT40" s="1166"/>
      <c r="GU40" s="1166"/>
      <c r="GV40" s="1166"/>
      <c r="GW40" s="1166"/>
      <c r="GX40" s="1166"/>
      <c r="GY40" s="1166"/>
      <c r="GZ40" s="1166"/>
      <c r="HA40" s="1166"/>
      <c r="HB40" s="1166"/>
      <c r="HC40" s="1166"/>
      <c r="HD40" s="1166"/>
      <c r="HE40" s="1166"/>
      <c r="HF40" s="1166"/>
      <c r="HG40" s="1166"/>
      <c r="HH40" s="1166"/>
      <c r="HI40" s="1166"/>
      <c r="HJ40" s="1166"/>
      <c r="HK40" s="1166"/>
      <c r="HL40" s="1166"/>
      <c r="HM40" s="1166"/>
      <c r="HN40" s="1166"/>
      <c r="HO40" s="1166"/>
      <c r="HP40" s="1166"/>
      <c r="HQ40" s="1166"/>
      <c r="HR40" s="1166"/>
      <c r="HS40" s="1166"/>
      <c r="HT40" s="1166"/>
      <c r="HU40" s="1166"/>
      <c r="HV40" s="1166"/>
      <c r="HW40" s="1166"/>
      <c r="HX40" s="1166"/>
      <c r="HY40" s="1166"/>
      <c r="HZ40" s="1166"/>
      <c r="IA40" s="1166"/>
      <c r="IB40" s="1166"/>
      <c r="IC40" s="1166"/>
      <c r="ID40" s="1166"/>
      <c r="IE40" s="1166"/>
      <c r="IF40" s="1166"/>
      <c r="IG40" s="1166"/>
      <c r="IH40" s="1166"/>
      <c r="II40" s="1166"/>
      <c r="IJ40" s="1166"/>
      <c r="IK40" s="1166"/>
      <c r="IL40" s="1166"/>
      <c r="IM40" s="1166"/>
      <c r="IN40" s="1166"/>
      <c r="IO40" s="1166"/>
      <c r="IP40" s="1166"/>
      <c r="IQ40" s="1166"/>
      <c r="IR40" s="1166"/>
      <c r="IS40" s="1166"/>
      <c r="IT40" s="1166"/>
      <c r="IU40" s="1166"/>
      <c r="IV40" s="1166"/>
    </row>
    <row r="41" spans="1:256" s="1464" customFormat="1" ht="18" customHeight="1" x14ac:dyDescent="0.35">
      <c r="A41" s="1452">
        <v>32</v>
      </c>
      <c r="B41" s="1465"/>
      <c r="C41" s="1187"/>
      <c r="D41" s="1388" t="s">
        <v>232</v>
      </c>
      <c r="E41" s="1468"/>
      <c r="F41" s="1490"/>
      <c r="G41" s="1596"/>
      <c r="H41" s="1597"/>
      <c r="I41" s="1489"/>
      <c r="J41" s="1489"/>
      <c r="K41" s="1493">
        <v>27550</v>
      </c>
      <c r="L41" s="1488"/>
      <c r="M41" s="1491"/>
      <c r="N41" s="1488"/>
      <c r="O41" s="1581">
        <f>SUM(I41:N41)</f>
        <v>27550</v>
      </c>
      <c r="P41" s="1598"/>
      <c r="Q41" s="1166"/>
      <c r="R41" s="1166"/>
      <c r="S41" s="1166"/>
      <c r="T41" s="1166"/>
      <c r="U41" s="1166"/>
      <c r="V41" s="1166"/>
      <c r="W41" s="1166"/>
      <c r="X41" s="1166"/>
      <c r="Y41" s="1166"/>
      <c r="Z41" s="1166"/>
      <c r="AA41" s="1166"/>
      <c r="AB41" s="1166"/>
      <c r="AC41" s="1166"/>
      <c r="AD41" s="1166"/>
      <c r="AE41" s="1166"/>
      <c r="AF41" s="1166"/>
      <c r="AG41" s="1166"/>
      <c r="AH41" s="1166"/>
      <c r="AI41" s="1166"/>
      <c r="AJ41" s="1166"/>
      <c r="AK41" s="1166"/>
      <c r="AL41" s="1166"/>
      <c r="AM41" s="1166"/>
      <c r="AN41" s="1166"/>
      <c r="AO41" s="1166"/>
      <c r="AP41" s="1166"/>
      <c r="AQ41" s="1166"/>
      <c r="AR41" s="1166"/>
      <c r="AS41" s="1166"/>
      <c r="AT41" s="1166"/>
      <c r="AU41" s="1166"/>
      <c r="AV41" s="1166"/>
      <c r="AW41" s="1166"/>
      <c r="AX41" s="1166"/>
      <c r="AY41" s="1166"/>
      <c r="AZ41" s="1166"/>
      <c r="BA41" s="1166"/>
      <c r="BB41" s="1166"/>
      <c r="BC41" s="1166"/>
      <c r="BD41" s="1166"/>
      <c r="BE41" s="1166"/>
      <c r="BF41" s="1166"/>
      <c r="BG41" s="1166"/>
      <c r="BH41" s="1166"/>
      <c r="BI41" s="1166"/>
      <c r="BJ41" s="1166"/>
      <c r="BK41" s="1166"/>
      <c r="BL41" s="1166"/>
      <c r="BM41" s="1166"/>
      <c r="BN41" s="1166"/>
      <c r="BO41" s="1166"/>
      <c r="BP41" s="1166"/>
      <c r="BQ41" s="1166"/>
      <c r="BR41" s="1166"/>
      <c r="BS41" s="1166"/>
      <c r="BT41" s="1166"/>
      <c r="BU41" s="1166"/>
      <c r="BV41" s="1166"/>
      <c r="BW41" s="1166"/>
      <c r="BX41" s="1166"/>
      <c r="BY41" s="1166"/>
      <c r="BZ41" s="1166"/>
      <c r="CA41" s="1166"/>
      <c r="CB41" s="1166"/>
      <c r="CC41" s="1166"/>
      <c r="CD41" s="1166"/>
      <c r="CE41" s="1166"/>
      <c r="CF41" s="1166"/>
      <c r="CG41" s="1166"/>
      <c r="CH41" s="1166"/>
      <c r="CI41" s="1166"/>
      <c r="CJ41" s="1166"/>
      <c r="CK41" s="1166"/>
      <c r="CL41" s="1166"/>
      <c r="CM41" s="1166"/>
      <c r="CN41" s="1166"/>
      <c r="CO41" s="1166"/>
      <c r="CP41" s="1166"/>
      <c r="CQ41" s="1166"/>
      <c r="CR41" s="1166"/>
      <c r="CS41" s="1166"/>
      <c r="CT41" s="1166"/>
      <c r="CU41" s="1166"/>
      <c r="CV41" s="1166"/>
      <c r="CW41" s="1166"/>
      <c r="CX41" s="1166"/>
      <c r="CY41" s="1166"/>
      <c r="CZ41" s="1166"/>
      <c r="DA41" s="1166"/>
      <c r="DB41" s="1166"/>
      <c r="DC41" s="1166"/>
      <c r="DD41" s="1166"/>
      <c r="DE41" s="1166"/>
      <c r="DF41" s="1166"/>
      <c r="DG41" s="1166"/>
      <c r="DH41" s="1166"/>
      <c r="DI41" s="1166"/>
      <c r="DJ41" s="1166"/>
      <c r="DK41" s="1166"/>
      <c r="DL41" s="1166"/>
      <c r="DM41" s="1166"/>
      <c r="DN41" s="1166"/>
      <c r="DO41" s="1166"/>
      <c r="DP41" s="1166"/>
      <c r="DQ41" s="1166"/>
      <c r="DR41" s="1166"/>
      <c r="DS41" s="1166"/>
      <c r="DT41" s="1166"/>
      <c r="DU41" s="1166"/>
      <c r="DV41" s="1166"/>
      <c r="DW41" s="1166"/>
      <c r="DX41" s="1166"/>
      <c r="DY41" s="1166"/>
      <c r="DZ41" s="1166"/>
      <c r="EA41" s="1166"/>
      <c r="EB41" s="1166"/>
      <c r="EC41" s="1166"/>
      <c r="ED41" s="1166"/>
      <c r="EE41" s="1166"/>
      <c r="EF41" s="1166"/>
      <c r="EG41" s="1166"/>
      <c r="EH41" s="1166"/>
      <c r="EI41" s="1166"/>
      <c r="EJ41" s="1166"/>
      <c r="EK41" s="1166"/>
      <c r="EL41" s="1166"/>
      <c r="EM41" s="1166"/>
      <c r="EN41" s="1166"/>
      <c r="EO41" s="1166"/>
      <c r="EP41" s="1166"/>
      <c r="EQ41" s="1166"/>
      <c r="ER41" s="1166"/>
      <c r="ES41" s="1166"/>
      <c r="ET41" s="1166"/>
      <c r="EU41" s="1166"/>
      <c r="EV41" s="1166"/>
      <c r="EW41" s="1166"/>
      <c r="EX41" s="1166"/>
      <c r="EY41" s="1166"/>
      <c r="EZ41" s="1166"/>
      <c r="FA41" s="1166"/>
      <c r="FB41" s="1166"/>
      <c r="FC41" s="1166"/>
      <c r="FD41" s="1166"/>
      <c r="FE41" s="1166"/>
      <c r="FF41" s="1166"/>
      <c r="FG41" s="1166"/>
      <c r="FH41" s="1166"/>
      <c r="FI41" s="1166"/>
      <c r="FJ41" s="1166"/>
      <c r="FK41" s="1166"/>
      <c r="FL41" s="1166"/>
      <c r="FM41" s="1166"/>
      <c r="FN41" s="1166"/>
      <c r="FO41" s="1166"/>
      <c r="FP41" s="1166"/>
      <c r="FQ41" s="1166"/>
      <c r="FR41" s="1166"/>
      <c r="FS41" s="1166"/>
      <c r="FT41" s="1166"/>
      <c r="FU41" s="1166"/>
      <c r="FV41" s="1166"/>
      <c r="FW41" s="1166"/>
      <c r="FX41" s="1166"/>
      <c r="FY41" s="1166"/>
      <c r="FZ41" s="1166"/>
      <c r="GA41" s="1166"/>
      <c r="GB41" s="1166"/>
      <c r="GC41" s="1166"/>
      <c r="GD41" s="1166"/>
      <c r="GE41" s="1166"/>
      <c r="GF41" s="1166"/>
      <c r="GG41" s="1166"/>
      <c r="GH41" s="1166"/>
      <c r="GI41" s="1166"/>
      <c r="GJ41" s="1166"/>
      <c r="GK41" s="1166"/>
      <c r="GL41" s="1166"/>
      <c r="GM41" s="1166"/>
      <c r="GN41" s="1166"/>
      <c r="GO41" s="1166"/>
      <c r="GP41" s="1166"/>
      <c r="GQ41" s="1166"/>
      <c r="GR41" s="1166"/>
      <c r="GS41" s="1166"/>
      <c r="GT41" s="1166"/>
      <c r="GU41" s="1166"/>
      <c r="GV41" s="1166"/>
      <c r="GW41" s="1166"/>
      <c r="GX41" s="1166"/>
      <c r="GY41" s="1166"/>
      <c r="GZ41" s="1166"/>
      <c r="HA41" s="1166"/>
      <c r="HB41" s="1166"/>
      <c r="HC41" s="1166"/>
      <c r="HD41" s="1166"/>
      <c r="HE41" s="1166"/>
      <c r="HF41" s="1166"/>
      <c r="HG41" s="1166"/>
      <c r="HH41" s="1166"/>
      <c r="HI41" s="1166"/>
      <c r="HJ41" s="1166"/>
      <c r="HK41" s="1166"/>
      <c r="HL41" s="1166"/>
      <c r="HM41" s="1166"/>
      <c r="HN41" s="1166"/>
      <c r="HO41" s="1166"/>
      <c r="HP41" s="1166"/>
      <c r="HQ41" s="1166"/>
      <c r="HR41" s="1166"/>
      <c r="HS41" s="1166"/>
      <c r="HT41" s="1166"/>
      <c r="HU41" s="1166"/>
      <c r="HV41" s="1166"/>
      <c r="HW41" s="1166"/>
      <c r="HX41" s="1166"/>
      <c r="HY41" s="1166"/>
      <c r="HZ41" s="1166"/>
      <c r="IA41" s="1166"/>
      <c r="IB41" s="1166"/>
      <c r="IC41" s="1166"/>
      <c r="ID41" s="1166"/>
      <c r="IE41" s="1166"/>
      <c r="IF41" s="1166"/>
      <c r="IG41" s="1166"/>
      <c r="IH41" s="1166"/>
      <c r="II41" s="1166"/>
      <c r="IJ41" s="1166"/>
      <c r="IK41" s="1166"/>
      <c r="IL41" s="1166"/>
      <c r="IM41" s="1166"/>
      <c r="IN41" s="1166"/>
      <c r="IO41" s="1166"/>
      <c r="IP41" s="1166"/>
      <c r="IQ41" s="1166"/>
      <c r="IR41" s="1166"/>
      <c r="IS41" s="1166"/>
      <c r="IT41" s="1166"/>
      <c r="IU41" s="1166"/>
      <c r="IV41" s="1166"/>
    </row>
    <row r="42" spans="1:256" s="1464" customFormat="1" ht="18" customHeight="1" x14ac:dyDescent="0.35">
      <c r="A42" s="1452">
        <v>33</v>
      </c>
      <c r="B42" s="1599"/>
      <c r="C42" s="1600"/>
      <c r="D42" s="1524" t="s">
        <v>233</v>
      </c>
      <c r="E42" s="1601"/>
      <c r="F42" s="1602"/>
      <c r="G42" s="1164"/>
      <c r="H42" s="1591"/>
      <c r="I42" s="1592"/>
      <c r="J42" s="1592"/>
      <c r="K42" s="1594">
        <f>SUM(K41)</f>
        <v>27550</v>
      </c>
      <c r="L42" s="1593"/>
      <c r="M42" s="1594"/>
      <c r="N42" s="1593"/>
      <c r="O42" s="1289">
        <f>SUM(I42:N42)</f>
        <v>27550</v>
      </c>
      <c r="P42" s="1595"/>
      <c r="Q42" s="1166"/>
      <c r="R42" s="1166"/>
      <c r="S42" s="1166"/>
      <c r="T42" s="1166"/>
      <c r="U42" s="1166"/>
      <c r="V42" s="1166"/>
      <c r="W42" s="1166"/>
      <c r="X42" s="1166"/>
      <c r="Y42" s="1166"/>
      <c r="Z42" s="1166"/>
      <c r="AA42" s="1166"/>
      <c r="AB42" s="1166"/>
      <c r="AC42" s="1166"/>
      <c r="AD42" s="1166"/>
      <c r="AE42" s="1166"/>
      <c r="AF42" s="1166"/>
      <c r="AG42" s="1166"/>
      <c r="AH42" s="1166"/>
      <c r="AI42" s="1166"/>
      <c r="AJ42" s="1166"/>
      <c r="AK42" s="1166"/>
      <c r="AL42" s="1166"/>
      <c r="AM42" s="1166"/>
      <c r="AN42" s="1166"/>
      <c r="AO42" s="1166"/>
      <c r="AP42" s="1166"/>
      <c r="AQ42" s="1166"/>
      <c r="AR42" s="1166"/>
      <c r="AS42" s="1166"/>
      <c r="AT42" s="1166"/>
      <c r="AU42" s="1166"/>
      <c r="AV42" s="1166"/>
      <c r="AW42" s="1166"/>
      <c r="AX42" s="1166"/>
      <c r="AY42" s="1166"/>
      <c r="AZ42" s="1166"/>
      <c r="BA42" s="1166"/>
      <c r="BB42" s="1166"/>
      <c r="BC42" s="1166"/>
      <c r="BD42" s="1166"/>
      <c r="BE42" s="1166"/>
      <c r="BF42" s="1166"/>
      <c r="BG42" s="1166"/>
      <c r="BH42" s="1166"/>
      <c r="BI42" s="1166"/>
      <c r="BJ42" s="1166"/>
      <c r="BK42" s="1166"/>
      <c r="BL42" s="1166"/>
      <c r="BM42" s="1166"/>
      <c r="BN42" s="1166"/>
      <c r="BO42" s="1166"/>
      <c r="BP42" s="1166"/>
      <c r="BQ42" s="1166"/>
      <c r="BR42" s="1166"/>
      <c r="BS42" s="1166"/>
      <c r="BT42" s="1166"/>
      <c r="BU42" s="1166"/>
      <c r="BV42" s="1166"/>
      <c r="BW42" s="1166"/>
      <c r="BX42" s="1166"/>
      <c r="BY42" s="1166"/>
      <c r="BZ42" s="1166"/>
      <c r="CA42" s="1166"/>
      <c r="CB42" s="1166"/>
      <c r="CC42" s="1166"/>
      <c r="CD42" s="1166"/>
      <c r="CE42" s="1166"/>
      <c r="CF42" s="1166"/>
      <c r="CG42" s="1166"/>
      <c r="CH42" s="1166"/>
      <c r="CI42" s="1166"/>
      <c r="CJ42" s="1166"/>
      <c r="CK42" s="1166"/>
      <c r="CL42" s="1166"/>
      <c r="CM42" s="1166"/>
      <c r="CN42" s="1166"/>
      <c r="CO42" s="1166"/>
      <c r="CP42" s="1166"/>
      <c r="CQ42" s="1166"/>
      <c r="CR42" s="1166"/>
      <c r="CS42" s="1166"/>
      <c r="CT42" s="1166"/>
      <c r="CU42" s="1166"/>
      <c r="CV42" s="1166"/>
      <c r="CW42" s="1166"/>
      <c r="CX42" s="1166"/>
      <c r="CY42" s="1166"/>
      <c r="CZ42" s="1166"/>
      <c r="DA42" s="1166"/>
      <c r="DB42" s="1166"/>
      <c r="DC42" s="1166"/>
      <c r="DD42" s="1166"/>
      <c r="DE42" s="1166"/>
      <c r="DF42" s="1166"/>
      <c r="DG42" s="1166"/>
      <c r="DH42" s="1166"/>
      <c r="DI42" s="1166"/>
      <c r="DJ42" s="1166"/>
      <c r="DK42" s="1166"/>
      <c r="DL42" s="1166"/>
      <c r="DM42" s="1166"/>
      <c r="DN42" s="1166"/>
      <c r="DO42" s="1166"/>
      <c r="DP42" s="1166"/>
      <c r="DQ42" s="1166"/>
      <c r="DR42" s="1166"/>
      <c r="DS42" s="1166"/>
      <c r="DT42" s="1166"/>
      <c r="DU42" s="1166"/>
      <c r="DV42" s="1166"/>
      <c r="DW42" s="1166"/>
      <c r="DX42" s="1166"/>
      <c r="DY42" s="1166"/>
      <c r="DZ42" s="1166"/>
      <c r="EA42" s="1166"/>
      <c r="EB42" s="1166"/>
      <c r="EC42" s="1166"/>
      <c r="ED42" s="1166"/>
      <c r="EE42" s="1166"/>
      <c r="EF42" s="1166"/>
      <c r="EG42" s="1166"/>
      <c r="EH42" s="1166"/>
      <c r="EI42" s="1166"/>
      <c r="EJ42" s="1166"/>
      <c r="EK42" s="1166"/>
      <c r="EL42" s="1166"/>
      <c r="EM42" s="1166"/>
      <c r="EN42" s="1166"/>
      <c r="EO42" s="1166"/>
      <c r="EP42" s="1166"/>
      <c r="EQ42" s="1166"/>
      <c r="ER42" s="1166"/>
      <c r="ES42" s="1166"/>
      <c r="ET42" s="1166"/>
      <c r="EU42" s="1166"/>
      <c r="EV42" s="1166"/>
      <c r="EW42" s="1166"/>
      <c r="EX42" s="1166"/>
      <c r="EY42" s="1166"/>
      <c r="EZ42" s="1166"/>
      <c r="FA42" s="1166"/>
      <c r="FB42" s="1166"/>
      <c r="FC42" s="1166"/>
      <c r="FD42" s="1166"/>
      <c r="FE42" s="1166"/>
      <c r="FF42" s="1166"/>
      <c r="FG42" s="1166"/>
      <c r="FH42" s="1166"/>
      <c r="FI42" s="1166"/>
      <c r="FJ42" s="1166"/>
      <c r="FK42" s="1166"/>
      <c r="FL42" s="1166"/>
      <c r="FM42" s="1166"/>
      <c r="FN42" s="1166"/>
      <c r="FO42" s="1166"/>
      <c r="FP42" s="1166"/>
      <c r="FQ42" s="1166"/>
      <c r="FR42" s="1166"/>
      <c r="FS42" s="1166"/>
      <c r="FT42" s="1166"/>
      <c r="FU42" s="1166"/>
      <c r="FV42" s="1166"/>
      <c r="FW42" s="1166"/>
      <c r="FX42" s="1166"/>
      <c r="FY42" s="1166"/>
      <c r="FZ42" s="1166"/>
      <c r="GA42" s="1166"/>
      <c r="GB42" s="1166"/>
      <c r="GC42" s="1166"/>
      <c r="GD42" s="1166"/>
      <c r="GE42" s="1166"/>
      <c r="GF42" s="1166"/>
      <c r="GG42" s="1166"/>
      <c r="GH42" s="1166"/>
      <c r="GI42" s="1166"/>
      <c r="GJ42" s="1166"/>
      <c r="GK42" s="1166"/>
      <c r="GL42" s="1166"/>
      <c r="GM42" s="1166"/>
      <c r="GN42" s="1166"/>
      <c r="GO42" s="1166"/>
      <c r="GP42" s="1166"/>
      <c r="GQ42" s="1166"/>
      <c r="GR42" s="1166"/>
      <c r="GS42" s="1166"/>
      <c r="GT42" s="1166"/>
      <c r="GU42" s="1166"/>
      <c r="GV42" s="1166"/>
      <c r="GW42" s="1166"/>
      <c r="GX42" s="1166"/>
      <c r="GY42" s="1166"/>
      <c r="GZ42" s="1166"/>
      <c r="HA42" s="1166"/>
      <c r="HB42" s="1166"/>
      <c r="HC42" s="1166"/>
      <c r="HD42" s="1166"/>
      <c r="HE42" s="1166"/>
      <c r="HF42" s="1166"/>
      <c r="HG42" s="1166"/>
      <c r="HH42" s="1166"/>
      <c r="HI42" s="1166"/>
      <c r="HJ42" s="1166"/>
      <c r="HK42" s="1166"/>
      <c r="HL42" s="1166"/>
      <c r="HM42" s="1166"/>
      <c r="HN42" s="1166"/>
      <c r="HO42" s="1166"/>
      <c r="HP42" s="1166"/>
      <c r="HQ42" s="1166"/>
      <c r="HR42" s="1166"/>
      <c r="HS42" s="1166"/>
      <c r="HT42" s="1166"/>
      <c r="HU42" s="1166"/>
      <c r="HV42" s="1166"/>
      <c r="HW42" s="1166"/>
      <c r="HX42" s="1166"/>
      <c r="HY42" s="1166"/>
      <c r="HZ42" s="1166"/>
      <c r="IA42" s="1166"/>
      <c r="IB42" s="1166"/>
      <c r="IC42" s="1166"/>
      <c r="ID42" s="1166"/>
      <c r="IE42" s="1166"/>
      <c r="IF42" s="1166"/>
      <c r="IG42" s="1166"/>
      <c r="IH42" s="1166"/>
      <c r="II42" s="1166"/>
      <c r="IJ42" s="1166"/>
      <c r="IK42" s="1166"/>
      <c r="IL42" s="1166"/>
      <c r="IM42" s="1166"/>
      <c r="IN42" s="1166"/>
      <c r="IO42" s="1166"/>
      <c r="IP42" s="1166"/>
      <c r="IQ42" s="1166"/>
      <c r="IR42" s="1166"/>
      <c r="IS42" s="1166"/>
      <c r="IT42" s="1166"/>
      <c r="IU42" s="1166"/>
      <c r="IV42" s="1166"/>
    </row>
    <row r="43" spans="1:256" s="1464" customFormat="1" ht="27" customHeight="1" x14ac:dyDescent="0.35">
      <c r="A43" s="1452">
        <v>34</v>
      </c>
      <c r="B43" s="2024" t="s">
        <v>278</v>
      </c>
      <c r="C43" s="2024"/>
      <c r="D43" s="2024"/>
      <c r="E43" s="2024"/>
      <c r="F43" s="2024"/>
      <c r="G43" s="2024"/>
      <c r="H43" s="1603"/>
      <c r="I43" s="1604"/>
      <c r="J43" s="1604"/>
      <c r="K43" s="1605"/>
      <c r="L43" s="1605"/>
      <c r="M43" s="1605"/>
      <c r="N43" s="1605"/>
      <c r="O43" s="1606"/>
      <c r="P43" s="1607"/>
      <c r="Q43" s="1166"/>
      <c r="R43" s="1166"/>
      <c r="S43" s="1166"/>
      <c r="T43" s="1166"/>
      <c r="U43" s="1166"/>
      <c r="V43" s="1166"/>
      <c r="W43" s="1166"/>
      <c r="X43" s="1166"/>
      <c r="Y43" s="1166"/>
      <c r="Z43" s="1166"/>
      <c r="AA43" s="1166"/>
      <c r="AB43" s="1166"/>
      <c r="AC43" s="1166"/>
      <c r="AD43" s="1166"/>
      <c r="AE43" s="1166"/>
      <c r="AF43" s="1166"/>
      <c r="AG43" s="1166"/>
      <c r="AH43" s="1166"/>
      <c r="AI43" s="1166"/>
      <c r="AJ43" s="1166"/>
      <c r="AK43" s="1166"/>
      <c r="AL43" s="1166"/>
      <c r="AM43" s="1166"/>
      <c r="AN43" s="1166"/>
      <c r="AO43" s="1166"/>
      <c r="AP43" s="1166"/>
      <c r="AQ43" s="1166"/>
      <c r="AR43" s="1166"/>
      <c r="AS43" s="1166"/>
      <c r="AT43" s="1166"/>
      <c r="AU43" s="1166"/>
      <c r="AV43" s="1166"/>
      <c r="AW43" s="1166"/>
      <c r="AX43" s="1166"/>
      <c r="AY43" s="1166"/>
      <c r="AZ43" s="1166"/>
      <c r="BA43" s="1166"/>
      <c r="BB43" s="1166"/>
      <c r="BC43" s="1166"/>
      <c r="BD43" s="1166"/>
      <c r="BE43" s="1166"/>
      <c r="BF43" s="1166"/>
      <c r="BG43" s="1166"/>
      <c r="BH43" s="1166"/>
      <c r="BI43" s="1166"/>
      <c r="BJ43" s="1166"/>
      <c r="BK43" s="1166"/>
      <c r="BL43" s="1166"/>
      <c r="BM43" s="1166"/>
      <c r="BN43" s="1166"/>
      <c r="BO43" s="1166"/>
      <c r="BP43" s="1166"/>
      <c r="BQ43" s="1166"/>
      <c r="BR43" s="1166"/>
      <c r="BS43" s="1166"/>
      <c r="BT43" s="1166"/>
      <c r="BU43" s="1166"/>
      <c r="BV43" s="1166"/>
      <c r="BW43" s="1166"/>
      <c r="BX43" s="1166"/>
      <c r="BY43" s="1166"/>
      <c r="BZ43" s="1166"/>
      <c r="CA43" s="1166"/>
      <c r="CB43" s="1166"/>
      <c r="CC43" s="1166"/>
      <c r="CD43" s="1166"/>
      <c r="CE43" s="1166"/>
      <c r="CF43" s="1166"/>
      <c r="CG43" s="1166"/>
      <c r="CH43" s="1166"/>
      <c r="CI43" s="1166"/>
      <c r="CJ43" s="1166"/>
      <c r="CK43" s="1166"/>
      <c r="CL43" s="1166"/>
      <c r="CM43" s="1166"/>
      <c r="CN43" s="1166"/>
      <c r="CO43" s="1166"/>
      <c r="CP43" s="1166"/>
      <c r="CQ43" s="1166"/>
      <c r="CR43" s="1166"/>
      <c r="CS43" s="1166"/>
      <c r="CT43" s="1166"/>
      <c r="CU43" s="1166"/>
      <c r="CV43" s="1166"/>
      <c r="CW43" s="1166"/>
      <c r="CX43" s="1166"/>
      <c r="CY43" s="1166"/>
      <c r="CZ43" s="1166"/>
      <c r="DA43" s="1166"/>
      <c r="DB43" s="1166"/>
      <c r="DC43" s="1166"/>
      <c r="DD43" s="1166"/>
      <c r="DE43" s="1166"/>
      <c r="DF43" s="1166"/>
      <c r="DG43" s="1166"/>
      <c r="DH43" s="1166"/>
      <c r="DI43" s="1166"/>
      <c r="DJ43" s="1166"/>
      <c r="DK43" s="1166"/>
      <c r="DL43" s="1166"/>
      <c r="DM43" s="1166"/>
      <c r="DN43" s="1166"/>
      <c r="DO43" s="1166"/>
      <c r="DP43" s="1166"/>
      <c r="DQ43" s="1166"/>
      <c r="DR43" s="1166"/>
      <c r="DS43" s="1166"/>
      <c r="DT43" s="1166"/>
      <c r="DU43" s="1166"/>
      <c r="DV43" s="1166"/>
      <c r="DW43" s="1166"/>
      <c r="DX43" s="1166"/>
      <c r="DY43" s="1166"/>
      <c r="DZ43" s="1166"/>
      <c r="EA43" s="1166"/>
      <c r="EB43" s="1166"/>
      <c r="EC43" s="1166"/>
      <c r="ED43" s="1166"/>
      <c r="EE43" s="1166"/>
      <c r="EF43" s="1166"/>
      <c r="EG43" s="1166"/>
      <c r="EH43" s="1166"/>
      <c r="EI43" s="1166"/>
      <c r="EJ43" s="1166"/>
      <c r="EK43" s="1166"/>
      <c r="EL43" s="1166"/>
      <c r="EM43" s="1166"/>
      <c r="EN43" s="1166"/>
      <c r="EO43" s="1166"/>
      <c r="EP43" s="1166"/>
      <c r="EQ43" s="1166"/>
      <c r="ER43" s="1166"/>
      <c r="ES43" s="1166"/>
      <c r="ET43" s="1166"/>
      <c r="EU43" s="1166"/>
      <c r="EV43" s="1166"/>
      <c r="EW43" s="1166"/>
      <c r="EX43" s="1166"/>
      <c r="EY43" s="1166"/>
      <c r="EZ43" s="1166"/>
      <c r="FA43" s="1166"/>
      <c r="FB43" s="1166"/>
      <c r="FC43" s="1166"/>
      <c r="FD43" s="1166"/>
      <c r="FE43" s="1166"/>
      <c r="FF43" s="1166"/>
      <c r="FG43" s="1166"/>
      <c r="FH43" s="1166"/>
      <c r="FI43" s="1166"/>
      <c r="FJ43" s="1166"/>
      <c r="FK43" s="1166"/>
      <c r="FL43" s="1166"/>
      <c r="FM43" s="1166"/>
      <c r="FN43" s="1166"/>
      <c r="FO43" s="1166"/>
      <c r="FP43" s="1166"/>
      <c r="FQ43" s="1166"/>
      <c r="FR43" s="1166"/>
      <c r="FS43" s="1166"/>
      <c r="FT43" s="1166"/>
      <c r="FU43" s="1166"/>
      <c r="FV43" s="1166"/>
      <c r="FW43" s="1166"/>
      <c r="FX43" s="1166"/>
      <c r="FY43" s="1166"/>
      <c r="FZ43" s="1166"/>
      <c r="GA43" s="1166"/>
      <c r="GB43" s="1166"/>
      <c r="GC43" s="1166"/>
      <c r="GD43" s="1166"/>
      <c r="GE43" s="1166"/>
      <c r="GF43" s="1166"/>
      <c r="GG43" s="1166"/>
      <c r="GH43" s="1166"/>
      <c r="GI43" s="1166"/>
      <c r="GJ43" s="1166"/>
      <c r="GK43" s="1166"/>
      <c r="GL43" s="1166"/>
      <c r="GM43" s="1166"/>
      <c r="GN43" s="1166"/>
      <c r="GO43" s="1166"/>
      <c r="GP43" s="1166"/>
      <c r="GQ43" s="1166"/>
      <c r="GR43" s="1166"/>
      <c r="GS43" s="1166"/>
      <c r="GT43" s="1166"/>
      <c r="GU43" s="1166"/>
      <c r="GV43" s="1166"/>
      <c r="GW43" s="1166"/>
      <c r="GX43" s="1166"/>
      <c r="GY43" s="1166"/>
      <c r="GZ43" s="1166"/>
      <c r="HA43" s="1166"/>
      <c r="HB43" s="1166"/>
      <c r="HC43" s="1166"/>
      <c r="HD43" s="1166"/>
      <c r="HE43" s="1166"/>
      <c r="HF43" s="1166"/>
      <c r="HG43" s="1166"/>
      <c r="HH43" s="1166"/>
      <c r="HI43" s="1166"/>
      <c r="HJ43" s="1166"/>
      <c r="HK43" s="1166"/>
      <c r="HL43" s="1166"/>
      <c r="HM43" s="1166"/>
      <c r="HN43" s="1166"/>
      <c r="HO43" s="1166"/>
      <c r="HP43" s="1166"/>
      <c r="HQ43" s="1166"/>
      <c r="HR43" s="1166"/>
      <c r="HS43" s="1166"/>
      <c r="HT43" s="1166"/>
      <c r="HU43" s="1166"/>
      <c r="HV43" s="1166"/>
      <c r="HW43" s="1166"/>
      <c r="HX43" s="1166"/>
      <c r="HY43" s="1166"/>
      <c r="HZ43" s="1166"/>
      <c r="IA43" s="1166"/>
      <c r="IB43" s="1166"/>
      <c r="IC43" s="1166"/>
      <c r="ID43" s="1166"/>
      <c r="IE43" s="1166"/>
      <c r="IF43" s="1166"/>
      <c r="IG43" s="1166"/>
      <c r="IH43" s="1166"/>
      <c r="II43" s="1166"/>
      <c r="IJ43" s="1166"/>
      <c r="IK43" s="1166"/>
      <c r="IL43" s="1166"/>
      <c r="IM43" s="1166"/>
      <c r="IN43" s="1166"/>
      <c r="IO43" s="1166"/>
      <c r="IP43" s="1166"/>
      <c r="IQ43" s="1166"/>
      <c r="IR43" s="1166"/>
      <c r="IS43" s="1166"/>
      <c r="IT43" s="1166"/>
      <c r="IU43" s="1166"/>
      <c r="IV43" s="1166"/>
    </row>
    <row r="44" spans="1:256" s="1541" customFormat="1" ht="19.5" customHeight="1" x14ac:dyDescent="0.35">
      <c r="A44" s="1452">
        <v>35</v>
      </c>
      <c r="B44" s="1533"/>
      <c r="C44" s="1534"/>
      <c r="D44" s="1500" t="s">
        <v>230</v>
      </c>
      <c r="E44" s="1535"/>
      <c r="F44" s="1535"/>
      <c r="G44" s="1536"/>
      <c r="H44" s="1608"/>
      <c r="I44" s="1589">
        <f t="shared" ref="I44:N44" si="0">I32+I27+I22+I17+I12</f>
        <v>0</v>
      </c>
      <c r="J44" s="1589">
        <f t="shared" si="0"/>
        <v>0</v>
      </c>
      <c r="K44" s="1589">
        <f t="shared" si="0"/>
        <v>103489</v>
      </c>
      <c r="L44" s="1589">
        <f t="shared" si="0"/>
        <v>0</v>
      </c>
      <c r="M44" s="1589">
        <f t="shared" si="0"/>
        <v>5774430</v>
      </c>
      <c r="N44" s="1589">
        <f t="shared" si="0"/>
        <v>0</v>
      </c>
      <c r="O44" s="1507">
        <f>SUM(I44:N44)</f>
        <v>5877919</v>
      </c>
      <c r="P44" s="1609">
        <f>SUM(P11:P32)</f>
        <v>0</v>
      </c>
    </row>
    <row r="45" spans="1:256" s="1541" customFormat="1" ht="19.5" customHeight="1" x14ac:dyDescent="0.35">
      <c r="A45" s="1452">
        <v>36</v>
      </c>
      <c r="B45" s="1545"/>
      <c r="C45" s="1535"/>
      <c r="D45" s="1290" t="s">
        <v>231</v>
      </c>
      <c r="E45" s="1535"/>
      <c r="F45" s="1535"/>
      <c r="G45" s="1546"/>
      <c r="H45" s="1610"/>
      <c r="I45" s="1611">
        <f t="shared" ref="I45:N45" si="1">I33+I28+I23+I18+I13+I37</f>
        <v>0</v>
      </c>
      <c r="J45" s="1611">
        <f t="shared" si="1"/>
        <v>0</v>
      </c>
      <c r="K45" s="1611">
        <f t="shared" si="1"/>
        <v>79701</v>
      </c>
      <c r="L45" s="1611">
        <f t="shared" si="1"/>
        <v>0</v>
      </c>
      <c r="M45" s="1611">
        <f t="shared" si="1"/>
        <v>6078208</v>
      </c>
      <c r="N45" s="1611">
        <f t="shared" si="1"/>
        <v>0</v>
      </c>
      <c r="O45" s="1289">
        <f>SUM(I45:N45)</f>
        <v>6157909</v>
      </c>
      <c r="P45" s="1547"/>
    </row>
    <row r="46" spans="1:256" s="1541" customFormat="1" ht="19.5" customHeight="1" x14ac:dyDescent="0.35">
      <c r="A46" s="1452">
        <v>37</v>
      </c>
      <c r="B46" s="1545"/>
      <c r="C46" s="1535"/>
      <c r="D46" s="1388" t="s">
        <v>245</v>
      </c>
      <c r="E46" s="1535"/>
      <c r="F46" s="1535"/>
      <c r="G46" s="1546"/>
      <c r="H46" s="1610"/>
      <c r="I46" s="1612">
        <f t="shared" ref="I46:N46" si="2">I34+I29+I24+I19+I14+I38+I41</f>
        <v>0</v>
      </c>
      <c r="J46" s="1612">
        <f t="shared" si="2"/>
        <v>0</v>
      </c>
      <c r="K46" s="1612">
        <f t="shared" si="2"/>
        <v>27550</v>
      </c>
      <c r="L46" s="1612">
        <f t="shared" si="2"/>
        <v>0</v>
      </c>
      <c r="M46" s="1612">
        <f t="shared" si="2"/>
        <v>35126</v>
      </c>
      <c r="N46" s="1612">
        <f t="shared" si="2"/>
        <v>0</v>
      </c>
      <c r="O46" s="1613">
        <f>SUM(I46:N46)</f>
        <v>62676</v>
      </c>
      <c r="P46" s="1547"/>
    </row>
    <row r="47" spans="1:256" s="1541" customFormat="1" ht="19.5" customHeight="1" x14ac:dyDescent="0.35">
      <c r="A47" s="1452">
        <v>38</v>
      </c>
      <c r="B47" s="1548"/>
      <c r="C47" s="1549"/>
      <c r="D47" s="1550" t="s">
        <v>233</v>
      </c>
      <c r="E47" s="1549"/>
      <c r="F47" s="1549"/>
      <c r="G47" s="1551"/>
      <c r="H47" s="1614"/>
      <c r="I47" s="1615">
        <f t="shared" ref="I47:N47" si="3">SUM(I45:I46)</f>
        <v>0</v>
      </c>
      <c r="J47" s="1615">
        <f t="shared" si="3"/>
        <v>0</v>
      </c>
      <c r="K47" s="1615">
        <f t="shared" si="3"/>
        <v>107251</v>
      </c>
      <c r="L47" s="1615">
        <f t="shared" si="3"/>
        <v>0</v>
      </c>
      <c r="M47" s="1615">
        <f t="shared" si="3"/>
        <v>6113334</v>
      </c>
      <c r="N47" s="1615">
        <f t="shared" si="3"/>
        <v>0</v>
      </c>
      <c r="O47" s="1554">
        <f>SUM(I47:N47)</f>
        <v>6220585</v>
      </c>
      <c r="P47" s="1555"/>
    </row>
    <row r="48" spans="1:256" ht="16.5" customHeight="1" x14ac:dyDescent="0.35">
      <c r="A48" s="1452"/>
      <c r="B48" s="1616" t="s">
        <v>357</v>
      </c>
      <c r="C48" s="1617"/>
      <c r="D48" s="1616"/>
      <c r="E48" s="1558"/>
      <c r="F48" s="1559"/>
      <c r="G48" s="1558"/>
      <c r="H48" s="1563"/>
      <c r="I48" s="1558"/>
      <c r="J48" s="1558"/>
      <c r="K48" s="1558"/>
      <c r="L48" s="1558"/>
      <c r="M48" s="1558"/>
      <c r="N48" s="1558"/>
      <c r="O48" s="1560"/>
    </row>
    <row r="49" spans="2:15" ht="16.5" customHeight="1" x14ac:dyDescent="0.35">
      <c r="B49" s="1616" t="s">
        <v>358</v>
      </c>
      <c r="C49" s="1617"/>
      <c r="D49" s="1616"/>
      <c r="E49" s="1562"/>
      <c r="F49" s="1559"/>
      <c r="G49" s="1558"/>
      <c r="H49" s="1563"/>
      <c r="I49" s="1558"/>
      <c r="J49" s="1558"/>
      <c r="K49" s="1558"/>
      <c r="L49" s="1558"/>
      <c r="M49" s="1558"/>
      <c r="N49" s="1558"/>
      <c r="O49" s="1560"/>
    </row>
    <row r="50" spans="2:15" ht="16.5" customHeight="1" x14ac:dyDescent="0.35">
      <c r="B50" s="1616" t="s">
        <v>359</v>
      </c>
      <c r="C50" s="1617"/>
      <c r="D50" s="1616"/>
      <c r="E50" s="1562"/>
      <c r="F50" s="1559"/>
      <c r="G50" s="1558"/>
      <c r="H50" s="1563"/>
      <c r="I50" s="1558"/>
      <c r="J50" s="1558"/>
      <c r="K50" s="1558"/>
      <c r="L50" s="1558"/>
      <c r="M50" s="1558"/>
      <c r="N50" s="1558"/>
      <c r="O50" s="1560"/>
    </row>
    <row r="51" spans="2:15" ht="16.5" customHeight="1" x14ac:dyDescent="0.35">
      <c r="B51" s="1561" t="s">
        <v>993</v>
      </c>
      <c r="C51" s="1561"/>
    </row>
  </sheetData>
  <mergeCells count="18">
    <mergeCell ref="B1:J1"/>
    <mergeCell ref="I2:P2"/>
    <mergeCell ref="A3:P3"/>
    <mergeCell ref="A4:P4"/>
    <mergeCell ref="B7:B9"/>
    <mergeCell ref="C7:C9"/>
    <mergeCell ref="D7:D9"/>
    <mergeCell ref="E7:E9"/>
    <mergeCell ref="F7:F9"/>
    <mergeCell ref="G7:G9"/>
    <mergeCell ref="H7:H9"/>
    <mergeCell ref="I7:O7"/>
    <mergeCell ref="P7:P9"/>
    <mergeCell ref="Q7:R7"/>
    <mergeCell ref="I8:L8"/>
    <mergeCell ref="M8:N8"/>
    <mergeCell ref="O8:O9"/>
    <mergeCell ref="B43:G43"/>
  </mergeCells>
  <printOptions horizontalCentered="1"/>
  <pageMargins left="0.196527777777778" right="0.196527777777778" top="0.59027777777777801" bottom="0.59027777777777801" header="0.511811023622047" footer="0.51180555555555596"/>
  <pageSetup paperSize="9" scale="60" orientation="landscape" horizontalDpi="300" verticalDpi="300" r:id="rId1"/>
  <headerFooter>
    <oddFooter>&amp;C- &amp;P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212"/>
  <sheetViews>
    <sheetView view="pageBreakPreview" zoomScaleNormal="100" workbookViewId="0">
      <selection activeCell="B1" sqref="B1:J1"/>
    </sheetView>
  </sheetViews>
  <sheetFormatPr defaultColWidth="9.28515625" defaultRowHeight="17.25" x14ac:dyDescent="0.35"/>
  <cols>
    <col min="1" max="1" width="3.7109375" style="1155" customWidth="1"/>
    <col min="2" max="3" width="5.7109375" style="1439" customWidth="1"/>
    <col min="4" max="4" width="62.7109375" style="1166" customWidth="1"/>
    <col min="5" max="5" width="12.7109375" style="1164" customWidth="1"/>
    <col min="6" max="7" width="10.7109375" style="1164" customWidth="1"/>
    <col min="8" max="8" width="6.7109375" style="1440" customWidth="1"/>
    <col min="9" max="15" width="14.7109375" style="1164" customWidth="1"/>
    <col min="16" max="16" width="15.7109375" style="1441" customWidth="1"/>
    <col min="17" max="17" width="13.7109375" style="1164" customWidth="1"/>
    <col min="18" max="16384" width="9.28515625" style="1166"/>
  </cols>
  <sheetData>
    <row r="1" spans="1:256" x14ac:dyDescent="0.35">
      <c r="B1" s="1926" t="s">
        <v>1111</v>
      </c>
      <c r="C1" s="1926"/>
      <c r="D1" s="1926"/>
      <c r="E1" s="1926"/>
      <c r="F1" s="1926"/>
      <c r="G1" s="1926"/>
      <c r="H1" s="1926"/>
      <c r="I1" s="1926"/>
      <c r="J1" s="1926"/>
    </row>
    <row r="2" spans="1:256" ht="18" customHeight="1" x14ac:dyDescent="0.3">
      <c r="B2" s="1442" t="s">
        <v>994</v>
      </c>
      <c r="C2" s="1442"/>
      <c r="D2" s="1442"/>
      <c r="E2" s="1162"/>
      <c r="F2" s="1162"/>
      <c r="G2" s="1162"/>
      <c r="H2" s="1444"/>
      <c r="I2" s="2000"/>
      <c r="J2" s="2000"/>
      <c r="K2" s="2000"/>
      <c r="L2" s="2000"/>
      <c r="M2" s="2000"/>
      <c r="N2" s="2000"/>
      <c r="O2" s="2000"/>
      <c r="P2" s="2000"/>
      <c r="Q2" s="2000"/>
      <c r="R2" s="1165"/>
      <c r="S2" s="1165"/>
      <c r="T2" s="1165"/>
      <c r="U2" s="1165"/>
      <c r="V2" s="1165"/>
      <c r="W2" s="1165"/>
      <c r="X2" s="1165"/>
      <c r="Y2" s="1165"/>
      <c r="Z2" s="1165"/>
      <c r="AA2" s="1165"/>
      <c r="AB2" s="1165"/>
      <c r="AC2" s="1165"/>
      <c r="AD2" s="1165"/>
      <c r="AE2" s="1165"/>
      <c r="AF2" s="1165"/>
      <c r="AG2" s="1165"/>
      <c r="AH2" s="1165"/>
      <c r="AI2" s="1165"/>
      <c r="AJ2" s="1165"/>
      <c r="AK2" s="1165"/>
      <c r="AL2" s="1165"/>
      <c r="AM2" s="1165"/>
      <c r="AN2" s="1165"/>
      <c r="AO2" s="1165"/>
      <c r="AP2" s="1165"/>
      <c r="AQ2" s="1165"/>
      <c r="AR2" s="1165"/>
      <c r="AS2" s="1165"/>
      <c r="AT2" s="1165"/>
      <c r="AU2" s="1165"/>
      <c r="AV2" s="1165"/>
      <c r="AW2" s="1165"/>
      <c r="AX2" s="1165"/>
      <c r="AY2" s="1165"/>
      <c r="AZ2" s="1165"/>
      <c r="BA2" s="1165"/>
      <c r="BB2" s="1165"/>
      <c r="BC2" s="1165"/>
      <c r="BD2" s="1165"/>
      <c r="BE2" s="1165"/>
      <c r="BF2" s="1165"/>
      <c r="BG2" s="1165"/>
      <c r="BH2" s="1165"/>
      <c r="BI2" s="1165"/>
      <c r="BJ2" s="1165"/>
      <c r="BK2" s="1165"/>
      <c r="BL2" s="1165"/>
      <c r="BM2" s="1165"/>
      <c r="BN2" s="1165"/>
      <c r="BO2" s="1165"/>
      <c r="BP2" s="1165"/>
      <c r="BQ2" s="1165"/>
      <c r="BR2" s="1165"/>
      <c r="BS2" s="1165"/>
      <c r="BT2" s="1165"/>
      <c r="BU2" s="1165"/>
      <c r="BV2" s="1165"/>
      <c r="BW2" s="1165"/>
      <c r="BX2" s="1165"/>
      <c r="BY2" s="1165"/>
      <c r="BZ2" s="1165"/>
      <c r="CA2" s="1165"/>
      <c r="CB2" s="1165"/>
      <c r="CC2" s="1165"/>
      <c r="CD2" s="1165"/>
      <c r="CE2" s="1165"/>
      <c r="CF2" s="1165"/>
      <c r="CG2" s="1165"/>
      <c r="CH2" s="1165"/>
      <c r="CI2" s="1165"/>
      <c r="CJ2" s="1165"/>
      <c r="CK2" s="1165"/>
      <c r="CL2" s="1165"/>
      <c r="CM2" s="1165"/>
      <c r="CN2" s="1165"/>
      <c r="CO2" s="1165"/>
      <c r="CP2" s="1165"/>
      <c r="CQ2" s="1165"/>
      <c r="CR2" s="1165"/>
      <c r="CS2" s="1165"/>
      <c r="CT2" s="1165"/>
      <c r="CU2" s="1165"/>
      <c r="CV2" s="1165"/>
      <c r="CW2" s="1165"/>
      <c r="CX2" s="1165"/>
      <c r="CY2" s="1165"/>
      <c r="CZ2" s="1165"/>
      <c r="DA2" s="1165"/>
      <c r="DB2" s="1165"/>
      <c r="DC2" s="1165"/>
      <c r="DD2" s="1165"/>
      <c r="DE2" s="1165"/>
      <c r="DF2" s="1165"/>
      <c r="DG2" s="1165"/>
      <c r="DH2" s="1165"/>
      <c r="DI2" s="1165"/>
      <c r="DJ2" s="1165"/>
      <c r="DK2" s="1165"/>
      <c r="DL2" s="1165"/>
      <c r="DM2" s="1165"/>
      <c r="DN2" s="1165"/>
      <c r="DO2" s="1165"/>
      <c r="DP2" s="1165"/>
      <c r="DQ2" s="1165"/>
      <c r="DR2" s="1165"/>
      <c r="DS2" s="1165"/>
      <c r="DT2" s="1165"/>
      <c r="DU2" s="1165"/>
      <c r="DV2" s="1165"/>
      <c r="DW2" s="1165"/>
      <c r="DX2" s="1165"/>
      <c r="DY2" s="1165"/>
      <c r="DZ2" s="1165"/>
      <c r="EA2" s="1165"/>
      <c r="EB2" s="1165"/>
      <c r="EC2" s="1165"/>
      <c r="ED2" s="1165"/>
      <c r="EE2" s="1165"/>
      <c r="EF2" s="1165"/>
      <c r="EG2" s="1165"/>
      <c r="EH2" s="1165"/>
      <c r="EI2" s="1165"/>
      <c r="EJ2" s="1165"/>
      <c r="EK2" s="1165"/>
      <c r="EL2" s="1165"/>
      <c r="EM2" s="1165"/>
      <c r="EN2" s="1165"/>
      <c r="EO2" s="1165"/>
      <c r="EP2" s="1165"/>
      <c r="EQ2" s="1165"/>
      <c r="ER2" s="1165"/>
      <c r="ES2" s="1165"/>
      <c r="ET2" s="1165"/>
      <c r="EU2" s="1165"/>
      <c r="EV2" s="1165"/>
      <c r="EW2" s="1165"/>
      <c r="EX2" s="1165"/>
      <c r="EY2" s="1165"/>
      <c r="EZ2" s="1165"/>
      <c r="FA2" s="1165"/>
      <c r="FB2" s="1165"/>
      <c r="FC2" s="1165"/>
      <c r="FD2" s="1165"/>
      <c r="FE2" s="1165"/>
      <c r="FF2" s="1165"/>
      <c r="FG2" s="1165"/>
      <c r="FH2" s="1165"/>
      <c r="FI2" s="1165"/>
      <c r="FJ2" s="1165"/>
      <c r="FK2" s="1165"/>
      <c r="FL2" s="1165"/>
      <c r="FM2" s="1165"/>
      <c r="FN2" s="1165"/>
      <c r="FO2" s="1165"/>
      <c r="FP2" s="1165"/>
      <c r="FQ2" s="1165"/>
      <c r="FR2" s="1165"/>
      <c r="FS2" s="1165"/>
      <c r="FT2" s="1165"/>
      <c r="FU2" s="1165"/>
      <c r="FV2" s="1165"/>
      <c r="FW2" s="1165"/>
      <c r="FX2" s="1165"/>
      <c r="FY2" s="1165"/>
      <c r="FZ2" s="1165"/>
      <c r="GA2" s="1165"/>
      <c r="GB2" s="1165"/>
      <c r="GC2" s="1165"/>
      <c r="GD2" s="1165"/>
      <c r="GE2" s="1165"/>
      <c r="GF2" s="1165"/>
      <c r="GG2" s="1165"/>
      <c r="GH2" s="1165"/>
      <c r="GI2" s="1165"/>
      <c r="GJ2" s="1165"/>
      <c r="GK2" s="1165"/>
      <c r="GL2" s="1165"/>
      <c r="GM2" s="1165"/>
      <c r="GN2" s="1165"/>
      <c r="GO2" s="1165"/>
      <c r="GP2" s="1165"/>
      <c r="GQ2" s="1165"/>
      <c r="GR2" s="1165"/>
      <c r="GS2" s="1165"/>
      <c r="GT2" s="1165"/>
      <c r="GU2" s="1165"/>
      <c r="GV2" s="1165"/>
      <c r="GW2" s="1165"/>
      <c r="GX2" s="1165"/>
      <c r="GY2" s="1165"/>
      <c r="GZ2" s="1165"/>
      <c r="HA2" s="1165"/>
      <c r="HB2" s="1165"/>
      <c r="HC2" s="1165"/>
      <c r="HD2" s="1165"/>
      <c r="HE2" s="1165"/>
      <c r="HF2" s="1165"/>
      <c r="HG2" s="1165"/>
      <c r="HH2" s="1165"/>
      <c r="HI2" s="1165"/>
      <c r="HJ2" s="1165"/>
      <c r="HK2" s="1165"/>
      <c r="HL2" s="1165"/>
      <c r="HM2" s="1165"/>
      <c r="HN2" s="1165"/>
      <c r="HO2" s="1165"/>
      <c r="HP2" s="1165"/>
      <c r="HQ2" s="1165"/>
      <c r="HR2" s="1165"/>
      <c r="HS2" s="1165"/>
      <c r="HT2" s="1165"/>
      <c r="HU2" s="1165"/>
      <c r="HV2" s="1165"/>
      <c r="HW2" s="1165"/>
      <c r="HX2" s="1165"/>
      <c r="HY2" s="1165"/>
      <c r="HZ2" s="1165"/>
      <c r="IA2" s="1165"/>
      <c r="IB2" s="1165"/>
      <c r="IC2" s="1165"/>
      <c r="ID2" s="1165"/>
      <c r="IE2" s="1165"/>
      <c r="IF2" s="1165"/>
      <c r="IG2" s="1165"/>
      <c r="IH2" s="1165"/>
      <c r="II2" s="1165"/>
      <c r="IJ2" s="1165"/>
      <c r="IK2" s="1165"/>
      <c r="IL2" s="1165"/>
      <c r="IM2" s="1165"/>
      <c r="IN2" s="1165"/>
      <c r="IO2" s="1165"/>
      <c r="IP2" s="1165"/>
      <c r="IQ2" s="1165"/>
    </row>
    <row r="3" spans="1:256" ht="24.75" customHeight="1" x14ac:dyDescent="0.35">
      <c r="A3" s="2001" t="s">
        <v>518</v>
      </c>
      <c r="B3" s="2001"/>
      <c r="C3" s="2001"/>
      <c r="D3" s="2001"/>
      <c r="E3" s="2001"/>
      <c r="F3" s="2001"/>
      <c r="G3" s="2001"/>
      <c r="H3" s="2001"/>
      <c r="I3" s="2001"/>
      <c r="J3" s="2001"/>
      <c r="K3" s="2001"/>
      <c r="L3" s="2001"/>
      <c r="M3" s="2001"/>
      <c r="N3" s="2001"/>
      <c r="O3" s="2001"/>
      <c r="P3" s="2001"/>
      <c r="Q3" s="2001"/>
    </row>
    <row r="4" spans="1:256" ht="24.75" customHeight="1" x14ac:dyDescent="0.35">
      <c r="A4" s="2016" t="s">
        <v>995</v>
      </c>
      <c r="B4" s="2016"/>
      <c r="C4" s="2016"/>
      <c r="D4" s="2016"/>
      <c r="E4" s="2016"/>
      <c r="F4" s="2016"/>
      <c r="G4" s="2016"/>
      <c r="H4" s="2016"/>
      <c r="I4" s="2016"/>
      <c r="J4" s="2016"/>
      <c r="K4" s="2016"/>
      <c r="L4" s="2016"/>
      <c r="M4" s="2016"/>
      <c r="N4" s="2016"/>
      <c r="O4" s="2016"/>
      <c r="P4" s="2016"/>
      <c r="Q4" s="2016"/>
    </row>
    <row r="5" spans="1:256" s="1160" customFormat="1" ht="18" customHeight="1" x14ac:dyDescent="0.3">
      <c r="A5" s="1155"/>
      <c r="B5" s="1155"/>
      <c r="C5" s="1155"/>
      <c r="E5" s="1157"/>
      <c r="F5" s="1157"/>
      <c r="G5" s="1157"/>
      <c r="H5" s="1445"/>
      <c r="I5" s="1157"/>
      <c r="J5" s="1157"/>
      <c r="K5" s="1157"/>
      <c r="L5" s="1157"/>
      <c r="M5" s="1157"/>
      <c r="N5" s="1157"/>
      <c r="O5" s="1157"/>
      <c r="P5" s="1446"/>
      <c r="Q5" s="1167" t="s">
        <v>0</v>
      </c>
    </row>
    <row r="6" spans="1:256" s="39" customFormat="1" ht="18" customHeight="1" x14ac:dyDescent="0.3">
      <c r="A6" s="1447"/>
      <c r="B6" s="1448" t="s">
        <v>1</v>
      </c>
      <c r="C6" s="1169" t="s">
        <v>2</v>
      </c>
      <c r="D6" s="1169" t="s">
        <v>98</v>
      </c>
      <c r="E6" s="1169" t="s">
        <v>99</v>
      </c>
      <c r="F6" s="1169" t="s">
        <v>100</v>
      </c>
      <c r="G6" s="1169" t="s">
        <v>101</v>
      </c>
      <c r="H6" s="1169" t="s">
        <v>102</v>
      </c>
      <c r="I6" s="1169" t="s">
        <v>103</v>
      </c>
      <c r="J6" s="1169" t="s">
        <v>104</v>
      </c>
      <c r="K6" s="1169" t="s">
        <v>105</v>
      </c>
      <c r="L6" s="1169" t="s">
        <v>106</v>
      </c>
      <c r="M6" s="1169" t="s">
        <v>107</v>
      </c>
      <c r="N6" s="1169" t="s">
        <v>215</v>
      </c>
      <c r="O6" s="1169" t="s">
        <v>216</v>
      </c>
      <c r="P6" s="1169" t="s">
        <v>217</v>
      </c>
      <c r="Q6" s="1169" t="s">
        <v>218</v>
      </c>
      <c r="R6" s="1447"/>
      <c r="S6" s="1447"/>
      <c r="T6" s="1447"/>
      <c r="U6" s="1447"/>
      <c r="V6" s="1447"/>
      <c r="W6" s="1447"/>
      <c r="X6" s="1447"/>
      <c r="Y6" s="1447"/>
      <c r="Z6" s="1447"/>
      <c r="AA6" s="1447"/>
      <c r="AB6" s="1447"/>
      <c r="AC6" s="1447"/>
      <c r="AD6" s="1447"/>
      <c r="AE6" s="1447"/>
      <c r="AF6" s="1447"/>
      <c r="AG6" s="1447"/>
      <c r="AH6" s="1447"/>
      <c r="AI6" s="1447"/>
      <c r="AJ6" s="1447"/>
      <c r="AK6" s="1447"/>
      <c r="AL6" s="1447"/>
      <c r="AM6" s="1447"/>
      <c r="AN6" s="1447"/>
      <c r="AO6" s="1447"/>
      <c r="AP6" s="1447"/>
      <c r="AQ6" s="1447"/>
      <c r="AR6" s="1447"/>
      <c r="AS6" s="1447"/>
      <c r="AT6" s="1447"/>
      <c r="AU6" s="1447"/>
      <c r="AV6" s="1447"/>
      <c r="AW6" s="1447"/>
      <c r="AX6" s="1447"/>
      <c r="AY6" s="1447"/>
      <c r="AZ6" s="1447"/>
      <c r="BA6" s="1447"/>
      <c r="BB6" s="1447"/>
      <c r="BC6" s="1447"/>
      <c r="BD6" s="1447"/>
      <c r="BE6" s="1447"/>
      <c r="BF6" s="1447"/>
      <c r="BG6" s="1447"/>
      <c r="BH6" s="1447"/>
      <c r="BI6" s="1447"/>
      <c r="BJ6" s="1447"/>
      <c r="BK6" s="1447"/>
      <c r="BL6" s="1447"/>
      <c r="BM6" s="1447"/>
      <c r="BN6" s="1447"/>
      <c r="BO6" s="1447"/>
      <c r="BP6" s="1447"/>
      <c r="BQ6" s="1447"/>
      <c r="BR6" s="1447"/>
      <c r="BS6" s="1447"/>
      <c r="BT6" s="1447"/>
      <c r="BU6" s="1447"/>
      <c r="BV6" s="1447"/>
      <c r="BW6" s="1447"/>
      <c r="BX6" s="1447"/>
      <c r="BY6" s="1447"/>
      <c r="BZ6" s="1447"/>
      <c r="CA6" s="1447"/>
      <c r="CB6" s="1447"/>
      <c r="CC6" s="1447"/>
      <c r="CD6" s="1447"/>
      <c r="CE6" s="1447"/>
      <c r="CF6" s="1447"/>
      <c r="CG6" s="1447"/>
      <c r="CH6" s="1447"/>
      <c r="CI6" s="1447"/>
      <c r="CJ6" s="1447"/>
      <c r="CK6" s="1447"/>
      <c r="CL6" s="1447"/>
      <c r="CM6" s="1447"/>
      <c r="CN6" s="1447"/>
      <c r="CO6" s="1447"/>
      <c r="CP6" s="1447"/>
      <c r="CQ6" s="1447"/>
      <c r="CR6" s="1447"/>
      <c r="CS6" s="1447"/>
      <c r="CT6" s="1447"/>
      <c r="CU6" s="1447"/>
      <c r="CV6" s="1447"/>
      <c r="CW6" s="1447"/>
      <c r="CX6" s="1447"/>
      <c r="CY6" s="1447"/>
      <c r="CZ6" s="1447"/>
      <c r="DA6" s="1447"/>
      <c r="DB6" s="1447"/>
      <c r="DC6" s="1447"/>
      <c r="DD6" s="1447"/>
      <c r="DE6" s="1447"/>
      <c r="DF6" s="1447"/>
      <c r="DG6" s="1447"/>
      <c r="DH6" s="1447"/>
      <c r="DI6" s="1447"/>
      <c r="DJ6" s="1447"/>
      <c r="DK6" s="1447"/>
      <c r="DL6" s="1447"/>
      <c r="DM6" s="1447"/>
      <c r="DN6" s="1447"/>
      <c r="DO6" s="1447"/>
      <c r="DP6" s="1447"/>
      <c r="DQ6" s="1447"/>
      <c r="DR6" s="1447"/>
      <c r="DS6" s="1447"/>
      <c r="DT6" s="1447"/>
      <c r="DU6" s="1447"/>
      <c r="DV6" s="1447"/>
      <c r="DW6" s="1447"/>
      <c r="DX6" s="1447"/>
      <c r="DY6" s="1447"/>
      <c r="DZ6" s="1447"/>
      <c r="EA6" s="1447"/>
      <c r="EB6" s="1447"/>
      <c r="EC6" s="1447"/>
      <c r="ED6" s="1447"/>
      <c r="EE6" s="1447"/>
      <c r="EF6" s="1447"/>
      <c r="EG6" s="1447"/>
      <c r="EH6" s="1447"/>
      <c r="EI6" s="1447"/>
      <c r="EJ6" s="1447"/>
      <c r="EK6" s="1447"/>
      <c r="EL6" s="1447"/>
      <c r="EM6" s="1447"/>
      <c r="EN6" s="1447"/>
      <c r="EO6" s="1447"/>
      <c r="EP6" s="1447"/>
      <c r="EQ6" s="1447"/>
      <c r="ER6" s="1447"/>
      <c r="ES6" s="1447"/>
      <c r="ET6" s="1447"/>
      <c r="EU6" s="1447"/>
      <c r="EV6" s="1447"/>
      <c r="EW6" s="1447"/>
      <c r="EX6" s="1447"/>
      <c r="EY6" s="1447"/>
      <c r="EZ6" s="1447"/>
      <c r="FA6" s="1447"/>
      <c r="FB6" s="1447"/>
      <c r="FC6" s="1447"/>
      <c r="FD6" s="1447"/>
      <c r="FE6" s="1447"/>
      <c r="FF6" s="1447"/>
      <c r="FG6" s="1447"/>
      <c r="FH6" s="1447"/>
      <c r="FI6" s="1447"/>
      <c r="FJ6" s="1447"/>
      <c r="FK6" s="1447"/>
      <c r="FL6" s="1447"/>
      <c r="FM6" s="1447"/>
      <c r="FN6" s="1447"/>
      <c r="FO6" s="1447"/>
      <c r="FP6" s="1447"/>
      <c r="FQ6" s="1447"/>
      <c r="FR6" s="1447"/>
      <c r="FS6" s="1447"/>
      <c r="FT6" s="1447"/>
      <c r="FU6" s="1447"/>
      <c r="FV6" s="1447"/>
      <c r="FW6" s="1447"/>
      <c r="FX6" s="1447"/>
      <c r="FY6" s="1447"/>
      <c r="FZ6" s="1447"/>
      <c r="GA6" s="1447"/>
      <c r="GB6" s="1447"/>
      <c r="GC6" s="1447"/>
      <c r="GD6" s="1447"/>
      <c r="GE6" s="1447"/>
      <c r="GF6" s="1447"/>
      <c r="GG6" s="1447"/>
      <c r="GH6" s="1447"/>
      <c r="GI6" s="1447"/>
      <c r="GJ6" s="1447"/>
      <c r="GK6" s="1447"/>
      <c r="GL6" s="1447"/>
      <c r="GM6" s="1447"/>
      <c r="GN6" s="1447"/>
      <c r="GO6" s="1447"/>
      <c r="GP6" s="1447"/>
      <c r="GQ6" s="1447"/>
      <c r="GR6" s="1447"/>
      <c r="GS6" s="1447"/>
      <c r="GT6" s="1447"/>
      <c r="GU6" s="1447"/>
      <c r="GV6" s="1447"/>
      <c r="GW6" s="1447"/>
      <c r="GX6" s="1447"/>
      <c r="GY6" s="1447"/>
      <c r="GZ6" s="1447"/>
      <c r="HA6" s="1447"/>
      <c r="HB6" s="1447"/>
      <c r="HC6" s="1447"/>
      <c r="HD6" s="1447"/>
      <c r="HE6" s="1447"/>
      <c r="HF6" s="1447"/>
      <c r="HG6" s="1447"/>
      <c r="HH6" s="1447"/>
      <c r="HI6" s="1447"/>
      <c r="HJ6" s="1447"/>
      <c r="HK6" s="1447"/>
      <c r="HL6" s="1447"/>
      <c r="HM6" s="1447"/>
      <c r="HN6" s="1447"/>
      <c r="HO6" s="1447"/>
      <c r="HP6" s="1447"/>
      <c r="HQ6" s="1447"/>
      <c r="HR6" s="1447"/>
      <c r="HS6" s="1447"/>
      <c r="HT6" s="1447"/>
      <c r="HU6" s="1447"/>
      <c r="HV6" s="1447"/>
      <c r="HW6" s="1447"/>
      <c r="HX6" s="1447"/>
      <c r="HY6" s="1447"/>
      <c r="HZ6" s="1447"/>
      <c r="IA6" s="1447"/>
      <c r="IB6" s="1447"/>
      <c r="IC6" s="1447"/>
      <c r="ID6" s="1447"/>
      <c r="IE6" s="1447"/>
      <c r="IF6" s="1447"/>
      <c r="IG6" s="1447"/>
      <c r="IH6" s="1447"/>
      <c r="II6" s="1447"/>
      <c r="IJ6" s="1447"/>
      <c r="IK6" s="1447"/>
      <c r="IL6" s="1447"/>
      <c r="IM6" s="1447"/>
      <c r="IN6" s="1447"/>
      <c r="IO6" s="1447"/>
      <c r="IP6" s="1447"/>
      <c r="IQ6" s="1447"/>
    </row>
    <row r="7" spans="1:256" ht="22.5" customHeight="1" x14ac:dyDescent="0.3">
      <c r="B7" s="2017" t="s">
        <v>108</v>
      </c>
      <c r="C7" s="2018" t="s">
        <v>109</v>
      </c>
      <c r="D7" s="2019" t="s">
        <v>3</v>
      </c>
      <c r="E7" s="2020" t="s">
        <v>965</v>
      </c>
      <c r="F7" s="2020" t="s">
        <v>966</v>
      </c>
      <c r="G7" s="2021" t="s">
        <v>967</v>
      </c>
      <c r="H7" s="2006" t="s">
        <v>280</v>
      </c>
      <c r="I7" s="2022" t="s">
        <v>520</v>
      </c>
      <c r="J7" s="2022"/>
      <c r="K7" s="2022"/>
      <c r="L7" s="2022"/>
      <c r="M7" s="2022"/>
      <c r="N7" s="2022"/>
      <c r="O7" s="2022"/>
      <c r="P7" s="2022"/>
      <c r="Q7" s="2023" t="s">
        <v>767</v>
      </c>
      <c r="R7" s="2011"/>
      <c r="S7" s="2011"/>
    </row>
    <row r="8" spans="1:256" ht="33" customHeight="1" x14ac:dyDescent="0.3">
      <c r="B8" s="2017"/>
      <c r="C8" s="2018"/>
      <c r="D8" s="2019"/>
      <c r="E8" s="2020"/>
      <c r="F8" s="2020"/>
      <c r="G8" s="2021"/>
      <c r="H8" s="2006"/>
      <c r="I8" s="2012" t="s">
        <v>968</v>
      </c>
      <c r="J8" s="2012"/>
      <c r="K8" s="2012"/>
      <c r="L8" s="2012"/>
      <c r="M8" s="2013" t="s">
        <v>187</v>
      </c>
      <c r="N8" s="2013"/>
      <c r="O8" s="2013"/>
      <c r="P8" s="2014" t="s">
        <v>4</v>
      </c>
      <c r="Q8" s="2023"/>
    </row>
    <row r="9" spans="1:256" ht="53.25" customHeight="1" x14ac:dyDescent="0.3">
      <c r="B9" s="2017"/>
      <c r="C9" s="2018"/>
      <c r="D9" s="2019"/>
      <c r="E9" s="2020"/>
      <c r="F9" s="2020"/>
      <c r="G9" s="2021"/>
      <c r="H9" s="2006"/>
      <c r="I9" s="1449" t="s">
        <v>282</v>
      </c>
      <c r="J9" s="1450" t="s">
        <v>969</v>
      </c>
      <c r="K9" s="1451" t="s">
        <v>284</v>
      </c>
      <c r="L9" s="1451" t="s">
        <v>970</v>
      </c>
      <c r="M9" s="1450" t="s">
        <v>56</v>
      </c>
      <c r="N9" s="1450" t="s">
        <v>189</v>
      </c>
      <c r="O9" s="1450" t="s">
        <v>188</v>
      </c>
      <c r="P9" s="2014"/>
      <c r="Q9" s="2023"/>
    </row>
    <row r="10" spans="1:256" s="1464" customFormat="1" ht="22.5" customHeight="1" x14ac:dyDescent="0.35">
      <c r="A10" s="1452">
        <v>1</v>
      </c>
      <c r="B10" s="1453">
        <v>18</v>
      </c>
      <c r="C10" s="1454" t="s">
        <v>518</v>
      </c>
      <c r="D10" s="1455"/>
      <c r="E10" s="1456"/>
      <c r="F10" s="1457"/>
      <c r="G10" s="1458"/>
      <c r="H10" s="1459"/>
      <c r="I10" s="1565"/>
      <c r="J10" s="1566"/>
      <c r="K10" s="1566"/>
      <c r="L10" s="1566"/>
      <c r="M10" s="1566"/>
      <c r="N10" s="1566"/>
      <c r="O10" s="1566"/>
      <c r="P10" s="1567"/>
      <c r="Q10" s="1595"/>
      <c r="R10" s="1166"/>
      <c r="S10" s="1166"/>
      <c r="T10" s="1166"/>
      <c r="U10" s="1166"/>
      <c r="V10" s="1166"/>
      <c r="W10" s="1166"/>
      <c r="X10" s="1166"/>
      <c r="Y10" s="1166"/>
      <c r="Z10" s="1166"/>
      <c r="AA10" s="1166"/>
      <c r="AB10" s="1166"/>
      <c r="AC10" s="1166"/>
      <c r="AD10" s="1166"/>
      <c r="AE10" s="1166"/>
      <c r="AF10" s="1166"/>
      <c r="AG10" s="1166"/>
      <c r="AH10" s="1166"/>
      <c r="AI10" s="1166"/>
      <c r="AJ10" s="1166"/>
      <c r="AK10" s="1166"/>
      <c r="AL10" s="1166"/>
      <c r="AM10" s="1166"/>
      <c r="AN10" s="1166"/>
      <c r="AO10" s="1166"/>
      <c r="AP10" s="1166"/>
      <c r="AQ10" s="1166"/>
      <c r="AR10" s="1166"/>
      <c r="AS10" s="1166"/>
      <c r="AT10" s="1166"/>
      <c r="AU10" s="1166"/>
      <c r="AV10" s="1166"/>
      <c r="AW10" s="1166"/>
      <c r="AX10" s="1166"/>
      <c r="AY10" s="1166"/>
      <c r="AZ10" s="1166"/>
      <c r="BA10" s="1166"/>
      <c r="BB10" s="1166"/>
      <c r="BC10" s="1166"/>
      <c r="BD10" s="1166"/>
      <c r="BE10" s="1166"/>
      <c r="BF10" s="1166"/>
      <c r="BG10" s="1166"/>
      <c r="BH10" s="1166"/>
      <c r="BI10" s="1166"/>
      <c r="BJ10" s="1166"/>
      <c r="BK10" s="1166"/>
      <c r="BL10" s="1166"/>
      <c r="BM10" s="1166"/>
      <c r="BN10" s="1166"/>
      <c r="BO10" s="1166"/>
      <c r="BP10" s="1166"/>
      <c r="BQ10" s="1166"/>
      <c r="BR10" s="1166"/>
      <c r="BS10" s="1166"/>
      <c r="BT10" s="1166"/>
      <c r="BU10" s="1166"/>
      <c r="BV10" s="1166"/>
      <c r="BW10" s="1166"/>
      <c r="BX10" s="1166"/>
      <c r="BY10" s="1166"/>
      <c r="BZ10" s="1166"/>
      <c r="CA10" s="1166"/>
      <c r="CB10" s="1166"/>
      <c r="CC10" s="1166"/>
      <c r="CD10" s="1166"/>
      <c r="CE10" s="1166"/>
      <c r="CF10" s="1166"/>
      <c r="CG10" s="1166"/>
      <c r="CH10" s="1166"/>
      <c r="CI10" s="1166"/>
      <c r="CJ10" s="1166"/>
      <c r="CK10" s="1166"/>
      <c r="CL10" s="1166"/>
      <c r="CM10" s="1166"/>
      <c r="CN10" s="1166"/>
      <c r="CO10" s="1166"/>
      <c r="CP10" s="1166"/>
      <c r="CQ10" s="1166"/>
      <c r="CR10" s="1166"/>
      <c r="CS10" s="1166"/>
      <c r="CT10" s="1166"/>
      <c r="CU10" s="1166"/>
      <c r="CV10" s="1166"/>
      <c r="CW10" s="1166"/>
      <c r="CX10" s="1166"/>
      <c r="CY10" s="1166"/>
      <c r="CZ10" s="1166"/>
      <c r="DA10" s="1166"/>
      <c r="DB10" s="1166"/>
      <c r="DC10" s="1166"/>
      <c r="DD10" s="1166"/>
      <c r="DE10" s="1166"/>
      <c r="DF10" s="1166"/>
      <c r="DG10" s="1166"/>
      <c r="DH10" s="1166"/>
      <c r="DI10" s="1166"/>
      <c r="DJ10" s="1166"/>
      <c r="DK10" s="1166"/>
      <c r="DL10" s="1166"/>
      <c r="DM10" s="1166"/>
      <c r="DN10" s="1166"/>
      <c r="DO10" s="1166"/>
      <c r="DP10" s="1166"/>
      <c r="DQ10" s="1166"/>
      <c r="DR10" s="1166"/>
      <c r="DS10" s="1166"/>
      <c r="DT10" s="1166"/>
      <c r="DU10" s="1166"/>
      <c r="DV10" s="1166"/>
      <c r="DW10" s="1166"/>
      <c r="DX10" s="1166"/>
      <c r="DY10" s="1166"/>
      <c r="DZ10" s="1166"/>
      <c r="EA10" s="1166"/>
      <c r="EB10" s="1166"/>
      <c r="EC10" s="1166"/>
      <c r="ED10" s="1166"/>
      <c r="EE10" s="1166"/>
      <c r="EF10" s="1166"/>
      <c r="EG10" s="1166"/>
      <c r="EH10" s="1166"/>
      <c r="EI10" s="1166"/>
      <c r="EJ10" s="1166"/>
      <c r="EK10" s="1166"/>
      <c r="EL10" s="1166"/>
      <c r="EM10" s="1166"/>
      <c r="EN10" s="1166"/>
      <c r="EO10" s="1166"/>
      <c r="EP10" s="1166"/>
      <c r="EQ10" s="1166"/>
      <c r="ER10" s="1166"/>
      <c r="ES10" s="1166"/>
      <c r="ET10" s="1166"/>
      <c r="EU10" s="1166"/>
      <c r="EV10" s="1166"/>
      <c r="EW10" s="1166"/>
      <c r="EX10" s="1166"/>
      <c r="EY10" s="1166"/>
      <c r="EZ10" s="1166"/>
      <c r="FA10" s="1166"/>
      <c r="FB10" s="1166"/>
      <c r="FC10" s="1166"/>
      <c r="FD10" s="1166"/>
      <c r="FE10" s="1166"/>
      <c r="FF10" s="1166"/>
      <c r="FG10" s="1166"/>
      <c r="FH10" s="1166"/>
      <c r="FI10" s="1166"/>
      <c r="FJ10" s="1166"/>
      <c r="FK10" s="1166"/>
      <c r="FL10" s="1166"/>
      <c r="FM10" s="1166"/>
      <c r="FN10" s="1166"/>
      <c r="FO10" s="1166"/>
      <c r="FP10" s="1166"/>
      <c r="FQ10" s="1166"/>
      <c r="FR10" s="1166"/>
      <c r="FS10" s="1166"/>
      <c r="FT10" s="1166"/>
      <c r="FU10" s="1166"/>
      <c r="FV10" s="1166"/>
      <c r="FW10" s="1166"/>
      <c r="FX10" s="1166"/>
      <c r="FY10" s="1166"/>
      <c r="FZ10" s="1166"/>
      <c r="GA10" s="1166"/>
      <c r="GB10" s="1166"/>
      <c r="GC10" s="1166"/>
      <c r="GD10" s="1166"/>
      <c r="GE10" s="1166"/>
      <c r="GF10" s="1166"/>
      <c r="GG10" s="1166"/>
      <c r="GH10" s="1166"/>
      <c r="GI10" s="1166"/>
      <c r="GJ10" s="1166"/>
      <c r="GK10" s="1166"/>
      <c r="GL10" s="1166"/>
      <c r="GM10" s="1166"/>
      <c r="GN10" s="1166"/>
      <c r="GO10" s="1166"/>
      <c r="GP10" s="1166"/>
      <c r="GQ10" s="1166"/>
      <c r="GR10" s="1166"/>
      <c r="GS10" s="1166"/>
      <c r="GT10" s="1166"/>
      <c r="GU10" s="1166"/>
      <c r="GV10" s="1166"/>
      <c r="GW10" s="1166"/>
      <c r="GX10" s="1166"/>
      <c r="GY10" s="1166"/>
      <c r="GZ10" s="1166"/>
      <c r="HA10" s="1166"/>
      <c r="HB10" s="1166"/>
      <c r="HC10" s="1166"/>
      <c r="HD10" s="1166"/>
      <c r="HE10" s="1166"/>
      <c r="HF10" s="1166"/>
      <c r="HG10" s="1166"/>
      <c r="HH10" s="1166"/>
      <c r="HI10" s="1166"/>
      <c r="HJ10" s="1166"/>
      <c r="HK10" s="1166"/>
      <c r="HL10" s="1166"/>
      <c r="HM10" s="1166"/>
      <c r="HN10" s="1166"/>
      <c r="HO10" s="1166"/>
      <c r="HP10" s="1166"/>
      <c r="HQ10" s="1166"/>
      <c r="HR10" s="1166"/>
      <c r="HS10" s="1166"/>
      <c r="HT10" s="1166"/>
      <c r="HU10" s="1166"/>
      <c r="HV10" s="1166"/>
      <c r="HW10" s="1166"/>
      <c r="HX10" s="1166"/>
      <c r="HY10" s="1166"/>
      <c r="HZ10" s="1166"/>
      <c r="IA10" s="1166"/>
      <c r="IB10" s="1166"/>
      <c r="IC10" s="1166"/>
      <c r="ID10" s="1166"/>
      <c r="IE10" s="1166"/>
      <c r="IF10" s="1166"/>
      <c r="IG10" s="1166"/>
      <c r="IH10" s="1166"/>
      <c r="II10" s="1166"/>
      <c r="IJ10" s="1166"/>
      <c r="IK10" s="1166"/>
      <c r="IL10" s="1166"/>
      <c r="IM10" s="1166"/>
      <c r="IN10" s="1166"/>
      <c r="IO10" s="1166"/>
      <c r="IP10" s="1166"/>
      <c r="IQ10" s="1166"/>
      <c r="IR10" s="1166"/>
      <c r="IS10" s="1166"/>
      <c r="IT10" s="1166"/>
      <c r="IU10" s="1166"/>
      <c r="IV10" s="1166"/>
    </row>
    <row r="11" spans="1:256" ht="24.75" customHeight="1" x14ac:dyDescent="0.35">
      <c r="A11" s="1452">
        <v>2</v>
      </c>
      <c r="B11" s="1476"/>
      <c r="C11" s="1281">
        <v>8</v>
      </c>
      <c r="D11" s="1618" t="s">
        <v>330</v>
      </c>
      <c r="E11" s="1307"/>
      <c r="F11" s="1307"/>
      <c r="G11" s="1619"/>
      <c r="H11" s="1459" t="s">
        <v>296</v>
      </c>
      <c r="I11" s="1620"/>
      <c r="J11" s="1620"/>
      <c r="K11" s="1620"/>
      <c r="L11" s="1620"/>
      <c r="M11" s="1620"/>
      <c r="N11" s="1620"/>
      <c r="O11" s="1620"/>
      <c r="P11" s="1621"/>
      <c r="Q11" s="1622"/>
    </row>
    <row r="12" spans="1:256" ht="18" customHeight="1" x14ac:dyDescent="0.35">
      <c r="A12" s="1452">
        <v>3</v>
      </c>
      <c r="B12" s="1476"/>
      <c r="C12" s="1285"/>
      <c r="D12" s="1568" t="s">
        <v>996</v>
      </c>
      <c r="E12" s="1468">
        <f>F12+G12+P16</f>
        <v>6411</v>
      </c>
      <c r="F12" s="1623">
        <v>2887</v>
      </c>
      <c r="G12" s="1623">
        <v>1524</v>
      </c>
      <c r="H12" s="1624"/>
      <c r="I12" s="1594"/>
      <c r="J12" s="1594"/>
      <c r="K12" s="1594"/>
      <c r="L12" s="1594"/>
      <c r="M12" s="1594"/>
      <c r="N12" s="1594"/>
      <c r="O12" s="1594"/>
      <c r="P12" s="1625"/>
      <c r="Q12" s="1626"/>
    </row>
    <row r="13" spans="1:256" ht="18" customHeight="1" x14ac:dyDescent="0.35">
      <c r="A13" s="1452">
        <v>4</v>
      </c>
      <c r="B13" s="1476"/>
      <c r="C13" s="1627"/>
      <c r="D13" s="1628" t="s">
        <v>230</v>
      </c>
      <c r="E13" s="1468"/>
      <c r="F13" s="1483"/>
      <c r="G13" s="1629"/>
      <c r="H13" s="1630"/>
      <c r="I13" s="1491"/>
      <c r="J13" s="1491"/>
      <c r="K13" s="1489">
        <v>2000</v>
      </c>
      <c r="L13" s="1489"/>
      <c r="M13" s="1489"/>
      <c r="N13" s="1491"/>
      <c r="O13" s="1491"/>
      <c r="P13" s="1480">
        <f>SUM(I13:O13)</f>
        <v>2000</v>
      </c>
      <c r="Q13" s="1631"/>
    </row>
    <row r="14" spans="1:256" ht="18" customHeight="1" x14ac:dyDescent="0.35">
      <c r="A14" s="1452">
        <v>5</v>
      </c>
      <c r="B14" s="1476"/>
      <c r="C14" s="1627"/>
      <c r="D14" s="1290" t="s">
        <v>231</v>
      </c>
      <c r="E14" s="1468"/>
      <c r="F14" s="1483"/>
      <c r="G14" s="1629"/>
      <c r="H14" s="1630"/>
      <c r="I14" s="1491"/>
      <c r="J14" s="1491"/>
      <c r="K14" s="1492">
        <v>2000</v>
      </c>
      <c r="L14" s="1492"/>
      <c r="M14" s="1492"/>
      <c r="N14" s="1491"/>
      <c r="O14" s="1491"/>
      <c r="P14" s="1222">
        <f>SUM(I14:O14)</f>
        <v>2000</v>
      </c>
      <c r="Q14" s="1631"/>
    </row>
    <row r="15" spans="1:256" ht="18" customHeight="1" x14ac:dyDescent="0.35">
      <c r="A15" s="1452">
        <v>6</v>
      </c>
      <c r="B15" s="1476"/>
      <c r="C15" s="1627"/>
      <c r="D15" s="1388" t="s">
        <v>245</v>
      </c>
      <c r="E15" s="1468"/>
      <c r="F15" s="1483"/>
      <c r="G15" s="1629"/>
      <c r="H15" s="1630"/>
      <c r="I15" s="1491"/>
      <c r="J15" s="1491"/>
      <c r="K15" s="1489"/>
      <c r="L15" s="1489"/>
      <c r="M15" s="1489"/>
      <c r="N15" s="1491"/>
      <c r="O15" s="1491"/>
      <c r="P15" s="1217">
        <f>SUM(J15:O15)</f>
        <v>0</v>
      </c>
      <c r="Q15" s="1631"/>
    </row>
    <row r="16" spans="1:256" ht="18" customHeight="1" x14ac:dyDescent="0.35">
      <c r="A16" s="1452">
        <v>7</v>
      </c>
      <c r="B16" s="1476"/>
      <c r="C16" s="1627"/>
      <c r="D16" s="1290" t="s">
        <v>233</v>
      </c>
      <c r="E16" s="1468"/>
      <c r="F16" s="1483"/>
      <c r="G16" s="1629"/>
      <c r="H16" s="1630"/>
      <c r="I16" s="1491"/>
      <c r="J16" s="1491"/>
      <c r="K16" s="1492">
        <f>SUM(K14:K15)</f>
        <v>2000</v>
      </c>
      <c r="L16" s="1489"/>
      <c r="M16" s="1489"/>
      <c r="N16" s="1491"/>
      <c r="O16" s="1491"/>
      <c r="P16" s="1222">
        <f>SUM(J16:O16)</f>
        <v>2000</v>
      </c>
      <c r="Q16" s="1631"/>
    </row>
    <row r="17" spans="1:17" ht="18" customHeight="1" x14ac:dyDescent="0.35">
      <c r="A17" s="1452">
        <v>8</v>
      </c>
      <c r="B17" s="1476"/>
      <c r="C17" s="1627"/>
      <c r="D17" s="1632" t="s">
        <v>997</v>
      </c>
      <c r="E17" s="1468">
        <f>F17+G17</f>
        <v>61525</v>
      </c>
      <c r="F17" s="1468">
        <v>61525</v>
      </c>
      <c r="G17" s="1633"/>
      <c r="H17" s="1630"/>
      <c r="I17" s="1491"/>
      <c r="J17" s="1491"/>
      <c r="K17" s="1489"/>
      <c r="L17" s="1489"/>
      <c r="M17" s="1489"/>
      <c r="N17" s="1491"/>
      <c r="O17" s="1491"/>
      <c r="P17" s="1222"/>
      <c r="Q17" s="1631"/>
    </row>
    <row r="18" spans="1:17" ht="18" customHeight="1" x14ac:dyDescent="0.35">
      <c r="A18" s="1452">
        <v>9</v>
      </c>
      <c r="B18" s="1476"/>
      <c r="C18" s="1627"/>
      <c r="D18" s="1568" t="s">
        <v>998</v>
      </c>
      <c r="E18" s="1468">
        <f>F18+G18</f>
        <v>93127</v>
      </c>
      <c r="F18" s="1468">
        <f>122011-28884</f>
        <v>93127</v>
      </c>
      <c r="G18" s="1633"/>
      <c r="H18" s="1630"/>
      <c r="I18" s="1491"/>
      <c r="J18" s="1491"/>
      <c r="K18" s="1489"/>
      <c r="L18" s="1489"/>
      <c r="M18" s="1489"/>
      <c r="N18" s="1491"/>
      <c r="O18" s="1491"/>
      <c r="P18" s="1222"/>
      <c r="Q18" s="1631"/>
    </row>
    <row r="19" spans="1:17" ht="18" customHeight="1" x14ac:dyDescent="0.35">
      <c r="A19" s="1452">
        <v>10</v>
      </c>
      <c r="B19" s="1476"/>
      <c r="C19" s="1627"/>
      <c r="D19" s="1568" t="s">
        <v>999</v>
      </c>
      <c r="E19" s="1468">
        <f>F19+G19</f>
        <v>3429</v>
      </c>
      <c r="F19" s="1468">
        <v>3429</v>
      </c>
      <c r="G19" s="1633"/>
      <c r="H19" s="1630"/>
      <c r="I19" s="1491"/>
      <c r="J19" s="1491"/>
      <c r="K19" s="1489"/>
      <c r="L19" s="1489"/>
      <c r="M19" s="1489"/>
      <c r="N19" s="1491"/>
      <c r="O19" s="1491"/>
      <c r="P19" s="1222"/>
      <c r="Q19" s="1631"/>
    </row>
    <row r="20" spans="1:17" ht="18" customHeight="1" x14ac:dyDescent="0.35">
      <c r="A20" s="1452">
        <v>11</v>
      </c>
      <c r="B20" s="1476"/>
      <c r="C20" s="1627"/>
      <c r="D20" s="1568" t="s">
        <v>1000</v>
      </c>
      <c r="E20" s="1468">
        <f>F20+G20+P24</f>
        <v>49999</v>
      </c>
      <c r="F20" s="1483"/>
      <c r="G20" s="1634"/>
      <c r="H20" s="1630"/>
      <c r="I20" s="1491"/>
      <c r="J20" s="1491"/>
      <c r="K20" s="1489"/>
      <c r="L20" s="1489"/>
      <c r="M20" s="1489"/>
      <c r="N20" s="1491"/>
      <c r="O20" s="1491"/>
      <c r="P20" s="1480"/>
      <c r="Q20" s="1631"/>
    </row>
    <row r="21" spans="1:17" ht="18" customHeight="1" x14ac:dyDescent="0.35">
      <c r="A21" s="1452">
        <v>12</v>
      </c>
      <c r="B21" s="1476"/>
      <c r="C21" s="1635"/>
      <c r="D21" s="1636" t="s">
        <v>230</v>
      </c>
      <c r="E21" s="1501"/>
      <c r="F21" s="1637"/>
      <c r="G21" s="1638"/>
      <c r="H21" s="1639"/>
      <c r="I21" s="1611"/>
      <c r="J21" s="1611"/>
      <c r="K21" s="1588"/>
      <c r="L21" s="1588"/>
      <c r="M21" s="1588">
        <v>49999</v>
      </c>
      <c r="N21" s="1611"/>
      <c r="O21" s="1611"/>
      <c r="P21" s="1507">
        <f>SUM(I21:O21)</f>
        <v>49999</v>
      </c>
      <c r="Q21" s="1640"/>
    </row>
    <row r="22" spans="1:17" ht="18" customHeight="1" x14ac:dyDescent="0.35">
      <c r="A22" s="1452">
        <v>13</v>
      </c>
      <c r="B22" s="1476"/>
      <c r="C22" s="1635"/>
      <c r="D22" s="1290" t="s">
        <v>231</v>
      </c>
      <c r="E22" s="1501"/>
      <c r="F22" s="1637"/>
      <c r="G22" s="1638"/>
      <c r="H22" s="1639"/>
      <c r="I22" s="1611"/>
      <c r="J22" s="1611"/>
      <c r="K22" s="1641"/>
      <c r="L22" s="1641"/>
      <c r="M22" s="1641">
        <v>49999</v>
      </c>
      <c r="N22" s="1611"/>
      <c r="O22" s="1611"/>
      <c r="P22" s="1289">
        <f>SUM(I22:O22)</f>
        <v>49999</v>
      </c>
      <c r="Q22" s="1640"/>
    </row>
    <row r="23" spans="1:17" ht="18" customHeight="1" x14ac:dyDescent="0.35">
      <c r="A23" s="1452">
        <v>14</v>
      </c>
      <c r="B23" s="1476"/>
      <c r="C23" s="1627"/>
      <c r="D23" s="1484" t="s">
        <v>245</v>
      </c>
      <c r="E23" s="1468"/>
      <c r="F23" s="1483"/>
      <c r="G23" s="1634"/>
      <c r="H23" s="1630"/>
      <c r="I23" s="1491"/>
      <c r="J23" s="1491"/>
      <c r="K23" s="1489"/>
      <c r="L23" s="1489"/>
      <c r="M23" s="1489"/>
      <c r="N23" s="1491"/>
      <c r="O23" s="1491"/>
      <c r="P23" s="1217">
        <f>SUM(J23:O23)</f>
        <v>0</v>
      </c>
      <c r="Q23" s="1631"/>
    </row>
    <row r="24" spans="1:17" ht="18" customHeight="1" x14ac:dyDescent="0.35">
      <c r="A24" s="1452">
        <v>15</v>
      </c>
      <c r="B24" s="1476"/>
      <c r="C24" s="1642"/>
      <c r="D24" s="1643" t="s">
        <v>233</v>
      </c>
      <c r="E24" s="1644"/>
      <c r="F24" s="1645"/>
      <c r="G24" s="1646"/>
      <c r="H24" s="1647"/>
      <c r="I24" s="1648"/>
      <c r="J24" s="1648"/>
      <c r="K24" s="1649"/>
      <c r="L24" s="1649"/>
      <c r="M24" s="1650">
        <f>SUM(M22:M23)</f>
        <v>49999</v>
      </c>
      <c r="N24" s="1648"/>
      <c r="O24" s="1648"/>
      <c r="P24" s="1651">
        <f>SUM(J24:O24)</f>
        <v>49999</v>
      </c>
      <c r="Q24" s="1652"/>
    </row>
    <row r="25" spans="1:17" ht="24.75" customHeight="1" x14ac:dyDescent="0.35">
      <c r="A25" s="1452">
        <v>16</v>
      </c>
      <c r="B25" s="1476"/>
      <c r="C25" s="1653"/>
      <c r="D25" s="1654" t="s">
        <v>1001</v>
      </c>
      <c r="E25" s="1655">
        <f>SUM(E12:E24)</f>
        <v>214491</v>
      </c>
      <c r="F25" s="1655">
        <f>SUM(F12:F24)</f>
        <v>160968</v>
      </c>
      <c r="G25" s="1656">
        <f>SUM(G12:G24)</f>
        <v>1524</v>
      </c>
      <c r="H25" s="1657"/>
      <c r="I25" s="1658"/>
      <c r="J25" s="1658"/>
      <c r="K25" s="1658"/>
      <c r="L25" s="1658"/>
      <c r="M25" s="1658"/>
      <c r="N25" s="1658"/>
      <c r="O25" s="1658"/>
      <c r="P25" s="1303"/>
      <c r="Q25" s="1659"/>
    </row>
    <row r="26" spans="1:17" ht="18" customHeight="1" x14ac:dyDescent="0.35">
      <c r="A26" s="1452">
        <v>17</v>
      </c>
      <c r="B26" s="1476"/>
      <c r="C26" s="1635"/>
      <c r="D26" s="1636" t="s">
        <v>230</v>
      </c>
      <c r="E26" s="1637"/>
      <c r="F26" s="1637"/>
      <c r="G26" s="1638"/>
      <c r="H26" s="1639"/>
      <c r="I26" s="1660">
        <f t="shared" ref="I26:O28" si="0">I21+I13</f>
        <v>0</v>
      </c>
      <c r="J26" s="1660">
        <f t="shared" si="0"/>
        <v>0</v>
      </c>
      <c r="K26" s="1589">
        <f t="shared" si="0"/>
        <v>2000</v>
      </c>
      <c r="L26" s="1589">
        <f t="shared" si="0"/>
        <v>0</v>
      </c>
      <c r="M26" s="1589">
        <f t="shared" si="0"/>
        <v>49999</v>
      </c>
      <c r="N26" s="1660">
        <f t="shared" si="0"/>
        <v>0</v>
      </c>
      <c r="O26" s="1660">
        <f t="shared" si="0"/>
        <v>0</v>
      </c>
      <c r="P26" s="1661">
        <f>SUM(I26:O26)</f>
        <v>51999</v>
      </c>
      <c r="Q26" s="1640"/>
    </row>
    <row r="27" spans="1:17" ht="18" customHeight="1" x14ac:dyDescent="0.35">
      <c r="A27" s="1452">
        <v>18</v>
      </c>
      <c r="B27" s="1662"/>
      <c r="C27" s="1635"/>
      <c r="D27" s="1290" t="s">
        <v>231</v>
      </c>
      <c r="E27" s="1637"/>
      <c r="F27" s="1637"/>
      <c r="G27" s="1638"/>
      <c r="H27" s="1639"/>
      <c r="I27" s="1611">
        <f t="shared" si="0"/>
        <v>0</v>
      </c>
      <c r="J27" s="1611">
        <f t="shared" si="0"/>
        <v>0</v>
      </c>
      <c r="K27" s="1611">
        <f t="shared" si="0"/>
        <v>2000</v>
      </c>
      <c r="L27" s="1611">
        <f t="shared" si="0"/>
        <v>0</v>
      </c>
      <c r="M27" s="1611">
        <f t="shared" si="0"/>
        <v>49999</v>
      </c>
      <c r="N27" s="1611">
        <f t="shared" si="0"/>
        <v>0</v>
      </c>
      <c r="O27" s="1611">
        <f t="shared" si="0"/>
        <v>0</v>
      </c>
      <c r="P27" s="1301">
        <f>SUM(I27:O27)</f>
        <v>51999</v>
      </c>
      <c r="Q27" s="1640"/>
    </row>
    <row r="28" spans="1:17" ht="18" customHeight="1" x14ac:dyDescent="0.35">
      <c r="A28" s="1452">
        <v>19</v>
      </c>
      <c r="B28" s="1662"/>
      <c r="C28" s="1197"/>
      <c r="D28" s="1388" t="s">
        <v>245</v>
      </c>
      <c r="E28" s="1483"/>
      <c r="F28" s="1483"/>
      <c r="G28" s="1634"/>
      <c r="H28" s="1630"/>
      <c r="I28" s="1493">
        <f t="shared" si="0"/>
        <v>0</v>
      </c>
      <c r="J28" s="1493">
        <f t="shared" si="0"/>
        <v>0</v>
      </c>
      <c r="K28" s="1493">
        <f t="shared" si="0"/>
        <v>0</v>
      </c>
      <c r="L28" s="1493">
        <f t="shared" si="0"/>
        <v>0</v>
      </c>
      <c r="M28" s="1493">
        <f t="shared" si="0"/>
        <v>0</v>
      </c>
      <c r="N28" s="1493">
        <f t="shared" si="0"/>
        <v>0</v>
      </c>
      <c r="O28" s="1493">
        <f t="shared" si="0"/>
        <v>0</v>
      </c>
      <c r="P28" s="1217">
        <f>SUM(J28:O28)</f>
        <v>0</v>
      </c>
      <c r="Q28" s="1663"/>
    </row>
    <row r="29" spans="1:17" ht="18" customHeight="1" x14ac:dyDescent="0.35">
      <c r="A29" s="1452">
        <v>20</v>
      </c>
      <c r="B29" s="1662"/>
      <c r="C29" s="1664"/>
      <c r="D29" s="1665" t="s">
        <v>233</v>
      </c>
      <c r="E29" s="1666"/>
      <c r="F29" s="1666"/>
      <c r="G29" s="1667"/>
      <c r="H29" s="1668"/>
      <c r="I29" s="1669">
        <f t="shared" ref="I29:O29" si="1">SUM(I27:I28)</f>
        <v>0</v>
      </c>
      <c r="J29" s="1669">
        <f t="shared" si="1"/>
        <v>0</v>
      </c>
      <c r="K29" s="1669">
        <f t="shared" si="1"/>
        <v>2000</v>
      </c>
      <c r="L29" s="1669">
        <f t="shared" si="1"/>
        <v>0</v>
      </c>
      <c r="M29" s="1669">
        <f t="shared" si="1"/>
        <v>49999</v>
      </c>
      <c r="N29" s="1669">
        <f t="shared" si="1"/>
        <v>0</v>
      </c>
      <c r="O29" s="1669">
        <f t="shared" si="1"/>
        <v>0</v>
      </c>
      <c r="P29" s="1406">
        <f>SUM(J29:O29)</f>
        <v>51999</v>
      </c>
      <c r="Q29" s="1670"/>
    </row>
    <row r="30" spans="1:17" ht="36.75" customHeight="1" x14ac:dyDescent="0.35">
      <c r="A30" s="1452">
        <v>21</v>
      </c>
      <c r="B30" s="1662"/>
      <c r="C30" s="1671">
        <v>19</v>
      </c>
      <c r="D30" s="1672" t="s">
        <v>1002</v>
      </c>
      <c r="E30" s="1164">
        <f>F30+G30+P34</f>
        <v>1131053</v>
      </c>
      <c r="F30" s="1673">
        <v>638</v>
      </c>
      <c r="G30" s="1164">
        <v>1020040</v>
      </c>
      <c r="H30" s="1591" t="s">
        <v>296</v>
      </c>
      <c r="I30" s="1674"/>
      <c r="J30" s="1674"/>
      <c r="K30" s="1674"/>
      <c r="L30" s="1675"/>
      <c r="M30" s="1592"/>
      <c r="N30" s="1675"/>
      <c r="O30" s="1675"/>
      <c r="P30" s="1676"/>
      <c r="Q30" s="1595"/>
    </row>
    <row r="31" spans="1:17" ht="18" customHeight="1" x14ac:dyDescent="0.35">
      <c r="A31" s="1452">
        <v>22</v>
      </c>
      <c r="B31" s="1677"/>
      <c r="C31" s="1262"/>
      <c r="D31" s="1636" t="s">
        <v>230</v>
      </c>
      <c r="E31" s="1510"/>
      <c r="F31" s="1586"/>
      <c r="G31" s="1510"/>
      <c r="H31" s="1503"/>
      <c r="I31" s="1678"/>
      <c r="J31" s="1678"/>
      <c r="K31" s="1678">
        <v>16266</v>
      </c>
      <c r="L31" s="1678">
        <v>84827</v>
      </c>
      <c r="M31" s="1587">
        <v>782</v>
      </c>
      <c r="N31" s="1679"/>
      <c r="O31" s="1679"/>
      <c r="P31" s="1680">
        <f>SUM(I31:O31)</f>
        <v>101875</v>
      </c>
      <c r="Q31" s="1508"/>
    </row>
    <row r="32" spans="1:17" ht="18" customHeight="1" x14ac:dyDescent="0.35">
      <c r="A32" s="1452">
        <v>23</v>
      </c>
      <c r="B32" s="1681"/>
      <c r="C32" s="1635"/>
      <c r="D32" s="1290" t="s">
        <v>231</v>
      </c>
      <c r="E32" s="1510"/>
      <c r="F32" s="1586"/>
      <c r="G32" s="1510"/>
      <c r="H32" s="1479"/>
      <c r="I32" s="1679"/>
      <c r="J32" s="1679"/>
      <c r="K32" s="1679">
        <v>30688</v>
      </c>
      <c r="L32" s="1679">
        <v>76827</v>
      </c>
      <c r="M32" s="1679">
        <v>2860</v>
      </c>
      <c r="N32" s="1679"/>
      <c r="O32" s="1679"/>
      <c r="P32" s="1289">
        <f>SUM(I32:O32)</f>
        <v>110375</v>
      </c>
      <c r="Q32" s="1682"/>
    </row>
    <row r="33" spans="1:17" ht="18" customHeight="1" x14ac:dyDescent="0.35">
      <c r="A33" s="1452">
        <v>24</v>
      </c>
      <c r="B33" s="1681"/>
      <c r="C33" s="1627"/>
      <c r="D33" s="1388" t="s">
        <v>232</v>
      </c>
      <c r="E33" s="1520"/>
      <c r="F33" s="1490"/>
      <c r="G33" s="1596"/>
      <c r="H33" s="1597"/>
      <c r="I33" s="1683"/>
      <c r="J33" s="1683"/>
      <c r="K33" s="1590"/>
      <c r="L33" s="1590"/>
      <c r="M33" s="1590"/>
      <c r="N33" s="1582"/>
      <c r="O33" s="1582"/>
      <c r="P33" s="1217">
        <f>SUM(J33:O33)</f>
        <v>0</v>
      </c>
      <c r="Q33" s="1598"/>
    </row>
    <row r="34" spans="1:17" ht="18" customHeight="1" x14ac:dyDescent="0.35">
      <c r="A34" s="1452">
        <v>25</v>
      </c>
      <c r="B34" s="1681"/>
      <c r="C34" s="1684"/>
      <c r="D34" s="1665" t="s">
        <v>233</v>
      </c>
      <c r="E34" s="1685"/>
      <c r="F34" s="1686"/>
      <c r="G34" s="1687"/>
      <c r="H34" s="1688"/>
      <c r="I34" s="1689"/>
      <c r="J34" s="1689"/>
      <c r="K34" s="1690">
        <f>SUM(K32:K33)</f>
        <v>30688</v>
      </c>
      <c r="L34" s="1690">
        <f>SUM(L32:L33)</f>
        <v>76827</v>
      </c>
      <c r="M34" s="1690">
        <f>SUM(M32:M33)</f>
        <v>2860</v>
      </c>
      <c r="N34" s="1690"/>
      <c r="O34" s="1690"/>
      <c r="P34" s="1406">
        <f>SUM(J34:O34)</f>
        <v>110375</v>
      </c>
      <c r="Q34" s="1691"/>
    </row>
    <row r="35" spans="1:17" ht="24.75" customHeight="1" x14ac:dyDescent="0.35">
      <c r="A35" s="1452">
        <v>26</v>
      </c>
      <c r="B35" s="1692"/>
      <c r="C35" s="1693">
        <v>20</v>
      </c>
      <c r="D35" s="1618" t="s">
        <v>337</v>
      </c>
      <c r="E35" s="1307"/>
      <c r="F35" s="1694"/>
      <c r="G35" s="1695"/>
      <c r="H35" s="1696" t="s">
        <v>296</v>
      </c>
      <c r="I35" s="1697"/>
      <c r="J35" s="1697"/>
      <c r="K35" s="1697"/>
      <c r="L35" s="1697"/>
      <c r="M35" s="1697"/>
      <c r="N35" s="1697"/>
      <c r="O35" s="1697"/>
      <c r="P35" s="1698"/>
      <c r="Q35" s="1659"/>
    </row>
    <row r="36" spans="1:17" ht="34.5" customHeight="1" x14ac:dyDescent="0.35">
      <c r="A36" s="1452">
        <v>27</v>
      </c>
      <c r="B36" s="1476"/>
      <c r="C36" s="1693"/>
      <c r="D36" s="1699" t="s">
        <v>1003</v>
      </c>
      <c r="E36" s="1468">
        <f>F36+G36+P40</f>
        <v>354295</v>
      </c>
      <c r="F36" s="1468">
        <v>63206</v>
      </c>
      <c r="G36" s="1596">
        <v>188919</v>
      </c>
      <c r="H36" s="1630"/>
      <c r="I36" s="1700"/>
      <c r="J36" s="1700"/>
      <c r="K36" s="1700"/>
      <c r="L36" s="1700"/>
      <c r="M36" s="1700"/>
      <c r="N36" s="1700"/>
      <c r="O36" s="1700"/>
      <c r="P36" s="1661"/>
      <c r="Q36" s="1631"/>
    </row>
    <row r="37" spans="1:17" ht="18" customHeight="1" x14ac:dyDescent="0.35">
      <c r="A37" s="1452">
        <v>28</v>
      </c>
      <c r="B37" s="1476"/>
      <c r="C37" s="1635"/>
      <c r="D37" s="1636" t="s">
        <v>230</v>
      </c>
      <c r="E37" s="1501"/>
      <c r="F37" s="1483"/>
      <c r="G37" s="1634"/>
      <c r="H37" s="1630"/>
      <c r="I37" s="1700"/>
      <c r="J37" s="1700"/>
      <c r="K37" s="1701">
        <v>77854</v>
      </c>
      <c r="L37" s="1701"/>
      <c r="M37" s="1701">
        <v>24316</v>
      </c>
      <c r="N37" s="1700"/>
      <c r="O37" s="1700"/>
      <c r="P37" s="1661">
        <f>SUM(I37:O37)</f>
        <v>102170</v>
      </c>
      <c r="Q37" s="1631"/>
    </row>
    <row r="38" spans="1:17" ht="18" customHeight="1" x14ac:dyDescent="0.35">
      <c r="A38" s="1452">
        <v>29</v>
      </c>
      <c r="B38" s="1476"/>
      <c r="C38" s="1635"/>
      <c r="D38" s="1290" t="s">
        <v>231</v>
      </c>
      <c r="E38" s="1501"/>
      <c r="F38" s="1694"/>
      <c r="G38" s="1695"/>
      <c r="H38" s="1657"/>
      <c r="I38" s="1594"/>
      <c r="J38" s="1594"/>
      <c r="K38" s="1675">
        <v>77854</v>
      </c>
      <c r="L38" s="1675"/>
      <c r="M38" s="1675">
        <v>24316</v>
      </c>
      <c r="N38" s="1594"/>
      <c r="O38" s="1594"/>
      <c r="P38" s="1301">
        <f>SUM(I38:O38)</f>
        <v>102170</v>
      </c>
      <c r="Q38" s="1659"/>
    </row>
    <row r="39" spans="1:17" ht="18" customHeight="1" x14ac:dyDescent="0.35">
      <c r="A39" s="1452">
        <v>30</v>
      </c>
      <c r="B39" s="1476"/>
      <c r="C39" s="1627"/>
      <c r="D39" s="1388" t="s">
        <v>245</v>
      </c>
      <c r="E39" s="1468"/>
      <c r="F39" s="1483"/>
      <c r="G39" s="1634"/>
      <c r="H39" s="1630"/>
      <c r="I39" s="1702"/>
      <c r="J39" s="1702"/>
      <c r="K39" s="1683"/>
      <c r="L39" s="1683"/>
      <c r="M39" s="1683"/>
      <c r="N39" s="1702"/>
      <c r="O39" s="1702"/>
      <c r="P39" s="1217">
        <f>SUM(J39:O39)</f>
        <v>0</v>
      </c>
      <c r="Q39" s="1631"/>
    </row>
    <row r="40" spans="1:17" ht="18" customHeight="1" x14ac:dyDescent="0.35">
      <c r="A40" s="1452">
        <v>31</v>
      </c>
      <c r="B40" s="1476"/>
      <c r="C40" s="1684"/>
      <c r="D40" s="1665" t="s">
        <v>233</v>
      </c>
      <c r="E40" s="1703"/>
      <c r="F40" s="1666"/>
      <c r="G40" s="1667"/>
      <c r="H40" s="1668"/>
      <c r="I40" s="1704"/>
      <c r="J40" s="1704"/>
      <c r="K40" s="1690">
        <f>SUM(K38:K39)</f>
        <v>77854</v>
      </c>
      <c r="L40" s="1690"/>
      <c r="M40" s="1690">
        <f>SUM(M38:M39)</f>
        <v>24316</v>
      </c>
      <c r="N40" s="1704"/>
      <c r="O40" s="1704"/>
      <c r="P40" s="1406">
        <f>SUM(J40:O40)</f>
        <v>102170</v>
      </c>
      <c r="Q40" s="1705"/>
    </row>
    <row r="41" spans="1:17" ht="24.75" customHeight="1" x14ac:dyDescent="0.35">
      <c r="A41" s="1452">
        <v>32</v>
      </c>
      <c r="B41" s="1476"/>
      <c r="C41" s="1693">
        <v>30</v>
      </c>
      <c r="D41" s="1618" t="s">
        <v>1004</v>
      </c>
      <c r="E41" s="1307"/>
      <c r="F41" s="1307"/>
      <c r="G41" s="1706"/>
      <c r="H41" s="1459" t="s">
        <v>296</v>
      </c>
      <c r="I41" s="1620"/>
      <c r="J41" s="1620"/>
      <c r="K41" s="1620"/>
      <c r="L41" s="1620"/>
      <c r="M41" s="1620"/>
      <c r="N41" s="1620"/>
      <c r="O41" s="1620"/>
      <c r="P41" s="1303"/>
      <c r="Q41" s="1707"/>
    </row>
    <row r="42" spans="1:17" ht="18" customHeight="1" x14ac:dyDescent="0.35">
      <c r="A42" s="1452">
        <v>33</v>
      </c>
      <c r="B42" s="1476"/>
      <c r="C42" s="1627"/>
      <c r="D42" s="1708" t="s">
        <v>1005</v>
      </c>
      <c r="E42" s="1483"/>
      <c r="F42" s="1483"/>
      <c r="G42" s="1634"/>
      <c r="H42" s="1630"/>
      <c r="I42" s="1494"/>
      <c r="J42" s="1494"/>
      <c r="K42" s="1494"/>
      <c r="L42" s="1494"/>
      <c r="M42" s="1494"/>
      <c r="N42" s="1494"/>
      <c r="O42" s="1494"/>
      <c r="P42" s="1222"/>
      <c r="Q42" s="1631"/>
    </row>
    <row r="43" spans="1:17" ht="38.25" customHeight="1" x14ac:dyDescent="0.35">
      <c r="A43" s="1452">
        <v>34</v>
      </c>
      <c r="B43" s="1476"/>
      <c r="C43" s="1627"/>
      <c r="D43" s="1708" t="s">
        <v>1006</v>
      </c>
      <c r="E43" s="1467">
        <f>F43+G43+P47</f>
        <v>75562</v>
      </c>
      <c r="F43" s="1467">
        <v>18923</v>
      </c>
      <c r="G43" s="1709">
        <v>15577</v>
      </c>
      <c r="H43" s="1630"/>
      <c r="I43" s="1494"/>
      <c r="J43" s="1494"/>
      <c r="K43" s="1494"/>
      <c r="L43" s="1494"/>
      <c r="M43" s="1494"/>
      <c r="N43" s="1494"/>
      <c r="O43" s="1494"/>
      <c r="P43" s="1222"/>
      <c r="Q43" s="1631"/>
    </row>
    <row r="44" spans="1:17" ht="18" customHeight="1" x14ac:dyDescent="0.35">
      <c r="A44" s="1452">
        <v>35</v>
      </c>
      <c r="B44" s="1476"/>
      <c r="C44" s="1627"/>
      <c r="D44" s="1628" t="s">
        <v>230</v>
      </c>
      <c r="E44" s="1483"/>
      <c r="F44" s="1483"/>
      <c r="G44" s="1596"/>
      <c r="H44" s="1630"/>
      <c r="I44" s="1494"/>
      <c r="J44" s="1494"/>
      <c r="K44" s="1683">
        <v>39406</v>
      </c>
      <c r="L44" s="1494"/>
      <c r="M44" s="1494"/>
      <c r="N44" s="1494"/>
      <c r="O44" s="1494"/>
      <c r="P44" s="1480">
        <f>SUM(I44:O44)</f>
        <v>39406</v>
      </c>
      <c r="Q44" s="1631"/>
    </row>
    <row r="45" spans="1:17" ht="18" customHeight="1" x14ac:dyDescent="0.35">
      <c r="A45" s="1452">
        <v>36</v>
      </c>
      <c r="B45" s="1476"/>
      <c r="C45" s="1627"/>
      <c r="D45" s="1290" t="s">
        <v>231</v>
      </c>
      <c r="E45" s="1483"/>
      <c r="F45" s="1483"/>
      <c r="G45" s="1596"/>
      <c r="H45" s="1630"/>
      <c r="I45" s="1494"/>
      <c r="J45" s="1494"/>
      <c r="K45" s="1582">
        <v>34458</v>
      </c>
      <c r="L45" s="1494"/>
      <c r="M45" s="1582">
        <v>4445</v>
      </c>
      <c r="N45" s="1494"/>
      <c r="O45" s="1582">
        <v>2159</v>
      </c>
      <c r="P45" s="1222">
        <f>SUM(I45:O45)</f>
        <v>41062</v>
      </c>
      <c r="Q45" s="1631"/>
    </row>
    <row r="46" spans="1:17" ht="18" customHeight="1" x14ac:dyDescent="0.35">
      <c r="A46" s="1452">
        <v>37</v>
      </c>
      <c r="B46" s="1476"/>
      <c r="C46" s="1627"/>
      <c r="D46" s="1388" t="s">
        <v>232</v>
      </c>
      <c r="E46" s="1483"/>
      <c r="F46" s="1483"/>
      <c r="G46" s="1596"/>
      <c r="H46" s="1630"/>
      <c r="I46" s="1494"/>
      <c r="J46" s="1494"/>
      <c r="K46" s="1590"/>
      <c r="L46" s="1494"/>
      <c r="M46" s="1590"/>
      <c r="N46" s="1590"/>
      <c r="O46" s="1590"/>
      <c r="P46" s="1217">
        <f>SUM(J46:O46)</f>
        <v>0</v>
      </c>
      <c r="Q46" s="1631"/>
    </row>
    <row r="47" spans="1:17" ht="18" customHeight="1" x14ac:dyDescent="0.35">
      <c r="A47" s="1452">
        <v>38</v>
      </c>
      <c r="B47" s="1476"/>
      <c r="C47" s="1627"/>
      <c r="D47" s="1290" t="s">
        <v>233</v>
      </c>
      <c r="E47" s="1483"/>
      <c r="F47" s="1483"/>
      <c r="G47" s="1596"/>
      <c r="H47" s="1630"/>
      <c r="I47" s="1494"/>
      <c r="J47" s="1494"/>
      <c r="K47" s="1582">
        <f>SUM(K45:K46)</f>
        <v>34458</v>
      </c>
      <c r="L47" s="1494"/>
      <c r="M47" s="1582">
        <f>SUM(M45:M46)</f>
        <v>4445</v>
      </c>
      <c r="N47" s="1582"/>
      <c r="O47" s="1582">
        <f>SUM(O45:O46)</f>
        <v>2159</v>
      </c>
      <c r="P47" s="1222">
        <f>SUM(J47:O47)</f>
        <v>41062</v>
      </c>
      <c r="Q47" s="1631"/>
    </row>
    <row r="48" spans="1:17" ht="18" customHeight="1" x14ac:dyDescent="0.35">
      <c r="A48" s="1452">
        <v>39</v>
      </c>
      <c r="B48" s="1476"/>
      <c r="C48" s="1627"/>
      <c r="D48" s="1710" t="s">
        <v>1007</v>
      </c>
      <c r="E48" s="1467">
        <f>F48+G48</f>
        <v>20000</v>
      </c>
      <c r="F48" s="1468">
        <v>20000</v>
      </c>
      <c r="G48" s="1596"/>
      <c r="H48" s="1630"/>
      <c r="I48" s="1494"/>
      <c r="J48" s="1494"/>
      <c r="K48" s="1494"/>
      <c r="L48" s="1494"/>
      <c r="M48" s="1494"/>
      <c r="N48" s="1494"/>
      <c r="O48" s="1494"/>
      <c r="P48" s="1222"/>
      <c r="Q48" s="1631"/>
    </row>
    <row r="49" spans="1:17" ht="35.25" customHeight="1" x14ac:dyDescent="0.35">
      <c r="A49" s="1452">
        <v>40</v>
      </c>
      <c r="B49" s="1476"/>
      <c r="C49" s="1627"/>
      <c r="D49" s="1708" t="s">
        <v>1008</v>
      </c>
      <c r="E49" s="1467">
        <f>F49+G49+P53</f>
        <v>102850</v>
      </c>
      <c r="F49" s="1483"/>
      <c r="G49" s="1709">
        <v>29859</v>
      </c>
      <c r="H49" s="1630"/>
      <c r="I49" s="1494"/>
      <c r="J49" s="1494"/>
      <c r="K49" s="1494"/>
      <c r="L49" s="1494"/>
      <c r="M49" s="1494"/>
      <c r="N49" s="1494"/>
      <c r="O49" s="1494"/>
      <c r="P49" s="1222"/>
      <c r="Q49" s="1631"/>
    </row>
    <row r="50" spans="1:17" ht="18" customHeight="1" x14ac:dyDescent="0.35">
      <c r="A50" s="1452">
        <v>41</v>
      </c>
      <c r="B50" s="1476"/>
      <c r="C50" s="1627"/>
      <c r="D50" s="1628" t="s">
        <v>230</v>
      </c>
      <c r="E50" s="1483"/>
      <c r="F50" s="1483"/>
      <c r="G50" s="1596"/>
      <c r="H50" s="1630"/>
      <c r="I50" s="1494"/>
      <c r="J50" s="1494"/>
      <c r="K50" s="1683">
        <v>8516</v>
      </c>
      <c r="L50" s="1494"/>
      <c r="M50" s="1683">
        <v>66131</v>
      </c>
      <c r="N50" s="1494"/>
      <c r="O50" s="1494"/>
      <c r="P50" s="1480">
        <f>SUM(I50:O50)</f>
        <v>74647</v>
      </c>
      <c r="Q50" s="1631"/>
    </row>
    <row r="51" spans="1:17" ht="18" customHeight="1" x14ac:dyDescent="0.35">
      <c r="A51" s="1452">
        <v>42</v>
      </c>
      <c r="B51" s="1476"/>
      <c r="C51" s="1627"/>
      <c r="D51" s="1290" t="s">
        <v>231</v>
      </c>
      <c r="E51" s="1483"/>
      <c r="F51" s="1483"/>
      <c r="G51" s="1596"/>
      <c r="H51" s="1630"/>
      <c r="I51" s="1494"/>
      <c r="J51" s="1494"/>
      <c r="K51" s="1582">
        <v>447</v>
      </c>
      <c r="L51" s="1582">
        <v>1271</v>
      </c>
      <c r="M51" s="1582">
        <v>71273</v>
      </c>
      <c r="N51" s="1494"/>
      <c r="O51" s="1494"/>
      <c r="P51" s="1222">
        <f>SUM(I51:O51)</f>
        <v>72991</v>
      </c>
      <c r="Q51" s="1631"/>
    </row>
    <row r="52" spans="1:17" ht="18" customHeight="1" x14ac:dyDescent="0.35">
      <c r="A52" s="1452">
        <v>43</v>
      </c>
      <c r="B52" s="1476"/>
      <c r="C52" s="1627"/>
      <c r="D52" s="1388" t="s">
        <v>232</v>
      </c>
      <c r="E52" s="1483"/>
      <c r="F52" s="1483"/>
      <c r="G52" s="1596"/>
      <c r="H52" s="1630"/>
      <c r="I52" s="1494"/>
      <c r="J52" s="1494"/>
      <c r="K52" s="1590"/>
      <c r="L52" s="1590"/>
      <c r="M52" s="1590"/>
      <c r="N52" s="1494"/>
      <c r="O52" s="1494"/>
      <c r="P52" s="1217">
        <f>SUM(J52:O52)</f>
        <v>0</v>
      </c>
      <c r="Q52" s="1631"/>
    </row>
    <row r="53" spans="1:17" ht="18" customHeight="1" x14ac:dyDescent="0.35">
      <c r="A53" s="1452">
        <v>44</v>
      </c>
      <c r="B53" s="1476"/>
      <c r="C53" s="1627"/>
      <c r="D53" s="1290" t="s">
        <v>233</v>
      </c>
      <c r="E53" s="1483"/>
      <c r="F53" s="1483"/>
      <c r="G53" s="1596"/>
      <c r="H53" s="1630"/>
      <c r="I53" s="1494"/>
      <c r="J53" s="1494"/>
      <c r="K53" s="1582">
        <f>SUM(K51:K52)</f>
        <v>447</v>
      </c>
      <c r="L53" s="1582">
        <f>SUM(L51:L52)</f>
        <v>1271</v>
      </c>
      <c r="M53" s="1582">
        <f>SUM(M51:M52)</f>
        <v>71273</v>
      </c>
      <c r="N53" s="1494"/>
      <c r="O53" s="1494"/>
      <c r="P53" s="1222">
        <f>SUM(J53:O53)</f>
        <v>72991</v>
      </c>
      <c r="Q53" s="1631"/>
    </row>
    <row r="54" spans="1:17" ht="18" customHeight="1" x14ac:dyDescent="0.35">
      <c r="A54" s="1452">
        <v>45</v>
      </c>
      <c r="B54" s="1476"/>
      <c r="C54" s="1627"/>
      <c r="D54" s="1708" t="s">
        <v>1009</v>
      </c>
      <c r="E54" s="1467">
        <f>F54+G54</f>
        <v>20080</v>
      </c>
      <c r="F54" s="1483"/>
      <c r="G54" s="1596">
        <v>20080</v>
      </c>
      <c r="H54" s="1630"/>
      <c r="I54" s="1494"/>
      <c r="J54" s="1494"/>
      <c r="K54" s="1494"/>
      <c r="L54" s="1494"/>
      <c r="M54" s="1494"/>
      <c r="N54" s="1494"/>
      <c r="O54" s="1494"/>
      <c r="P54" s="1222"/>
      <c r="Q54" s="1631"/>
    </row>
    <row r="55" spans="1:17" ht="18" customHeight="1" x14ac:dyDescent="0.35">
      <c r="A55" s="1452">
        <v>46</v>
      </c>
      <c r="B55" s="1476"/>
      <c r="C55" s="1627"/>
      <c r="D55" s="1708" t="s">
        <v>1010</v>
      </c>
      <c r="E55" s="1467">
        <f>F55+G55</f>
        <v>10000</v>
      </c>
      <c r="F55" s="1483"/>
      <c r="G55" s="1596">
        <v>10000</v>
      </c>
      <c r="H55" s="1630"/>
      <c r="I55" s="1494"/>
      <c r="J55" s="1494"/>
      <c r="K55" s="1494"/>
      <c r="L55" s="1494"/>
      <c r="M55" s="1494"/>
      <c r="N55" s="1494"/>
      <c r="O55" s="1494"/>
      <c r="P55" s="1222"/>
      <c r="Q55" s="1631"/>
    </row>
    <row r="56" spans="1:17" ht="18" customHeight="1" x14ac:dyDescent="0.35">
      <c r="A56" s="1452">
        <v>47</v>
      </c>
      <c r="B56" s="1476"/>
      <c r="C56" s="1627"/>
      <c r="D56" s="1708" t="s">
        <v>1011</v>
      </c>
      <c r="E56" s="1467">
        <f>F56+G56</f>
        <v>26000</v>
      </c>
      <c r="F56" s="1483"/>
      <c r="G56" s="1596">
        <v>26000</v>
      </c>
      <c r="H56" s="1630"/>
      <c r="I56" s="1494"/>
      <c r="J56" s="1494"/>
      <c r="K56" s="1494"/>
      <c r="L56" s="1494"/>
      <c r="M56" s="1494"/>
      <c r="N56" s="1494"/>
      <c r="O56" s="1494"/>
      <c r="P56" s="1222"/>
      <c r="Q56" s="1631"/>
    </row>
    <row r="57" spans="1:17" ht="18" customHeight="1" x14ac:dyDescent="0.35">
      <c r="A57" s="1452">
        <v>48</v>
      </c>
      <c r="B57" s="1476"/>
      <c r="C57" s="1627"/>
      <c r="D57" s="1708" t="s">
        <v>1012</v>
      </c>
      <c r="E57" s="1467">
        <f>F57+G57+P61</f>
        <v>60289</v>
      </c>
      <c r="F57" s="1483"/>
      <c r="G57" s="1596">
        <v>5063</v>
      </c>
      <c r="H57" s="1630"/>
      <c r="I57" s="1494"/>
      <c r="J57" s="1494"/>
      <c r="K57" s="1494"/>
      <c r="L57" s="1494"/>
      <c r="M57" s="1494"/>
      <c r="N57" s="1494"/>
      <c r="O57" s="1494"/>
      <c r="P57" s="1222"/>
      <c r="Q57" s="1631"/>
    </row>
    <row r="58" spans="1:17" ht="18" customHeight="1" x14ac:dyDescent="0.35">
      <c r="A58" s="1452">
        <v>49</v>
      </c>
      <c r="B58" s="1476"/>
      <c r="C58" s="1635"/>
      <c r="D58" s="1636" t="s">
        <v>230</v>
      </c>
      <c r="E58" s="1637"/>
      <c r="F58" s="1637"/>
      <c r="G58" s="1711"/>
      <c r="H58" s="1639"/>
      <c r="I58" s="1712"/>
      <c r="J58" s="1712"/>
      <c r="K58" s="1678"/>
      <c r="L58" s="1712"/>
      <c r="M58" s="1678">
        <v>55226</v>
      </c>
      <c r="N58" s="1712"/>
      <c r="O58" s="1712"/>
      <c r="P58" s="1507">
        <f>SUM(I58:O58)</f>
        <v>55226</v>
      </c>
      <c r="Q58" s="1640"/>
    </row>
    <row r="59" spans="1:17" ht="18" customHeight="1" x14ac:dyDescent="0.35">
      <c r="A59" s="1452">
        <v>50</v>
      </c>
      <c r="B59" s="1476"/>
      <c r="C59" s="1635"/>
      <c r="D59" s="1290" t="s">
        <v>231</v>
      </c>
      <c r="E59" s="1637"/>
      <c r="F59" s="1637"/>
      <c r="G59" s="1711"/>
      <c r="H59" s="1639"/>
      <c r="I59" s="1712"/>
      <c r="J59" s="1712"/>
      <c r="K59" s="1679"/>
      <c r="L59" s="1712"/>
      <c r="M59" s="1679">
        <v>55226</v>
      </c>
      <c r="N59" s="1712"/>
      <c r="O59" s="1712"/>
      <c r="P59" s="1507">
        <f>SUM(I59:O59)</f>
        <v>55226</v>
      </c>
      <c r="Q59" s="1640"/>
    </row>
    <row r="60" spans="1:17" ht="18" customHeight="1" x14ac:dyDescent="0.35">
      <c r="A60" s="1452">
        <v>51</v>
      </c>
      <c r="B60" s="1476"/>
      <c r="C60" s="1627"/>
      <c r="D60" s="1484" t="s">
        <v>245</v>
      </c>
      <c r="E60" s="1483"/>
      <c r="F60" s="1483"/>
      <c r="G60" s="1596"/>
      <c r="H60" s="1630"/>
      <c r="I60" s="1494"/>
      <c r="J60" s="1494"/>
      <c r="K60" s="1683"/>
      <c r="L60" s="1494"/>
      <c r="M60" s="1683"/>
      <c r="N60" s="1494"/>
      <c r="O60" s="1494"/>
      <c r="P60" s="1217">
        <f>SUM(J60:O60)</f>
        <v>0</v>
      </c>
      <c r="Q60" s="1631"/>
    </row>
    <row r="61" spans="1:17" ht="18" customHeight="1" x14ac:dyDescent="0.35">
      <c r="A61" s="1452">
        <v>52</v>
      </c>
      <c r="B61" s="1476"/>
      <c r="C61" s="1642"/>
      <c r="D61" s="1643" t="s">
        <v>233</v>
      </c>
      <c r="E61" s="1645"/>
      <c r="F61" s="1645"/>
      <c r="G61" s="1713"/>
      <c r="H61" s="1647"/>
      <c r="I61" s="1714"/>
      <c r="J61" s="1714"/>
      <c r="K61" s="1715"/>
      <c r="L61" s="1714"/>
      <c r="M61" s="1716">
        <f>SUM(M59:M60)</f>
        <v>55226</v>
      </c>
      <c r="N61" s="1714"/>
      <c r="O61" s="1714"/>
      <c r="P61" s="1651">
        <f>SUM(J61:O61)</f>
        <v>55226</v>
      </c>
      <c r="Q61" s="1652"/>
    </row>
    <row r="62" spans="1:17" ht="18" customHeight="1" x14ac:dyDescent="0.35">
      <c r="A62" s="1452">
        <v>53</v>
      </c>
      <c r="B62" s="1476"/>
      <c r="C62" s="1693"/>
      <c r="D62" s="1717" t="s">
        <v>4</v>
      </c>
      <c r="E62" s="1456">
        <f>SUM(E43:E58)</f>
        <v>314781</v>
      </c>
      <c r="F62" s="1456">
        <f>SUM(F43:F58)</f>
        <v>38923</v>
      </c>
      <c r="G62" s="1718">
        <f>SUM(G43:G58)</f>
        <v>106579</v>
      </c>
      <c r="H62" s="1719"/>
      <c r="I62" s="1620"/>
      <c r="J62" s="1620"/>
      <c r="K62" s="1620"/>
      <c r="L62" s="1620"/>
      <c r="M62" s="1620"/>
      <c r="N62" s="1620"/>
      <c r="O62" s="1620"/>
      <c r="P62" s="1303"/>
      <c r="Q62" s="1707"/>
    </row>
    <row r="63" spans="1:17" ht="18" customHeight="1" x14ac:dyDescent="0.35">
      <c r="A63" s="1452">
        <v>54</v>
      </c>
      <c r="B63" s="1476"/>
      <c r="C63" s="1635"/>
      <c r="D63" s="1720" t="s">
        <v>230</v>
      </c>
      <c r="E63" s="1637"/>
      <c r="F63" s="1637"/>
      <c r="G63" s="1638"/>
      <c r="H63" s="1639"/>
      <c r="I63" s="1721">
        <f t="shared" ref="I63:O65" si="2">I58+I50+I44</f>
        <v>0</v>
      </c>
      <c r="J63" s="1721">
        <f t="shared" si="2"/>
        <v>0</v>
      </c>
      <c r="K63" s="1721">
        <f t="shared" si="2"/>
        <v>47922</v>
      </c>
      <c r="L63" s="1721">
        <f t="shared" si="2"/>
        <v>0</v>
      </c>
      <c r="M63" s="1721">
        <f t="shared" si="2"/>
        <v>121357</v>
      </c>
      <c r="N63" s="1721">
        <f t="shared" si="2"/>
        <v>0</v>
      </c>
      <c r="O63" s="1721">
        <f t="shared" si="2"/>
        <v>0</v>
      </c>
      <c r="P63" s="1680">
        <f>SUM(I63:O63)</f>
        <v>169279</v>
      </c>
      <c r="Q63" s="1640"/>
    </row>
    <row r="64" spans="1:17" ht="18" customHeight="1" x14ac:dyDescent="0.35">
      <c r="A64" s="1452">
        <v>55</v>
      </c>
      <c r="B64" s="1476"/>
      <c r="C64" s="1635"/>
      <c r="D64" s="1290" t="s">
        <v>231</v>
      </c>
      <c r="E64" s="1637"/>
      <c r="F64" s="1637"/>
      <c r="G64" s="1638"/>
      <c r="H64" s="1639"/>
      <c r="I64" s="1712">
        <f t="shared" si="2"/>
        <v>0</v>
      </c>
      <c r="J64" s="1712">
        <f t="shared" si="2"/>
        <v>0</v>
      </c>
      <c r="K64" s="1712">
        <f t="shared" si="2"/>
        <v>34905</v>
      </c>
      <c r="L64" s="1712">
        <f t="shared" si="2"/>
        <v>1271</v>
      </c>
      <c r="M64" s="1712">
        <f t="shared" si="2"/>
        <v>130944</v>
      </c>
      <c r="N64" s="1712">
        <f t="shared" si="2"/>
        <v>0</v>
      </c>
      <c r="O64" s="1712">
        <f t="shared" si="2"/>
        <v>2159</v>
      </c>
      <c r="P64" s="1289">
        <f>SUM(I64:O64)</f>
        <v>169279</v>
      </c>
      <c r="Q64" s="1640"/>
    </row>
    <row r="65" spans="1:17" ht="18" customHeight="1" x14ac:dyDescent="0.35">
      <c r="A65" s="1452">
        <v>56</v>
      </c>
      <c r="B65" s="1476"/>
      <c r="C65" s="1197"/>
      <c r="D65" s="1388" t="s">
        <v>245</v>
      </c>
      <c r="E65" s="1483"/>
      <c r="F65" s="1483"/>
      <c r="G65" s="1634"/>
      <c r="H65" s="1630"/>
      <c r="I65" s="1493">
        <f t="shared" si="2"/>
        <v>0</v>
      </c>
      <c r="J65" s="1493">
        <f t="shared" si="2"/>
        <v>0</v>
      </c>
      <c r="K65" s="1493">
        <f t="shared" si="2"/>
        <v>0</v>
      </c>
      <c r="L65" s="1493">
        <f t="shared" si="2"/>
        <v>0</v>
      </c>
      <c r="M65" s="1493">
        <f t="shared" si="2"/>
        <v>0</v>
      </c>
      <c r="N65" s="1493">
        <f t="shared" si="2"/>
        <v>0</v>
      </c>
      <c r="O65" s="1493">
        <f t="shared" si="2"/>
        <v>0</v>
      </c>
      <c r="P65" s="1217">
        <f>SUM(J65:O65)</f>
        <v>0</v>
      </c>
      <c r="Q65" s="1631"/>
    </row>
    <row r="66" spans="1:17" ht="18" customHeight="1" x14ac:dyDescent="0.35">
      <c r="A66" s="1452">
        <v>57</v>
      </c>
      <c r="B66" s="1476"/>
      <c r="C66" s="1664"/>
      <c r="D66" s="1665" t="s">
        <v>233</v>
      </c>
      <c r="E66" s="1666"/>
      <c r="F66" s="1666"/>
      <c r="G66" s="1667"/>
      <c r="H66" s="1668"/>
      <c r="I66" s="1669">
        <f t="shared" ref="I66:O66" si="3">SUM(I64:I65)</f>
        <v>0</v>
      </c>
      <c r="J66" s="1669">
        <f t="shared" si="3"/>
        <v>0</v>
      </c>
      <c r="K66" s="1669">
        <f t="shared" si="3"/>
        <v>34905</v>
      </c>
      <c r="L66" s="1669">
        <f t="shared" si="3"/>
        <v>1271</v>
      </c>
      <c r="M66" s="1669">
        <f t="shared" si="3"/>
        <v>130944</v>
      </c>
      <c r="N66" s="1669">
        <f t="shared" si="3"/>
        <v>0</v>
      </c>
      <c r="O66" s="1669">
        <f t="shared" si="3"/>
        <v>2159</v>
      </c>
      <c r="P66" s="1406">
        <f>SUM(J66:O66)</f>
        <v>169279</v>
      </c>
      <c r="Q66" s="1705"/>
    </row>
    <row r="67" spans="1:17" ht="24.75" customHeight="1" x14ac:dyDescent="0.35">
      <c r="A67" s="1452">
        <v>58</v>
      </c>
      <c r="B67" s="1476"/>
      <c r="C67" s="1693">
        <v>34</v>
      </c>
      <c r="D67" s="1618" t="s">
        <v>303</v>
      </c>
      <c r="E67" s="1307"/>
      <c r="F67" s="1307"/>
      <c r="G67" s="1706"/>
      <c r="H67" s="1722" t="s">
        <v>296</v>
      </c>
      <c r="I67" s="1723"/>
      <c r="J67" s="1723"/>
      <c r="K67" s="1723"/>
      <c r="L67" s="1723"/>
      <c r="M67" s="1723"/>
      <c r="N67" s="1723"/>
      <c r="O67" s="1723"/>
      <c r="P67" s="1303"/>
      <c r="Q67" s="1707"/>
    </row>
    <row r="68" spans="1:17" ht="18" customHeight="1" x14ac:dyDescent="0.35">
      <c r="A68" s="1452">
        <v>59</v>
      </c>
      <c r="B68" s="1476"/>
      <c r="C68" s="1693"/>
      <c r="D68" s="1568" t="s">
        <v>1013</v>
      </c>
      <c r="E68" s="1468">
        <f>F68+G68+P72</f>
        <v>24043</v>
      </c>
      <c r="F68" s="1456">
        <v>182</v>
      </c>
      <c r="G68" s="1718">
        <v>14393</v>
      </c>
      <c r="H68" s="1719"/>
      <c r="I68" s="1723"/>
      <c r="J68" s="1723"/>
      <c r="K68" s="1724"/>
      <c r="L68" s="1724"/>
      <c r="M68" s="1724"/>
      <c r="N68" s="1723"/>
      <c r="O68" s="1723"/>
      <c r="P68" s="1303"/>
      <c r="Q68" s="1707"/>
    </row>
    <row r="69" spans="1:17" ht="18" customHeight="1" x14ac:dyDescent="0.35">
      <c r="A69" s="1452">
        <v>60</v>
      </c>
      <c r="B69" s="1476"/>
      <c r="C69" s="1635"/>
      <c r="D69" s="1636" t="s">
        <v>230</v>
      </c>
      <c r="E69" s="1501"/>
      <c r="F69" s="1637"/>
      <c r="G69" s="1638"/>
      <c r="H69" s="1639"/>
      <c r="I69" s="1611"/>
      <c r="J69" s="1611"/>
      <c r="K69" s="1588">
        <v>1333</v>
      </c>
      <c r="L69" s="1588"/>
      <c r="M69" s="1588">
        <v>8135</v>
      </c>
      <c r="N69" s="1611"/>
      <c r="O69" s="1611"/>
      <c r="P69" s="1507">
        <f>SUM(I69:O69)</f>
        <v>9468</v>
      </c>
      <c r="Q69" s="1640"/>
    </row>
    <row r="70" spans="1:17" ht="18" customHeight="1" x14ac:dyDescent="0.35">
      <c r="A70" s="1452">
        <v>61</v>
      </c>
      <c r="B70" s="1476"/>
      <c r="C70" s="1635"/>
      <c r="D70" s="1290" t="s">
        <v>231</v>
      </c>
      <c r="E70" s="1501"/>
      <c r="F70" s="1637"/>
      <c r="G70" s="1638"/>
      <c r="H70" s="1639"/>
      <c r="I70" s="1611"/>
      <c r="J70" s="1611"/>
      <c r="K70" s="1641">
        <v>1333</v>
      </c>
      <c r="L70" s="1641"/>
      <c r="M70" s="1641">
        <v>8135</v>
      </c>
      <c r="N70" s="1611"/>
      <c r="O70" s="1611"/>
      <c r="P70" s="1289">
        <f>SUM(I70:O70)</f>
        <v>9468</v>
      </c>
      <c r="Q70" s="1640"/>
    </row>
    <row r="71" spans="1:17" ht="18" customHeight="1" x14ac:dyDescent="0.35">
      <c r="A71" s="1452">
        <v>62</v>
      </c>
      <c r="B71" s="1476"/>
      <c r="C71" s="1197"/>
      <c r="D71" s="1388" t="s">
        <v>245</v>
      </c>
      <c r="E71" s="1468"/>
      <c r="F71" s="1483"/>
      <c r="G71" s="1634"/>
      <c r="H71" s="1630"/>
      <c r="I71" s="1491"/>
      <c r="J71" s="1491"/>
      <c r="K71" s="1489"/>
      <c r="L71" s="1489"/>
      <c r="M71" s="1489"/>
      <c r="N71" s="1491"/>
      <c r="O71" s="1491"/>
      <c r="P71" s="1217">
        <f>SUM(J71:O71)</f>
        <v>0</v>
      </c>
      <c r="Q71" s="1631"/>
    </row>
    <row r="72" spans="1:17" ht="18" customHeight="1" x14ac:dyDescent="0.35">
      <c r="A72" s="1452">
        <v>63</v>
      </c>
      <c r="B72" s="1476"/>
      <c r="C72" s="1725"/>
      <c r="D72" s="1665" t="s">
        <v>233</v>
      </c>
      <c r="E72" s="1726"/>
      <c r="F72" s="1727"/>
      <c r="G72" s="1728"/>
      <c r="H72" s="1729"/>
      <c r="I72" s="1730"/>
      <c r="J72" s="1730"/>
      <c r="K72" s="1731">
        <f>SUM(K70:K71)</f>
        <v>1333</v>
      </c>
      <c r="L72" s="1731"/>
      <c r="M72" s="1731">
        <f>SUM(M70:M71)</f>
        <v>8135</v>
      </c>
      <c r="N72" s="1730"/>
      <c r="O72" s="1730"/>
      <c r="P72" s="1406">
        <f>SUM(J72:O72)</f>
        <v>9468</v>
      </c>
      <c r="Q72" s="1732"/>
    </row>
    <row r="73" spans="1:17" ht="24.75" customHeight="1" x14ac:dyDescent="0.35">
      <c r="A73" s="1452">
        <v>64</v>
      </c>
      <c r="B73" s="1476"/>
      <c r="C73" s="1693">
        <v>33</v>
      </c>
      <c r="D73" s="1618" t="s">
        <v>1014</v>
      </c>
      <c r="E73" s="1307"/>
      <c r="F73" s="1307"/>
      <c r="G73" s="1706"/>
      <c r="H73" s="1722" t="s">
        <v>296</v>
      </c>
      <c r="I73" s="1723"/>
      <c r="J73" s="1723"/>
      <c r="K73" s="1723"/>
      <c r="L73" s="1723"/>
      <c r="M73" s="1723"/>
      <c r="N73" s="1723"/>
      <c r="O73" s="1723"/>
      <c r="P73" s="1303"/>
      <c r="Q73" s="1707"/>
    </row>
    <row r="74" spans="1:17" ht="18" customHeight="1" x14ac:dyDescent="0.35">
      <c r="A74" s="1452">
        <v>65</v>
      </c>
      <c r="B74" s="1476"/>
      <c r="C74" s="1693"/>
      <c r="D74" s="1568" t="s">
        <v>1015</v>
      </c>
      <c r="E74" s="1468">
        <f>F74++G74+P78</f>
        <v>21664</v>
      </c>
      <c r="F74" s="1307"/>
      <c r="G74" s="1718">
        <v>13302</v>
      </c>
      <c r="H74" s="1719"/>
      <c r="I74" s="1723"/>
      <c r="J74" s="1723"/>
      <c r="K74" s="1723"/>
      <c r="L74" s="1723"/>
      <c r="M74" s="1723"/>
      <c r="N74" s="1723"/>
      <c r="O74" s="1723"/>
      <c r="P74" s="1303"/>
      <c r="Q74" s="1707"/>
    </row>
    <row r="75" spans="1:17" ht="18" customHeight="1" x14ac:dyDescent="0.35">
      <c r="A75" s="1452">
        <v>66</v>
      </c>
      <c r="B75" s="1476"/>
      <c r="C75" s="1635"/>
      <c r="D75" s="1636" t="s">
        <v>230</v>
      </c>
      <c r="E75" s="1637"/>
      <c r="F75" s="1637"/>
      <c r="G75" s="1638"/>
      <c r="H75" s="1639"/>
      <c r="I75" s="1611"/>
      <c r="J75" s="1611"/>
      <c r="K75" s="1588">
        <v>8362</v>
      </c>
      <c r="L75" s="1611"/>
      <c r="M75" s="1611"/>
      <c r="N75" s="1611"/>
      <c r="O75" s="1611"/>
      <c r="P75" s="1507">
        <f>SUM(I75:O75)</f>
        <v>8362</v>
      </c>
      <c r="Q75" s="1640"/>
    </row>
    <row r="76" spans="1:17" ht="18" customHeight="1" x14ac:dyDescent="0.35">
      <c r="A76" s="1452">
        <v>67</v>
      </c>
      <c r="B76" s="1476"/>
      <c r="C76" s="1635"/>
      <c r="D76" s="1290" t="s">
        <v>231</v>
      </c>
      <c r="E76" s="1637"/>
      <c r="F76" s="1637"/>
      <c r="G76" s="1638"/>
      <c r="H76" s="1639"/>
      <c r="I76" s="1611"/>
      <c r="J76" s="1611"/>
      <c r="K76" s="1641">
        <v>8362</v>
      </c>
      <c r="L76" s="1611"/>
      <c r="M76" s="1611"/>
      <c r="N76" s="1611"/>
      <c r="O76" s="1611"/>
      <c r="P76" s="1289">
        <f>SUM(I76:O76)</f>
        <v>8362</v>
      </c>
      <c r="Q76" s="1640"/>
    </row>
    <row r="77" spans="1:17" ht="18" customHeight="1" x14ac:dyDescent="0.35">
      <c r="A77" s="1452">
        <v>68</v>
      </c>
      <c r="B77" s="1476"/>
      <c r="C77" s="1627"/>
      <c r="D77" s="1484" t="s">
        <v>245</v>
      </c>
      <c r="E77" s="1483"/>
      <c r="F77" s="1483"/>
      <c r="G77" s="1634"/>
      <c r="H77" s="1630"/>
      <c r="I77" s="1491"/>
      <c r="J77" s="1491"/>
      <c r="K77" s="1489"/>
      <c r="L77" s="1491"/>
      <c r="M77" s="1491"/>
      <c r="N77" s="1491"/>
      <c r="O77" s="1491"/>
      <c r="P77" s="1217">
        <f>SUM(J77:O77)</f>
        <v>0</v>
      </c>
      <c r="Q77" s="1631"/>
    </row>
    <row r="78" spans="1:17" ht="18" customHeight="1" x14ac:dyDescent="0.35">
      <c r="A78" s="1452">
        <v>69</v>
      </c>
      <c r="B78" s="1476"/>
      <c r="C78" s="1684"/>
      <c r="D78" s="1733" t="s">
        <v>233</v>
      </c>
      <c r="E78" s="1666"/>
      <c r="F78" s="1666"/>
      <c r="G78" s="1667"/>
      <c r="H78" s="1668"/>
      <c r="I78" s="1669"/>
      <c r="J78" s="1669"/>
      <c r="K78" s="1734">
        <f>SUM(K76:K77)</f>
        <v>8362</v>
      </c>
      <c r="L78" s="1669"/>
      <c r="M78" s="1669"/>
      <c r="N78" s="1669"/>
      <c r="O78" s="1669"/>
      <c r="P78" s="1406">
        <f>SUM(J78:O78)</f>
        <v>8362</v>
      </c>
      <c r="Q78" s="1735"/>
    </row>
    <row r="79" spans="1:17" ht="24.75" customHeight="1" x14ac:dyDescent="0.35">
      <c r="A79" s="1452">
        <v>70</v>
      </c>
      <c r="B79" s="1476"/>
      <c r="C79" s="1693">
        <v>40</v>
      </c>
      <c r="D79" s="1618" t="s">
        <v>304</v>
      </c>
      <c r="E79" s="1307"/>
      <c r="F79" s="1307"/>
      <c r="G79" s="1706"/>
      <c r="H79" s="1722" t="s">
        <v>296</v>
      </c>
      <c r="I79" s="1723"/>
      <c r="J79" s="1723"/>
      <c r="K79" s="1723"/>
      <c r="L79" s="1723"/>
      <c r="M79" s="1723"/>
      <c r="N79" s="1723"/>
      <c r="O79" s="1723"/>
      <c r="P79" s="1303"/>
      <c r="Q79" s="1707"/>
    </row>
    <row r="80" spans="1:17" ht="18" customHeight="1" x14ac:dyDescent="0.35">
      <c r="A80" s="1452">
        <v>71</v>
      </c>
      <c r="B80" s="1476"/>
      <c r="C80" s="1693"/>
      <c r="D80" s="1568" t="s">
        <v>1016</v>
      </c>
      <c r="E80" s="1468">
        <f>F80+G80+P84+4973-720-95</f>
        <v>267194</v>
      </c>
      <c r="F80" s="1307"/>
      <c r="G80" s="1718">
        <v>240048</v>
      </c>
      <c r="H80" s="1719"/>
      <c r="I80" s="1723"/>
      <c r="J80" s="1723"/>
      <c r="K80" s="1723"/>
      <c r="L80" s="1723"/>
      <c r="M80" s="1723"/>
      <c r="N80" s="1723"/>
      <c r="O80" s="1723"/>
      <c r="P80" s="1303"/>
      <c r="Q80" s="1707"/>
    </row>
    <row r="81" spans="1:17" ht="18" customHeight="1" x14ac:dyDescent="0.35">
      <c r="A81" s="1452">
        <v>72</v>
      </c>
      <c r="B81" s="1476"/>
      <c r="C81" s="1635"/>
      <c r="D81" s="1636" t="s">
        <v>230</v>
      </c>
      <c r="E81" s="1501"/>
      <c r="F81" s="1637"/>
      <c r="G81" s="1638"/>
      <c r="H81" s="1639"/>
      <c r="I81" s="1588">
        <v>1285</v>
      </c>
      <c r="J81" s="1588">
        <v>225</v>
      </c>
      <c r="K81" s="1588">
        <v>20663</v>
      </c>
      <c r="L81" s="1588"/>
      <c r="M81" s="1588"/>
      <c r="N81" s="1611"/>
      <c r="O81" s="1611"/>
      <c r="P81" s="1507">
        <f>SUM(I81:O81)</f>
        <v>22173</v>
      </c>
      <c r="Q81" s="1640"/>
    </row>
    <row r="82" spans="1:17" ht="18" customHeight="1" x14ac:dyDescent="0.35">
      <c r="A82" s="1452">
        <v>73</v>
      </c>
      <c r="B82" s="1476"/>
      <c r="C82" s="1635"/>
      <c r="D82" s="1290" t="s">
        <v>231</v>
      </c>
      <c r="E82" s="1501"/>
      <c r="F82" s="1637"/>
      <c r="G82" s="1638"/>
      <c r="H82" s="1639"/>
      <c r="I82" s="1641">
        <v>417</v>
      </c>
      <c r="J82" s="1641">
        <v>49</v>
      </c>
      <c r="K82" s="1641">
        <v>18484</v>
      </c>
      <c r="L82" s="1641">
        <v>4038</v>
      </c>
      <c r="M82" s="1641"/>
      <c r="N82" s="1611"/>
      <c r="O82" s="1611"/>
      <c r="P82" s="1289">
        <f>SUM(I82:O82)</f>
        <v>22988</v>
      </c>
      <c r="Q82" s="1640"/>
    </row>
    <row r="83" spans="1:17" ht="18" customHeight="1" x14ac:dyDescent="0.35">
      <c r="A83" s="1452">
        <v>74</v>
      </c>
      <c r="B83" s="1476"/>
      <c r="C83" s="1627"/>
      <c r="D83" s="1484" t="s">
        <v>232</v>
      </c>
      <c r="E83" s="1468"/>
      <c r="F83" s="1483"/>
      <c r="G83" s="1634"/>
      <c r="H83" s="1630"/>
      <c r="I83" s="1493"/>
      <c r="J83" s="1493"/>
      <c r="K83" s="1493"/>
      <c r="L83" s="1493"/>
      <c r="M83" s="1489"/>
      <c r="N83" s="1491"/>
      <c r="O83" s="1491"/>
      <c r="P83" s="1217">
        <f>SUM(I83:O83)</f>
        <v>0</v>
      </c>
      <c r="Q83" s="1631"/>
    </row>
    <row r="84" spans="1:17" ht="18" customHeight="1" x14ac:dyDescent="0.35">
      <c r="A84" s="1452">
        <v>75</v>
      </c>
      <c r="B84" s="1476"/>
      <c r="C84" s="1684"/>
      <c r="D84" s="1733" t="s">
        <v>233</v>
      </c>
      <c r="E84" s="1703"/>
      <c r="F84" s="1666"/>
      <c r="G84" s="1667"/>
      <c r="H84" s="1668"/>
      <c r="I84" s="1734">
        <f>SUM(I82:I83)</f>
        <v>417</v>
      </c>
      <c r="J84" s="1734">
        <f>SUM(J82:J83)</f>
        <v>49</v>
      </c>
      <c r="K84" s="1734">
        <f>SUM(K82:K83)</f>
        <v>18484</v>
      </c>
      <c r="L84" s="1734">
        <f>SUM(L82:L83)</f>
        <v>4038</v>
      </c>
      <c r="M84" s="1736"/>
      <c r="N84" s="1669"/>
      <c r="O84" s="1669"/>
      <c r="P84" s="1406">
        <f>SUM(I84:O84)</f>
        <v>22988</v>
      </c>
      <c r="Q84" s="1705"/>
    </row>
    <row r="85" spans="1:17" ht="24.75" customHeight="1" x14ac:dyDescent="0.35">
      <c r="A85" s="1452">
        <v>76</v>
      </c>
      <c r="B85" s="1476"/>
      <c r="C85" s="1693">
        <v>41</v>
      </c>
      <c r="D85" s="1618" t="s">
        <v>306</v>
      </c>
      <c r="E85" s="1307"/>
      <c r="F85" s="1307"/>
      <c r="G85" s="1706"/>
      <c r="H85" s="1722" t="s">
        <v>296</v>
      </c>
      <c r="I85" s="1723"/>
      <c r="J85" s="1723"/>
      <c r="K85" s="1723"/>
      <c r="L85" s="1723"/>
      <c r="M85" s="1723"/>
      <c r="N85" s="1723"/>
      <c r="O85" s="1723"/>
      <c r="P85" s="1303"/>
      <c r="Q85" s="1707"/>
    </row>
    <row r="86" spans="1:17" ht="18" customHeight="1" x14ac:dyDescent="0.35">
      <c r="A86" s="1452">
        <v>77</v>
      </c>
      <c r="B86" s="1476"/>
      <c r="C86" s="1693"/>
      <c r="D86" s="1568" t="s">
        <v>1017</v>
      </c>
      <c r="E86" s="1468">
        <f>F86+G86+P90+126</f>
        <v>770373</v>
      </c>
      <c r="F86" s="1307"/>
      <c r="G86" s="1718">
        <v>512933</v>
      </c>
      <c r="H86" s="1719"/>
      <c r="I86" s="1723"/>
      <c r="J86" s="1723"/>
      <c r="K86" s="1723"/>
      <c r="L86" s="1723"/>
      <c r="M86" s="1723"/>
      <c r="N86" s="1723"/>
      <c r="O86" s="1723"/>
      <c r="P86" s="1303"/>
      <c r="Q86" s="1707"/>
    </row>
    <row r="87" spans="1:17" ht="18" customHeight="1" x14ac:dyDescent="0.35">
      <c r="A87" s="1452">
        <v>78</v>
      </c>
      <c r="B87" s="1476"/>
      <c r="C87" s="1635"/>
      <c r="D87" s="1636" t="s">
        <v>230</v>
      </c>
      <c r="E87" s="1501"/>
      <c r="F87" s="1637"/>
      <c r="G87" s="1638"/>
      <c r="H87" s="1639"/>
      <c r="I87" s="1611"/>
      <c r="J87" s="1611"/>
      <c r="K87" s="1588">
        <v>7656</v>
      </c>
      <c r="L87" s="1611"/>
      <c r="M87" s="1588">
        <v>249658</v>
      </c>
      <c r="N87" s="1611"/>
      <c r="O87" s="1611"/>
      <c r="P87" s="1507">
        <f>SUM(I87:O87)</f>
        <v>257314</v>
      </c>
      <c r="Q87" s="1640"/>
    </row>
    <row r="88" spans="1:17" ht="18" customHeight="1" x14ac:dyDescent="0.35">
      <c r="A88" s="1452">
        <v>79</v>
      </c>
      <c r="B88" s="1476"/>
      <c r="C88" s="1635"/>
      <c r="D88" s="1290" t="s">
        <v>231</v>
      </c>
      <c r="E88" s="1501"/>
      <c r="F88" s="1637"/>
      <c r="G88" s="1638"/>
      <c r="H88" s="1639"/>
      <c r="I88" s="1712"/>
      <c r="J88" s="1712"/>
      <c r="K88" s="1679">
        <v>7656</v>
      </c>
      <c r="L88" s="1712"/>
      <c r="M88" s="1679">
        <v>249658</v>
      </c>
      <c r="N88" s="1712"/>
      <c r="O88" s="1712"/>
      <c r="P88" s="1289">
        <f>SUM(I88:O88)</f>
        <v>257314</v>
      </c>
      <c r="Q88" s="1640"/>
    </row>
    <row r="89" spans="1:17" ht="18" customHeight="1" x14ac:dyDescent="0.35">
      <c r="A89" s="1452">
        <v>80</v>
      </c>
      <c r="B89" s="1476"/>
      <c r="C89" s="1627"/>
      <c r="D89" s="1484" t="s">
        <v>245</v>
      </c>
      <c r="E89" s="1468"/>
      <c r="F89" s="1483"/>
      <c r="G89" s="1634"/>
      <c r="H89" s="1630"/>
      <c r="I89" s="1494"/>
      <c r="J89" s="1494"/>
      <c r="K89" s="1569"/>
      <c r="L89" s="1494"/>
      <c r="M89" s="1569"/>
      <c r="N89" s="1494"/>
      <c r="O89" s="1494"/>
      <c r="P89" s="1217">
        <f>SUM(J89:O89)</f>
        <v>0</v>
      </c>
      <c r="Q89" s="1631"/>
    </row>
    <row r="90" spans="1:17" ht="18" customHeight="1" x14ac:dyDescent="0.35">
      <c r="A90" s="1452">
        <v>81</v>
      </c>
      <c r="B90" s="1476"/>
      <c r="C90" s="1684"/>
      <c r="D90" s="1733" t="s">
        <v>233</v>
      </c>
      <c r="E90" s="1703"/>
      <c r="F90" s="1666"/>
      <c r="G90" s="1667"/>
      <c r="H90" s="1668"/>
      <c r="I90" s="1737"/>
      <c r="J90" s="1737"/>
      <c r="K90" s="1690">
        <f>SUM(K88:K89)</f>
        <v>7656</v>
      </c>
      <c r="L90" s="1690"/>
      <c r="M90" s="1690">
        <f>SUM(M88:M89)</f>
        <v>249658</v>
      </c>
      <c r="N90" s="1737"/>
      <c r="O90" s="1737"/>
      <c r="P90" s="1406">
        <f>SUM(J90:O90)</f>
        <v>257314</v>
      </c>
      <c r="Q90" s="1705"/>
    </row>
    <row r="91" spans="1:17" ht="24.75" customHeight="1" x14ac:dyDescent="0.35">
      <c r="A91" s="1452">
        <v>82</v>
      </c>
      <c r="B91" s="1476"/>
      <c r="C91" s="1693">
        <v>42</v>
      </c>
      <c r="D91" s="1618" t="s">
        <v>307</v>
      </c>
      <c r="E91" s="1307"/>
      <c r="F91" s="1307"/>
      <c r="G91" s="1706"/>
      <c r="H91" s="1722" t="s">
        <v>296</v>
      </c>
      <c r="I91" s="1620"/>
      <c r="J91" s="1620"/>
      <c r="K91" s="1620"/>
      <c r="L91" s="1620"/>
      <c r="M91" s="1620"/>
      <c r="N91" s="1620"/>
      <c r="O91" s="1620"/>
      <c r="P91" s="1303"/>
      <c r="Q91" s="1707"/>
    </row>
    <row r="92" spans="1:17" ht="18" customHeight="1" x14ac:dyDescent="0.35">
      <c r="A92" s="1452">
        <v>83</v>
      </c>
      <c r="B92" s="1476"/>
      <c r="C92" s="1627"/>
      <c r="D92" s="1568" t="s">
        <v>1018</v>
      </c>
      <c r="E92" s="1468">
        <f>F92+G92+P96+705+706</f>
        <v>315423</v>
      </c>
      <c r="F92" s="1483"/>
      <c r="G92" s="1596">
        <v>270740</v>
      </c>
      <c r="H92" s="1630"/>
      <c r="I92" s="1724"/>
      <c r="J92" s="1724"/>
      <c r="K92" s="1724"/>
      <c r="L92" s="1724"/>
      <c r="M92" s="1724"/>
      <c r="N92" s="1494"/>
      <c r="O92" s="1494"/>
      <c r="P92" s="1222"/>
      <c r="Q92" s="1631"/>
    </row>
    <row r="93" spans="1:17" ht="18" customHeight="1" x14ac:dyDescent="0.35">
      <c r="A93" s="1452">
        <v>84</v>
      </c>
      <c r="B93" s="1476"/>
      <c r="C93" s="1635"/>
      <c r="D93" s="1636" t="s">
        <v>230</v>
      </c>
      <c r="E93" s="1501"/>
      <c r="F93" s="1637"/>
      <c r="G93" s="1711"/>
      <c r="H93" s="1639"/>
      <c r="I93" s="1588">
        <v>519</v>
      </c>
      <c r="J93" s="1588">
        <v>1868</v>
      </c>
      <c r="K93" s="1588">
        <v>34837</v>
      </c>
      <c r="L93" s="1588"/>
      <c r="M93" s="1588"/>
      <c r="N93" s="1712"/>
      <c r="O93" s="1712"/>
      <c r="P93" s="1507">
        <f>SUM(I93:O93)</f>
        <v>37224</v>
      </c>
      <c r="Q93" s="1640"/>
    </row>
    <row r="94" spans="1:17" ht="18" customHeight="1" x14ac:dyDescent="0.35">
      <c r="A94" s="1452">
        <v>85</v>
      </c>
      <c r="B94" s="1476"/>
      <c r="C94" s="1635"/>
      <c r="D94" s="1290" t="s">
        <v>231</v>
      </c>
      <c r="E94" s="1501"/>
      <c r="F94" s="1637"/>
      <c r="G94" s="1711"/>
      <c r="H94" s="1639"/>
      <c r="I94" s="1679">
        <v>500</v>
      </c>
      <c r="J94" s="1679">
        <v>1872</v>
      </c>
      <c r="K94" s="1679">
        <v>31174</v>
      </c>
      <c r="L94" s="1679">
        <v>9726</v>
      </c>
      <c r="M94" s="1679"/>
      <c r="N94" s="1712"/>
      <c r="O94" s="1712"/>
      <c r="P94" s="1289">
        <f>SUM(I94:O94)</f>
        <v>43272</v>
      </c>
      <c r="Q94" s="1640"/>
    </row>
    <row r="95" spans="1:17" ht="18" customHeight="1" x14ac:dyDescent="0.35">
      <c r="A95" s="1452">
        <v>86</v>
      </c>
      <c r="B95" s="1476"/>
      <c r="C95" s="1627"/>
      <c r="D95" s="1388" t="s">
        <v>232</v>
      </c>
      <c r="E95" s="1468"/>
      <c r="F95" s="1483"/>
      <c r="G95" s="1596"/>
      <c r="H95" s="1630"/>
      <c r="I95" s="1590"/>
      <c r="J95" s="1590"/>
      <c r="K95" s="1590"/>
      <c r="L95" s="1590"/>
      <c r="M95" s="1569"/>
      <c r="N95" s="1494"/>
      <c r="O95" s="1494"/>
      <c r="P95" s="1217">
        <f>SUM(I95:O95)</f>
        <v>0</v>
      </c>
      <c r="Q95" s="1631"/>
    </row>
    <row r="96" spans="1:17" ht="18" customHeight="1" x14ac:dyDescent="0.35">
      <c r="A96" s="1452">
        <v>87</v>
      </c>
      <c r="B96" s="1476"/>
      <c r="C96" s="1684"/>
      <c r="D96" s="1665" t="s">
        <v>233</v>
      </c>
      <c r="E96" s="1703"/>
      <c r="F96" s="1666"/>
      <c r="G96" s="1687"/>
      <c r="H96" s="1668"/>
      <c r="I96" s="1690">
        <f>SUM(I94:I95)</f>
        <v>500</v>
      </c>
      <c r="J96" s="1690">
        <f>SUM(J94:J95)</f>
        <v>1872</v>
      </c>
      <c r="K96" s="1690">
        <f>SUM(K94:K95)</f>
        <v>31174</v>
      </c>
      <c r="L96" s="1690">
        <f>SUM(L94:L95)</f>
        <v>9726</v>
      </c>
      <c r="M96" s="1738"/>
      <c r="N96" s="1737"/>
      <c r="O96" s="1737"/>
      <c r="P96" s="1406">
        <f>SUM(I96:O96)</f>
        <v>43272</v>
      </c>
      <c r="Q96" s="1705"/>
    </row>
    <row r="97" spans="1:17" ht="24.75" customHeight="1" x14ac:dyDescent="0.35">
      <c r="A97" s="1452">
        <v>88</v>
      </c>
      <c r="B97" s="1476"/>
      <c r="C97" s="1693">
        <v>43</v>
      </c>
      <c r="D97" s="1618" t="s">
        <v>346</v>
      </c>
      <c r="E97" s="1307"/>
      <c r="F97" s="1307"/>
      <c r="G97" s="1706"/>
      <c r="H97" s="1722" t="s">
        <v>296</v>
      </c>
      <c r="I97" s="1620"/>
      <c r="J97" s="1620"/>
      <c r="K97" s="1620"/>
      <c r="L97" s="1620"/>
      <c r="M97" s="1620"/>
      <c r="N97" s="1620"/>
      <c r="O97" s="1620"/>
      <c r="P97" s="1303"/>
      <c r="Q97" s="1707"/>
    </row>
    <row r="98" spans="1:17" ht="18" customHeight="1" x14ac:dyDescent="0.35">
      <c r="A98" s="1452">
        <v>89</v>
      </c>
      <c r="B98" s="1476"/>
      <c r="C98" s="1627"/>
      <c r="D98" s="1699" t="s">
        <v>1019</v>
      </c>
      <c r="E98" s="1467">
        <f>F98+G98+P102</f>
        <v>83433</v>
      </c>
      <c r="F98" s="1739"/>
      <c r="G98" s="1709">
        <v>10554</v>
      </c>
      <c r="H98" s="1630"/>
      <c r="I98" s="1494"/>
      <c r="J98" s="1494"/>
      <c r="K98" s="1494"/>
      <c r="L98" s="1494"/>
      <c r="M98" s="1494"/>
      <c r="N98" s="1494"/>
      <c r="O98" s="1494"/>
      <c r="P98" s="1222"/>
      <c r="Q98" s="1631"/>
    </row>
    <row r="99" spans="1:17" ht="18" customHeight="1" x14ac:dyDescent="0.35">
      <c r="A99" s="1452">
        <v>90</v>
      </c>
      <c r="B99" s="1476"/>
      <c r="C99" s="1635"/>
      <c r="D99" s="1636" t="s">
        <v>230</v>
      </c>
      <c r="E99" s="1637"/>
      <c r="F99" s="1637"/>
      <c r="G99" s="1638"/>
      <c r="H99" s="1639"/>
      <c r="I99" s="1712"/>
      <c r="J99" s="1588"/>
      <c r="K99" s="1588">
        <v>15062</v>
      </c>
      <c r="L99" s="1588"/>
      <c r="M99" s="1588">
        <v>57817</v>
      </c>
      <c r="N99" s="1588"/>
      <c r="O99" s="1588"/>
      <c r="P99" s="1507">
        <f>SUM(I99:O99)</f>
        <v>72879</v>
      </c>
      <c r="Q99" s="1640"/>
    </row>
    <row r="100" spans="1:17" ht="18" customHeight="1" x14ac:dyDescent="0.35">
      <c r="A100" s="1452">
        <v>91</v>
      </c>
      <c r="B100" s="1476"/>
      <c r="C100" s="1635"/>
      <c r="D100" s="1290" t="s">
        <v>231</v>
      </c>
      <c r="E100" s="1637"/>
      <c r="F100" s="1740"/>
      <c r="G100" s="1638"/>
      <c r="H100" s="1639"/>
      <c r="I100" s="1712"/>
      <c r="J100" s="1679"/>
      <c r="K100" s="1679">
        <v>6020</v>
      </c>
      <c r="L100" s="1679">
        <v>486</v>
      </c>
      <c r="M100" s="1679">
        <v>66373</v>
      </c>
      <c r="N100" s="1679"/>
      <c r="O100" s="1587"/>
      <c r="P100" s="1289">
        <f>SUM(I100:O100)</f>
        <v>72879</v>
      </c>
      <c r="Q100" s="1640"/>
    </row>
    <row r="101" spans="1:17" ht="18" customHeight="1" x14ac:dyDescent="0.35">
      <c r="A101" s="1452">
        <v>92</v>
      </c>
      <c r="B101" s="1476"/>
      <c r="C101" s="1627"/>
      <c r="D101" s="1484" t="s">
        <v>232</v>
      </c>
      <c r="E101" s="1483"/>
      <c r="F101" s="1741"/>
      <c r="G101" s="1634"/>
      <c r="H101" s="1630"/>
      <c r="I101" s="1578"/>
      <c r="J101" s="1590"/>
      <c r="K101" s="1590"/>
      <c r="L101" s="1590"/>
      <c r="M101" s="1590"/>
      <c r="N101" s="1569"/>
      <c r="O101" s="1569"/>
      <c r="P101" s="1217">
        <f>SUM(J101:O101)</f>
        <v>0</v>
      </c>
      <c r="Q101" s="1631"/>
    </row>
    <row r="102" spans="1:17" ht="18" customHeight="1" x14ac:dyDescent="0.35">
      <c r="A102" s="1452">
        <v>93</v>
      </c>
      <c r="B102" s="1476"/>
      <c r="C102" s="1684"/>
      <c r="D102" s="1733" t="s">
        <v>233</v>
      </c>
      <c r="E102" s="1666"/>
      <c r="F102" s="1742"/>
      <c r="G102" s="1667"/>
      <c r="H102" s="1668"/>
      <c r="I102" s="1737"/>
      <c r="J102" s="1738"/>
      <c r="K102" s="1690">
        <f>SUM(K100:K101)</f>
        <v>6020</v>
      </c>
      <c r="L102" s="1690">
        <f>SUM(L100:L101)</f>
        <v>486</v>
      </c>
      <c r="M102" s="1690">
        <f>SUM(M100:M101)</f>
        <v>66373</v>
      </c>
      <c r="N102" s="1738"/>
      <c r="O102" s="1738"/>
      <c r="P102" s="1406">
        <f>SUM(J102:O102)</f>
        <v>72879</v>
      </c>
      <c r="Q102" s="1705"/>
    </row>
    <row r="103" spans="1:17" ht="24.75" customHeight="1" x14ac:dyDescent="0.35">
      <c r="A103" s="1452">
        <v>94</v>
      </c>
      <c r="B103" s="1476"/>
      <c r="C103" s="1693">
        <v>44</v>
      </c>
      <c r="D103" s="1618" t="s">
        <v>308</v>
      </c>
      <c r="E103" s="1307"/>
      <c r="F103" s="1673"/>
      <c r="H103" s="1459" t="s">
        <v>296</v>
      </c>
      <c r="I103" s="1674"/>
      <c r="J103" s="1674"/>
      <c r="K103" s="1674"/>
      <c r="L103" s="1675"/>
      <c r="M103" s="1592"/>
      <c r="N103" s="1675"/>
      <c r="O103" s="1675"/>
      <c r="P103" s="1676"/>
      <c r="Q103" s="1595"/>
    </row>
    <row r="104" spans="1:17" ht="34.5" customHeight="1" x14ac:dyDescent="0.35">
      <c r="A104" s="1452">
        <v>95</v>
      </c>
      <c r="B104" s="1476"/>
      <c r="C104" s="1635"/>
      <c r="D104" s="1743" t="s">
        <v>1020</v>
      </c>
      <c r="E104" s="1527">
        <f>F104+G104+P108+206+360</f>
        <v>2925340</v>
      </c>
      <c r="F104" s="1490"/>
      <c r="G104" s="1744">
        <v>905049</v>
      </c>
      <c r="H104" s="1479"/>
      <c r="I104" s="1683"/>
      <c r="J104" s="1683"/>
      <c r="K104" s="1683"/>
      <c r="L104" s="1582"/>
      <c r="M104" s="1569"/>
      <c r="N104" s="1582"/>
      <c r="O104" s="1582"/>
      <c r="P104" s="1745"/>
      <c r="Q104" s="1475"/>
    </row>
    <row r="105" spans="1:17" ht="18" customHeight="1" x14ac:dyDescent="0.35">
      <c r="A105" s="1452">
        <v>96</v>
      </c>
      <c r="B105" s="1476"/>
      <c r="C105" s="1262"/>
      <c r="D105" s="1636" t="s">
        <v>230</v>
      </c>
      <c r="E105" s="1501"/>
      <c r="F105" s="1586"/>
      <c r="G105" s="1510"/>
      <c r="H105" s="1503"/>
      <c r="I105" s="1678"/>
      <c r="J105" s="1678"/>
      <c r="K105" s="1678">
        <v>33464</v>
      </c>
      <c r="L105" s="1679"/>
      <c r="M105" s="1587">
        <v>1799084</v>
      </c>
      <c r="N105" s="1679"/>
      <c r="O105" s="1679"/>
      <c r="P105" s="1680">
        <f>SUM(I105:O105)</f>
        <v>1832548</v>
      </c>
      <c r="Q105" s="1508"/>
    </row>
    <row r="106" spans="1:17" ht="18" customHeight="1" x14ac:dyDescent="0.35">
      <c r="A106" s="1452">
        <v>97</v>
      </c>
      <c r="B106" s="1476"/>
      <c r="C106" s="1635"/>
      <c r="D106" s="1290" t="s">
        <v>231</v>
      </c>
      <c r="E106" s="1501"/>
      <c r="F106" s="1586"/>
      <c r="G106" s="1596"/>
      <c r="H106" s="1746"/>
      <c r="I106" s="1678"/>
      <c r="J106" s="1678"/>
      <c r="K106" s="1679">
        <v>60989</v>
      </c>
      <c r="L106" s="1679"/>
      <c r="M106" s="1679">
        <v>1958736</v>
      </c>
      <c r="N106" s="1679"/>
      <c r="O106" s="1679"/>
      <c r="P106" s="1289">
        <f>SUM(I106:O106)</f>
        <v>2019725</v>
      </c>
      <c r="Q106" s="1682"/>
    </row>
    <row r="107" spans="1:17" ht="18" customHeight="1" x14ac:dyDescent="0.35">
      <c r="A107" s="1452">
        <v>98</v>
      </c>
      <c r="B107" s="1476"/>
      <c r="C107" s="1635"/>
      <c r="D107" s="1484" t="s">
        <v>232</v>
      </c>
      <c r="E107" s="1501"/>
      <c r="F107" s="1586"/>
      <c r="G107" s="1633"/>
      <c r="H107" s="1746"/>
      <c r="I107" s="1678"/>
      <c r="J107" s="1678"/>
      <c r="K107" s="1747"/>
      <c r="L107" s="1679"/>
      <c r="M107" s="1679"/>
      <c r="N107" s="1679"/>
      <c r="O107" s="1679"/>
      <c r="P107" s="1217">
        <f>SUM(J107:O107)</f>
        <v>0</v>
      </c>
      <c r="Q107" s="1682"/>
    </row>
    <row r="108" spans="1:17" ht="18" customHeight="1" x14ac:dyDescent="0.35">
      <c r="A108" s="1452">
        <v>99</v>
      </c>
      <c r="B108" s="1476"/>
      <c r="C108" s="1684"/>
      <c r="D108" s="1665" t="s">
        <v>233</v>
      </c>
      <c r="E108" s="1703"/>
      <c r="F108" s="1686"/>
      <c r="G108" s="1748"/>
      <c r="H108" s="1688"/>
      <c r="I108" s="1689"/>
      <c r="J108" s="1689"/>
      <c r="K108" s="1690">
        <f>SUM(K106:K107)</f>
        <v>60989</v>
      </c>
      <c r="L108" s="1690"/>
      <c r="M108" s="1690">
        <f>SUM(M106:M107)</f>
        <v>1958736</v>
      </c>
      <c r="N108" s="1690"/>
      <c r="O108" s="1690"/>
      <c r="P108" s="1406">
        <f>SUM(J108:O108)</f>
        <v>2019725</v>
      </c>
      <c r="Q108" s="1691"/>
    </row>
    <row r="109" spans="1:17" ht="24.75" customHeight="1" x14ac:dyDescent="0.35">
      <c r="A109" s="1452">
        <v>100</v>
      </c>
      <c r="B109" s="1476"/>
      <c r="C109" s="1693">
        <v>46</v>
      </c>
      <c r="D109" s="1618" t="s">
        <v>309</v>
      </c>
      <c r="E109" s="1307"/>
      <c r="F109" s="1307"/>
      <c r="G109" s="1706"/>
      <c r="H109" s="1722" t="s">
        <v>296</v>
      </c>
      <c r="I109" s="1620"/>
      <c r="J109" s="1620"/>
      <c r="K109" s="1620"/>
      <c r="L109" s="1620"/>
      <c r="M109" s="1620"/>
      <c r="N109" s="1620"/>
      <c r="O109" s="1620"/>
      <c r="P109" s="1303"/>
      <c r="Q109" s="1707"/>
    </row>
    <row r="110" spans="1:17" ht="18" customHeight="1" x14ac:dyDescent="0.35">
      <c r="A110" s="1452">
        <v>101</v>
      </c>
      <c r="B110" s="1476"/>
      <c r="C110" s="1627"/>
      <c r="D110" s="1699" t="s">
        <v>1021</v>
      </c>
      <c r="E110" s="1467">
        <f>F110+G110+P114</f>
        <v>396511</v>
      </c>
      <c r="F110" s="1483"/>
      <c r="G110" s="1596">
        <v>300022</v>
      </c>
      <c r="H110" s="1630"/>
      <c r="I110" s="1494"/>
      <c r="J110" s="1494"/>
      <c r="K110" s="1494"/>
      <c r="L110" s="1494"/>
      <c r="M110" s="1494"/>
      <c r="N110" s="1494"/>
      <c r="O110" s="1494"/>
      <c r="P110" s="1222"/>
      <c r="Q110" s="1631"/>
    </row>
    <row r="111" spans="1:17" ht="18" customHeight="1" x14ac:dyDescent="0.35">
      <c r="A111" s="1452">
        <v>102</v>
      </c>
      <c r="B111" s="1476"/>
      <c r="C111" s="1635"/>
      <c r="D111" s="1636" t="s">
        <v>230</v>
      </c>
      <c r="E111" s="1637"/>
      <c r="F111" s="1637"/>
      <c r="G111" s="1638"/>
      <c r="H111" s="1639"/>
      <c r="I111" s="1712"/>
      <c r="J111" s="1712"/>
      <c r="K111" s="1588">
        <v>1145</v>
      </c>
      <c r="L111" s="1588"/>
      <c r="M111" s="1588">
        <v>95294</v>
      </c>
      <c r="N111" s="1712"/>
      <c r="O111" s="1712"/>
      <c r="P111" s="1507">
        <f>SUM(I111:O111)</f>
        <v>96439</v>
      </c>
      <c r="Q111" s="1640"/>
    </row>
    <row r="112" spans="1:17" ht="18" customHeight="1" x14ac:dyDescent="0.35">
      <c r="A112" s="1452">
        <v>103</v>
      </c>
      <c r="B112" s="1476"/>
      <c r="C112" s="1635"/>
      <c r="D112" s="1290" t="s">
        <v>231</v>
      </c>
      <c r="E112" s="1637"/>
      <c r="F112" s="1637"/>
      <c r="G112" s="1638"/>
      <c r="H112" s="1639"/>
      <c r="I112" s="1712"/>
      <c r="J112" s="1712"/>
      <c r="K112" s="1679">
        <v>1145</v>
      </c>
      <c r="L112" s="1679">
        <v>50</v>
      </c>
      <c r="M112" s="1679">
        <v>95294</v>
      </c>
      <c r="N112" s="1712"/>
      <c r="O112" s="1712"/>
      <c r="P112" s="1289">
        <f>SUM(I112:O112)</f>
        <v>96489</v>
      </c>
      <c r="Q112" s="1640"/>
    </row>
    <row r="113" spans="1:17" ht="18" customHeight="1" x14ac:dyDescent="0.35">
      <c r="A113" s="1452">
        <v>104</v>
      </c>
      <c r="B113" s="1476"/>
      <c r="C113" s="1627"/>
      <c r="D113" s="1388" t="s">
        <v>232</v>
      </c>
      <c r="E113" s="1483"/>
      <c r="F113" s="1483"/>
      <c r="G113" s="1634"/>
      <c r="H113" s="1630"/>
      <c r="I113" s="1494"/>
      <c r="J113" s="1494"/>
      <c r="K113" s="1569"/>
      <c r="L113" s="1590"/>
      <c r="M113" s="1569"/>
      <c r="N113" s="1494"/>
      <c r="O113" s="1494"/>
      <c r="P113" s="1217">
        <f>SUM(J113:O113)</f>
        <v>0</v>
      </c>
      <c r="Q113" s="1631"/>
    </row>
    <row r="114" spans="1:17" ht="18" customHeight="1" x14ac:dyDescent="0.35">
      <c r="A114" s="1452">
        <v>105</v>
      </c>
      <c r="B114" s="1476"/>
      <c r="C114" s="1684"/>
      <c r="D114" s="1665" t="s">
        <v>233</v>
      </c>
      <c r="E114" s="1666"/>
      <c r="F114" s="1666"/>
      <c r="G114" s="1667"/>
      <c r="H114" s="1668"/>
      <c r="I114" s="1737"/>
      <c r="J114" s="1737"/>
      <c r="K114" s="1690">
        <f>SUM(K112:K113)</f>
        <v>1145</v>
      </c>
      <c r="L114" s="1690">
        <f>SUM(L112:L113)</f>
        <v>50</v>
      </c>
      <c r="M114" s="1690">
        <f>SUM(M112:M113)</f>
        <v>95294</v>
      </c>
      <c r="N114" s="1737"/>
      <c r="O114" s="1737"/>
      <c r="P114" s="1406">
        <f>SUM(J114:O114)</f>
        <v>96489</v>
      </c>
      <c r="Q114" s="1705"/>
    </row>
    <row r="115" spans="1:17" ht="24.75" customHeight="1" x14ac:dyDescent="0.35">
      <c r="A115" s="1452">
        <v>106</v>
      </c>
      <c r="B115" s="1476"/>
      <c r="C115" s="1693">
        <v>47</v>
      </c>
      <c r="D115" s="1618" t="s">
        <v>312</v>
      </c>
      <c r="E115" s="1307"/>
      <c r="F115" s="1307"/>
      <c r="G115" s="1706"/>
      <c r="H115" s="1459" t="s">
        <v>296</v>
      </c>
      <c r="I115" s="1620"/>
      <c r="J115" s="1620"/>
      <c r="K115" s="1620"/>
      <c r="L115" s="1620"/>
      <c r="M115" s="1620"/>
      <c r="N115" s="1620"/>
      <c r="O115" s="1620"/>
      <c r="P115" s="1303"/>
      <c r="Q115" s="1707"/>
    </row>
    <row r="116" spans="1:17" ht="18" customHeight="1" x14ac:dyDescent="0.35">
      <c r="A116" s="1452">
        <v>107</v>
      </c>
      <c r="B116" s="1476"/>
      <c r="C116" s="1627"/>
      <c r="D116" s="1699" t="s">
        <v>1022</v>
      </c>
      <c r="E116" s="1467">
        <f>F116+G116+P120</f>
        <v>45370</v>
      </c>
      <c r="F116" s="1483"/>
      <c r="G116" s="1596">
        <v>44254</v>
      </c>
      <c r="H116" s="1630"/>
      <c r="I116" s="1494"/>
      <c r="J116" s="1494"/>
      <c r="K116" s="1494"/>
      <c r="L116" s="1494"/>
      <c r="M116" s="1494"/>
      <c r="N116" s="1494"/>
      <c r="O116" s="1494"/>
      <c r="P116" s="1222"/>
      <c r="Q116" s="1631"/>
    </row>
    <row r="117" spans="1:17" ht="18" customHeight="1" x14ac:dyDescent="0.35">
      <c r="A117" s="1452">
        <v>108</v>
      </c>
      <c r="B117" s="1476"/>
      <c r="C117" s="1635"/>
      <c r="D117" s="1636" t="s">
        <v>230</v>
      </c>
      <c r="E117" s="1637"/>
      <c r="F117" s="1637"/>
      <c r="G117" s="1638"/>
      <c r="H117" s="1639"/>
      <c r="I117" s="1712"/>
      <c r="J117" s="1712"/>
      <c r="K117" s="1588">
        <v>1089</v>
      </c>
      <c r="L117" s="1588"/>
      <c r="M117" s="1588"/>
      <c r="N117" s="1712"/>
      <c r="O117" s="1712"/>
      <c r="P117" s="1507">
        <f>SUM(I117:O117)</f>
        <v>1089</v>
      </c>
      <c r="Q117" s="1640"/>
    </row>
    <row r="118" spans="1:17" ht="18" customHeight="1" x14ac:dyDescent="0.35">
      <c r="A118" s="1452">
        <v>109</v>
      </c>
      <c r="B118" s="1476"/>
      <c r="C118" s="1635"/>
      <c r="D118" s="1290" t="s">
        <v>231</v>
      </c>
      <c r="E118" s="1637"/>
      <c r="F118" s="1637"/>
      <c r="G118" s="1638"/>
      <c r="H118" s="1639"/>
      <c r="I118" s="1712"/>
      <c r="J118" s="1712"/>
      <c r="K118" s="1679">
        <v>826</v>
      </c>
      <c r="L118" s="1679">
        <v>290</v>
      </c>
      <c r="M118" s="1679"/>
      <c r="N118" s="1712"/>
      <c r="O118" s="1712"/>
      <c r="P118" s="1289">
        <f>SUM(I118:O118)</f>
        <v>1116</v>
      </c>
      <c r="Q118" s="1640"/>
    </row>
    <row r="119" spans="1:17" ht="18" customHeight="1" x14ac:dyDescent="0.35">
      <c r="A119" s="1452">
        <v>110</v>
      </c>
      <c r="B119" s="1476"/>
      <c r="C119" s="1627"/>
      <c r="D119" s="1484" t="s">
        <v>232</v>
      </c>
      <c r="E119" s="1483"/>
      <c r="F119" s="1483"/>
      <c r="G119" s="1634"/>
      <c r="H119" s="1630"/>
      <c r="I119" s="1494"/>
      <c r="J119" s="1494"/>
      <c r="K119" s="1590"/>
      <c r="L119" s="1590"/>
      <c r="M119" s="1569"/>
      <c r="N119" s="1494"/>
      <c r="O119" s="1494"/>
      <c r="P119" s="1217">
        <f>SUM(J119:O119)</f>
        <v>0</v>
      </c>
      <c r="Q119" s="1631"/>
    </row>
    <row r="120" spans="1:17" ht="18" customHeight="1" x14ac:dyDescent="0.35">
      <c r="A120" s="1452">
        <v>111</v>
      </c>
      <c r="B120" s="1476"/>
      <c r="C120" s="1684"/>
      <c r="D120" s="1733" t="s">
        <v>233</v>
      </c>
      <c r="E120" s="1666"/>
      <c r="F120" s="1666"/>
      <c r="G120" s="1667"/>
      <c r="H120" s="1668"/>
      <c r="I120" s="1737"/>
      <c r="J120" s="1737"/>
      <c r="K120" s="1690">
        <f>SUM(K118:K119)</f>
        <v>826</v>
      </c>
      <c r="L120" s="1690">
        <f>SUM(L118:L119)</f>
        <v>290</v>
      </c>
      <c r="M120" s="1738"/>
      <c r="N120" s="1737"/>
      <c r="O120" s="1737"/>
      <c r="P120" s="1406">
        <f>SUM(J120:O120)</f>
        <v>1116</v>
      </c>
      <c r="Q120" s="1705"/>
    </row>
    <row r="121" spans="1:17" ht="24.75" customHeight="1" x14ac:dyDescent="0.35">
      <c r="A121" s="1452">
        <v>112</v>
      </c>
      <c r="B121" s="1476"/>
      <c r="C121" s="1693">
        <v>48</v>
      </c>
      <c r="D121" s="1618" t="s">
        <v>349</v>
      </c>
      <c r="E121" s="1307"/>
      <c r="F121" s="1307"/>
      <c r="G121" s="1706"/>
      <c r="H121" s="1459" t="s">
        <v>296</v>
      </c>
      <c r="I121" s="1620"/>
      <c r="J121" s="1620"/>
      <c r="K121" s="1620"/>
      <c r="L121" s="1620"/>
      <c r="M121" s="1620"/>
      <c r="N121" s="1620"/>
      <c r="O121" s="1620"/>
      <c r="P121" s="1303"/>
      <c r="Q121" s="1707"/>
    </row>
    <row r="122" spans="1:17" ht="37.5" customHeight="1" x14ac:dyDescent="0.35">
      <c r="A122" s="1452">
        <v>113</v>
      </c>
      <c r="B122" s="1476"/>
      <c r="C122" s="1627"/>
      <c r="D122" s="1749" t="s">
        <v>1023</v>
      </c>
      <c r="E122" s="1467">
        <f>F122+G122+P126</f>
        <v>39832</v>
      </c>
      <c r="F122" s="1483"/>
      <c r="G122" s="1709">
        <v>28731</v>
      </c>
      <c r="H122" s="1630"/>
      <c r="I122" s="1494"/>
      <c r="J122" s="1494"/>
      <c r="K122" s="1494"/>
      <c r="L122" s="1494"/>
      <c r="M122" s="1494"/>
      <c r="N122" s="1494"/>
      <c r="O122" s="1494"/>
      <c r="P122" s="1222"/>
      <c r="Q122" s="1631"/>
    </row>
    <row r="123" spans="1:17" ht="18" customHeight="1" x14ac:dyDescent="0.35">
      <c r="A123" s="1452">
        <v>114</v>
      </c>
      <c r="B123" s="1476"/>
      <c r="C123" s="1635"/>
      <c r="D123" s="1636" t="s">
        <v>230</v>
      </c>
      <c r="E123" s="1637"/>
      <c r="F123" s="1637"/>
      <c r="G123" s="1638"/>
      <c r="H123" s="1639"/>
      <c r="I123" s="1712"/>
      <c r="J123" s="1712"/>
      <c r="K123" s="1588">
        <v>11101</v>
      </c>
      <c r="L123" s="1588"/>
      <c r="M123" s="1588"/>
      <c r="N123" s="1712"/>
      <c r="O123" s="1712"/>
      <c r="P123" s="1507">
        <f>SUM(I123:O123)</f>
        <v>11101</v>
      </c>
      <c r="Q123" s="1640"/>
    </row>
    <row r="124" spans="1:17" ht="18" customHeight="1" x14ac:dyDescent="0.35">
      <c r="A124" s="1452">
        <v>115</v>
      </c>
      <c r="B124" s="1476"/>
      <c r="C124" s="1635"/>
      <c r="D124" s="1290" t="s">
        <v>231</v>
      </c>
      <c r="E124" s="1637"/>
      <c r="F124" s="1637"/>
      <c r="G124" s="1638"/>
      <c r="H124" s="1639"/>
      <c r="I124" s="1712"/>
      <c r="J124" s="1712"/>
      <c r="K124" s="1679">
        <v>10490</v>
      </c>
      <c r="L124" s="1679">
        <v>611</v>
      </c>
      <c r="M124" s="1679"/>
      <c r="N124" s="1712"/>
      <c r="O124" s="1712"/>
      <c r="P124" s="1289">
        <f>SUM(I124:O124)</f>
        <v>11101</v>
      </c>
      <c r="Q124" s="1640"/>
    </row>
    <row r="125" spans="1:17" ht="18" customHeight="1" x14ac:dyDescent="0.35">
      <c r="A125" s="1452">
        <v>116</v>
      </c>
      <c r="B125" s="1476"/>
      <c r="C125" s="1627"/>
      <c r="D125" s="1484" t="s">
        <v>245</v>
      </c>
      <c r="E125" s="1483"/>
      <c r="F125" s="1483"/>
      <c r="G125" s="1634"/>
      <c r="H125" s="1630"/>
      <c r="I125" s="1494"/>
      <c r="J125" s="1494"/>
      <c r="K125" s="1590"/>
      <c r="L125" s="1590"/>
      <c r="M125" s="1569"/>
      <c r="N125" s="1494"/>
      <c r="O125" s="1494"/>
      <c r="P125" s="1217">
        <f>SUM(J125:O125)</f>
        <v>0</v>
      </c>
      <c r="Q125" s="1631"/>
    </row>
    <row r="126" spans="1:17" ht="18" customHeight="1" x14ac:dyDescent="0.35">
      <c r="A126" s="1452">
        <v>117</v>
      </c>
      <c r="B126" s="1476"/>
      <c r="C126" s="1684"/>
      <c r="D126" s="1733" t="s">
        <v>233</v>
      </c>
      <c r="E126" s="1666"/>
      <c r="F126" s="1666"/>
      <c r="G126" s="1667"/>
      <c r="H126" s="1668"/>
      <c r="I126" s="1737"/>
      <c r="J126" s="1737"/>
      <c r="K126" s="1690">
        <f>SUM(K124:K125)</f>
        <v>10490</v>
      </c>
      <c r="L126" s="1690">
        <f>SUM(L124:L125)</f>
        <v>611</v>
      </c>
      <c r="M126" s="1738"/>
      <c r="N126" s="1737"/>
      <c r="O126" s="1737"/>
      <c r="P126" s="1406">
        <f>SUM(J126:O126)</f>
        <v>11101</v>
      </c>
      <c r="Q126" s="1705"/>
    </row>
    <row r="127" spans="1:17" ht="24.75" customHeight="1" x14ac:dyDescent="0.35">
      <c r="A127" s="1452">
        <v>118</v>
      </c>
      <c r="B127" s="1476"/>
      <c r="C127" s="1693">
        <v>49</v>
      </c>
      <c r="D127" s="1618" t="s">
        <v>1024</v>
      </c>
      <c r="E127" s="1307"/>
      <c r="F127" s="1307"/>
      <c r="G127" s="1706"/>
      <c r="H127" s="1459" t="s">
        <v>296</v>
      </c>
      <c r="I127" s="1620"/>
      <c r="J127" s="1620"/>
      <c r="K127" s="1620"/>
      <c r="L127" s="1620"/>
      <c r="M127" s="1620"/>
      <c r="N127" s="1620"/>
      <c r="O127" s="1620"/>
      <c r="P127" s="1303"/>
      <c r="Q127" s="1707"/>
    </row>
    <row r="128" spans="1:17" ht="18" customHeight="1" x14ac:dyDescent="0.35">
      <c r="A128" s="1452">
        <v>119</v>
      </c>
      <c r="B128" s="1476"/>
      <c r="C128" s="1627"/>
      <c r="D128" s="1750" t="s">
        <v>1025</v>
      </c>
      <c r="E128" s="1467">
        <f>F128+G128+P132</f>
        <v>438798</v>
      </c>
      <c r="F128" s="1483"/>
      <c r="G128" s="1596">
        <v>240205</v>
      </c>
      <c r="H128" s="1630"/>
      <c r="I128" s="1494"/>
      <c r="J128" s="1494"/>
      <c r="K128" s="1494"/>
      <c r="L128" s="1494"/>
      <c r="M128" s="1494"/>
      <c r="N128" s="1494"/>
      <c r="O128" s="1494"/>
      <c r="P128" s="1222"/>
      <c r="Q128" s="1631"/>
    </row>
    <row r="129" spans="1:17" ht="18" customHeight="1" x14ac:dyDescent="0.35">
      <c r="A129" s="1452">
        <v>120</v>
      </c>
      <c r="B129" s="1476"/>
      <c r="C129" s="1635"/>
      <c r="D129" s="1636" t="s">
        <v>230</v>
      </c>
      <c r="E129" s="1637"/>
      <c r="F129" s="1637"/>
      <c r="G129" s="1638"/>
      <c r="H129" s="1639"/>
      <c r="I129" s="1712"/>
      <c r="J129" s="1712"/>
      <c r="K129" s="1588">
        <v>5893</v>
      </c>
      <c r="L129" s="1588"/>
      <c r="M129" s="1588">
        <v>192700</v>
      </c>
      <c r="N129" s="1712"/>
      <c r="O129" s="1712"/>
      <c r="P129" s="1507">
        <f>SUM(I129:O129)</f>
        <v>198593</v>
      </c>
      <c r="Q129" s="1640"/>
    </row>
    <row r="130" spans="1:17" ht="18" customHeight="1" x14ac:dyDescent="0.35">
      <c r="A130" s="1452">
        <v>121</v>
      </c>
      <c r="B130" s="1476"/>
      <c r="C130" s="1635"/>
      <c r="D130" s="1290" t="s">
        <v>231</v>
      </c>
      <c r="E130" s="1637"/>
      <c r="F130" s="1637"/>
      <c r="G130" s="1638"/>
      <c r="H130" s="1639"/>
      <c r="I130" s="1712"/>
      <c r="J130" s="1712"/>
      <c r="K130" s="1679">
        <v>5893</v>
      </c>
      <c r="L130" s="1679"/>
      <c r="M130" s="1679">
        <v>192700</v>
      </c>
      <c r="N130" s="1712"/>
      <c r="O130" s="1712"/>
      <c r="P130" s="1289">
        <f>SUM(I130:O130)</f>
        <v>198593</v>
      </c>
      <c r="Q130" s="1640"/>
    </row>
    <row r="131" spans="1:17" ht="18" customHeight="1" x14ac:dyDescent="0.35">
      <c r="A131" s="1452">
        <v>122</v>
      </c>
      <c r="B131" s="1476"/>
      <c r="C131" s="1627"/>
      <c r="D131" s="1484" t="s">
        <v>245</v>
      </c>
      <c r="E131" s="1483"/>
      <c r="F131" s="1483"/>
      <c r="G131" s="1634"/>
      <c r="H131" s="1630"/>
      <c r="I131" s="1494"/>
      <c r="J131" s="1494"/>
      <c r="K131" s="1569"/>
      <c r="L131" s="1569"/>
      <c r="M131" s="1569"/>
      <c r="N131" s="1494"/>
      <c r="O131" s="1494"/>
      <c r="P131" s="1217">
        <f>SUM(J131:O131)</f>
        <v>0</v>
      </c>
      <c r="Q131" s="1631"/>
    </row>
    <row r="132" spans="1:17" ht="18" customHeight="1" x14ac:dyDescent="0.35">
      <c r="A132" s="1452">
        <v>123</v>
      </c>
      <c r="B132" s="1476"/>
      <c r="C132" s="1684"/>
      <c r="D132" s="1733" t="s">
        <v>233</v>
      </c>
      <c r="E132" s="1666"/>
      <c r="F132" s="1666"/>
      <c r="G132" s="1667"/>
      <c r="H132" s="1668"/>
      <c r="I132" s="1737"/>
      <c r="J132" s="1737"/>
      <c r="K132" s="1690">
        <f>SUM(K130:K131)</f>
        <v>5893</v>
      </c>
      <c r="L132" s="1690"/>
      <c r="M132" s="1690">
        <f>SUM(M130:M131)</f>
        <v>192700</v>
      </c>
      <c r="N132" s="1737"/>
      <c r="O132" s="1737"/>
      <c r="P132" s="1406">
        <f>SUM(J132:O132)</f>
        <v>198593</v>
      </c>
      <c r="Q132" s="1705"/>
    </row>
    <row r="133" spans="1:17" ht="24.75" customHeight="1" x14ac:dyDescent="0.35">
      <c r="A133" s="1452">
        <v>124</v>
      </c>
      <c r="B133" s="1476"/>
      <c r="C133" s="1693">
        <v>50</v>
      </c>
      <c r="D133" s="1618" t="s">
        <v>311</v>
      </c>
      <c r="E133" s="1307"/>
      <c r="F133" s="1307"/>
      <c r="G133" s="1706"/>
      <c r="H133" s="1459" t="s">
        <v>296</v>
      </c>
      <c r="I133" s="1620"/>
      <c r="J133" s="1620"/>
      <c r="K133" s="1620"/>
      <c r="L133" s="1620"/>
      <c r="M133" s="1620"/>
      <c r="N133" s="1620"/>
      <c r="O133" s="1620"/>
      <c r="P133" s="1303"/>
      <c r="Q133" s="1707"/>
    </row>
    <row r="134" spans="1:17" ht="18" customHeight="1" x14ac:dyDescent="0.35">
      <c r="A134" s="1452">
        <v>125</v>
      </c>
      <c r="B134" s="1476"/>
      <c r="C134" s="1627"/>
      <c r="D134" s="1750" t="s">
        <v>1026</v>
      </c>
      <c r="E134" s="1467">
        <f>F134+G134+P138+30</f>
        <v>117267</v>
      </c>
      <c r="F134" s="1483"/>
      <c r="G134" s="1596">
        <v>100759</v>
      </c>
      <c r="H134" s="1630"/>
      <c r="I134" s="1494"/>
      <c r="J134" s="1494"/>
      <c r="K134" s="1494"/>
      <c r="L134" s="1494"/>
      <c r="M134" s="1494"/>
      <c r="N134" s="1494"/>
      <c r="O134" s="1494"/>
      <c r="P134" s="1222"/>
      <c r="Q134" s="1631"/>
    </row>
    <row r="135" spans="1:17" ht="18" customHeight="1" x14ac:dyDescent="0.35">
      <c r="A135" s="1452">
        <v>126</v>
      </c>
      <c r="B135" s="1476"/>
      <c r="C135" s="1635"/>
      <c r="D135" s="1636" t="s">
        <v>230</v>
      </c>
      <c r="E135" s="1637"/>
      <c r="F135" s="1637"/>
      <c r="G135" s="1638"/>
      <c r="H135" s="1639"/>
      <c r="I135" s="1678">
        <v>1331</v>
      </c>
      <c r="J135" s="1679"/>
      <c r="K135" s="1678">
        <v>15117</v>
      </c>
      <c r="L135" s="1721"/>
      <c r="M135" s="1678"/>
      <c r="N135" s="1712"/>
      <c r="O135" s="1712"/>
      <c r="P135" s="1680">
        <f>SUM(I135:O135)</f>
        <v>16448</v>
      </c>
      <c r="Q135" s="1640"/>
    </row>
    <row r="136" spans="1:17" ht="18" customHeight="1" x14ac:dyDescent="0.35">
      <c r="A136" s="1452">
        <v>127</v>
      </c>
      <c r="B136" s="1692"/>
      <c r="C136" s="1635"/>
      <c r="D136" s="1290" t="s">
        <v>231</v>
      </c>
      <c r="E136" s="1637"/>
      <c r="F136" s="1637"/>
      <c r="G136" s="1638"/>
      <c r="H136" s="1639"/>
      <c r="I136" s="1679"/>
      <c r="J136" s="1679"/>
      <c r="K136" s="1679">
        <v>15646</v>
      </c>
      <c r="L136" s="1679">
        <v>832</v>
      </c>
      <c r="M136" s="1679"/>
      <c r="N136" s="1712"/>
      <c r="O136" s="1712"/>
      <c r="P136" s="1289">
        <f>SUM(I136:O136)</f>
        <v>16478</v>
      </c>
      <c r="Q136" s="1640"/>
    </row>
    <row r="137" spans="1:17" ht="18" customHeight="1" x14ac:dyDescent="0.35">
      <c r="A137" s="1452">
        <v>128</v>
      </c>
      <c r="B137" s="1692"/>
      <c r="C137" s="1197"/>
      <c r="D137" s="1484" t="s">
        <v>232</v>
      </c>
      <c r="E137" s="1483"/>
      <c r="F137" s="1483"/>
      <c r="G137" s="1634"/>
      <c r="H137" s="1630"/>
      <c r="I137" s="1493"/>
      <c r="J137" s="1493"/>
      <c r="K137" s="1493"/>
      <c r="L137" s="1493"/>
      <c r="M137" s="1701"/>
      <c r="N137" s="1491"/>
      <c r="O137" s="1491"/>
      <c r="P137" s="1217">
        <f>SUM(I137:O137)</f>
        <v>0</v>
      </c>
      <c r="Q137" s="1631"/>
    </row>
    <row r="138" spans="1:17" ht="18" customHeight="1" x14ac:dyDescent="0.35">
      <c r="A138" s="1452">
        <v>129</v>
      </c>
      <c r="B138" s="1692"/>
      <c r="C138" s="1725"/>
      <c r="D138" s="1733" t="s">
        <v>233</v>
      </c>
      <c r="E138" s="1727"/>
      <c r="F138" s="1727"/>
      <c r="G138" s="1728"/>
      <c r="H138" s="1729"/>
      <c r="I138" s="1731"/>
      <c r="J138" s="1731"/>
      <c r="K138" s="1731">
        <f>SUM(K136:K137)</f>
        <v>15646</v>
      </c>
      <c r="L138" s="1731">
        <f>SUM(L136:L137)</f>
        <v>832</v>
      </c>
      <c r="M138" s="1751"/>
      <c r="N138" s="1730"/>
      <c r="O138" s="1730"/>
      <c r="P138" s="1406">
        <f>SUM(I138:O138)</f>
        <v>16478</v>
      </c>
      <c r="Q138" s="1732"/>
    </row>
    <row r="139" spans="1:17" ht="24.75" customHeight="1" x14ac:dyDescent="0.35">
      <c r="A139" s="1452">
        <v>130</v>
      </c>
      <c r="B139" s="1692"/>
      <c r="C139" s="1693">
        <v>52</v>
      </c>
      <c r="D139" s="1618" t="s">
        <v>1027</v>
      </c>
      <c r="E139" s="1307"/>
      <c r="F139" s="1307"/>
      <c r="G139" s="1706"/>
      <c r="H139" s="1459" t="s">
        <v>296</v>
      </c>
      <c r="I139" s="1752"/>
      <c r="J139" s="1752"/>
      <c r="K139" s="1752"/>
      <c r="L139" s="1620"/>
      <c r="M139" s="1752"/>
      <c r="N139" s="1620"/>
      <c r="O139" s="1620"/>
      <c r="P139" s="1303"/>
      <c r="Q139" s="1707"/>
    </row>
    <row r="140" spans="1:17" ht="35.25" customHeight="1" x14ac:dyDescent="0.35">
      <c r="A140" s="1452">
        <v>131</v>
      </c>
      <c r="B140" s="1692"/>
      <c r="C140" s="1693"/>
      <c r="D140" s="1708" t="s">
        <v>1028</v>
      </c>
      <c r="E140" s="1467">
        <f>F140+G140+P144</f>
        <v>57768</v>
      </c>
      <c r="F140" s="1307"/>
      <c r="G140" s="1753">
        <v>57539</v>
      </c>
      <c r="H140" s="1719"/>
      <c r="I140" s="1752"/>
      <c r="J140" s="1752"/>
      <c r="K140" s="1752"/>
      <c r="L140" s="1620"/>
      <c r="M140" s="1752"/>
      <c r="N140" s="1620"/>
      <c r="O140" s="1620"/>
      <c r="P140" s="1303"/>
      <c r="Q140" s="1707"/>
    </row>
    <row r="141" spans="1:17" ht="18" customHeight="1" x14ac:dyDescent="0.35">
      <c r="A141" s="1452">
        <v>132</v>
      </c>
      <c r="B141" s="1692"/>
      <c r="C141" s="1635"/>
      <c r="D141" s="1636" t="s">
        <v>230</v>
      </c>
      <c r="E141" s="1637"/>
      <c r="F141" s="1637"/>
      <c r="G141" s="1638"/>
      <c r="H141" s="1639"/>
      <c r="I141" s="1679"/>
      <c r="J141" s="1679"/>
      <c r="K141" s="1678">
        <v>229</v>
      </c>
      <c r="L141" s="1721"/>
      <c r="M141" s="1678"/>
      <c r="N141" s="1712"/>
      <c r="O141" s="1712"/>
      <c r="P141" s="1680">
        <f>SUM(I141:O141)</f>
        <v>229</v>
      </c>
      <c r="Q141" s="1640"/>
    </row>
    <row r="142" spans="1:17" ht="18" customHeight="1" x14ac:dyDescent="0.35">
      <c r="A142" s="1452">
        <v>133</v>
      </c>
      <c r="B142" s="1692"/>
      <c r="C142" s="1635"/>
      <c r="D142" s="1290" t="s">
        <v>231</v>
      </c>
      <c r="E142" s="1637"/>
      <c r="F142" s="1637"/>
      <c r="G142" s="1638"/>
      <c r="H142" s="1639"/>
      <c r="I142" s="1679"/>
      <c r="J142" s="1679"/>
      <c r="K142" s="1679">
        <v>229</v>
      </c>
      <c r="L142" s="1712"/>
      <c r="M142" s="1679"/>
      <c r="N142" s="1712"/>
      <c r="O142" s="1712"/>
      <c r="P142" s="1289">
        <f>SUM(I142:O142)</f>
        <v>229</v>
      </c>
      <c r="Q142" s="1640"/>
    </row>
    <row r="143" spans="1:17" ht="18" customHeight="1" x14ac:dyDescent="0.35">
      <c r="A143" s="1452">
        <v>134</v>
      </c>
      <c r="B143" s="1692"/>
      <c r="C143" s="1627"/>
      <c r="D143" s="1484" t="s">
        <v>245</v>
      </c>
      <c r="E143" s="1483"/>
      <c r="F143" s="1483"/>
      <c r="G143" s="1634"/>
      <c r="H143" s="1630"/>
      <c r="I143" s="1582"/>
      <c r="J143" s="1582"/>
      <c r="K143" s="1683"/>
      <c r="L143" s="1702"/>
      <c r="M143" s="1683"/>
      <c r="N143" s="1494"/>
      <c r="O143" s="1494"/>
      <c r="P143" s="1217">
        <f>SUM(J143:O143)</f>
        <v>0</v>
      </c>
      <c r="Q143" s="1631"/>
    </row>
    <row r="144" spans="1:17" ht="18" customHeight="1" x14ac:dyDescent="0.35">
      <c r="A144" s="1452">
        <v>135</v>
      </c>
      <c r="B144" s="1692"/>
      <c r="C144" s="1684"/>
      <c r="D144" s="1733" t="s">
        <v>233</v>
      </c>
      <c r="E144" s="1666"/>
      <c r="F144" s="1666"/>
      <c r="G144" s="1667"/>
      <c r="H144" s="1668"/>
      <c r="I144" s="1690"/>
      <c r="J144" s="1690"/>
      <c r="K144" s="1690">
        <f>SUM(K142:K143)</f>
        <v>229</v>
      </c>
      <c r="L144" s="1704"/>
      <c r="M144" s="1689"/>
      <c r="N144" s="1737"/>
      <c r="O144" s="1737"/>
      <c r="P144" s="1406">
        <f>SUM(J144:O144)</f>
        <v>229</v>
      </c>
      <c r="Q144" s="1705"/>
    </row>
    <row r="145" spans="1:17" ht="24.75" customHeight="1" x14ac:dyDescent="0.35">
      <c r="A145" s="1452">
        <v>136</v>
      </c>
      <c r="B145" s="1692"/>
      <c r="C145" s="1693">
        <v>53</v>
      </c>
      <c r="D145" s="1618" t="s">
        <v>348</v>
      </c>
      <c r="E145" s="1307"/>
      <c r="F145" s="1307"/>
      <c r="G145" s="1706"/>
      <c r="H145" s="1459" t="s">
        <v>296</v>
      </c>
      <c r="I145" s="1752"/>
      <c r="J145" s="1752"/>
      <c r="K145" s="1752"/>
      <c r="L145" s="1620"/>
      <c r="M145" s="1752"/>
      <c r="N145" s="1620"/>
      <c r="O145" s="1620"/>
      <c r="P145" s="1303"/>
      <c r="Q145" s="1707"/>
    </row>
    <row r="146" spans="1:17" ht="18" customHeight="1" x14ac:dyDescent="0.35">
      <c r="A146" s="1452">
        <v>137</v>
      </c>
      <c r="B146" s="1692"/>
      <c r="C146" s="1693"/>
      <c r="D146" s="1708" t="s">
        <v>1029</v>
      </c>
      <c r="E146" s="1467">
        <f>F146+G146+P150</f>
        <v>43438</v>
      </c>
      <c r="F146" s="1307"/>
      <c r="G146" s="1718">
        <v>42357</v>
      </c>
      <c r="H146" s="1719"/>
      <c r="I146" s="1752"/>
      <c r="J146" s="1752"/>
      <c r="K146" s="1752"/>
      <c r="L146" s="1620"/>
      <c r="M146" s="1752"/>
      <c r="N146" s="1620"/>
      <c r="O146" s="1620"/>
      <c r="P146" s="1303"/>
      <c r="Q146" s="1707"/>
    </row>
    <row r="147" spans="1:17" ht="18" customHeight="1" x14ac:dyDescent="0.35">
      <c r="A147" s="1452">
        <v>138</v>
      </c>
      <c r="B147" s="1692"/>
      <c r="C147" s="1627"/>
      <c r="D147" s="1628" t="s">
        <v>230</v>
      </c>
      <c r="E147" s="1483"/>
      <c r="F147" s="1483"/>
      <c r="G147" s="1634"/>
      <c r="H147" s="1630"/>
      <c r="I147" s="1582"/>
      <c r="J147" s="1582"/>
      <c r="K147" s="1683">
        <v>229</v>
      </c>
      <c r="L147" s="1702"/>
      <c r="M147" s="1683">
        <v>838</v>
      </c>
      <c r="N147" s="1494"/>
      <c r="O147" s="1683">
        <v>14</v>
      </c>
      <c r="P147" s="1661">
        <f>SUM(I147:O147)</f>
        <v>1081</v>
      </c>
      <c r="Q147" s="1631"/>
    </row>
    <row r="148" spans="1:17" ht="18" customHeight="1" x14ac:dyDescent="0.35">
      <c r="A148" s="1452">
        <v>139</v>
      </c>
      <c r="B148" s="1692"/>
      <c r="C148" s="1627"/>
      <c r="D148" s="1290" t="s">
        <v>231</v>
      </c>
      <c r="E148" s="1483"/>
      <c r="F148" s="1483"/>
      <c r="G148" s="1634"/>
      <c r="H148" s="1630"/>
      <c r="I148" s="1582"/>
      <c r="J148" s="1582"/>
      <c r="K148" s="1582">
        <v>229</v>
      </c>
      <c r="L148" s="1494"/>
      <c r="M148" s="1582">
        <v>838</v>
      </c>
      <c r="N148" s="1494"/>
      <c r="O148" s="1582">
        <v>14</v>
      </c>
      <c r="P148" s="1222">
        <f>SUM(I148:O148)</f>
        <v>1081</v>
      </c>
      <c r="Q148" s="1631"/>
    </row>
    <row r="149" spans="1:17" ht="18" customHeight="1" x14ac:dyDescent="0.35">
      <c r="A149" s="1452">
        <v>140</v>
      </c>
      <c r="B149" s="1692"/>
      <c r="C149" s="1627"/>
      <c r="D149" s="1484" t="s">
        <v>245</v>
      </c>
      <c r="E149" s="1483"/>
      <c r="F149" s="1483"/>
      <c r="G149" s="1634"/>
      <c r="H149" s="1630"/>
      <c r="I149" s="1582"/>
      <c r="J149" s="1582"/>
      <c r="K149" s="1683"/>
      <c r="L149" s="1702"/>
      <c r="M149" s="1683"/>
      <c r="N149" s="1494"/>
      <c r="O149" s="1683"/>
      <c r="P149" s="1217">
        <f>SUM(J149:O149)</f>
        <v>0</v>
      </c>
      <c r="Q149" s="1631"/>
    </row>
    <row r="150" spans="1:17" ht="18" customHeight="1" x14ac:dyDescent="0.35">
      <c r="A150" s="1452">
        <v>141</v>
      </c>
      <c r="B150" s="1692"/>
      <c r="C150" s="1684"/>
      <c r="D150" s="1733" t="s">
        <v>233</v>
      </c>
      <c r="E150" s="1666"/>
      <c r="F150" s="1666"/>
      <c r="G150" s="1667"/>
      <c r="H150" s="1668"/>
      <c r="I150" s="1690"/>
      <c r="J150" s="1690"/>
      <c r="K150" s="1690">
        <f>SUM(K148:K149)</f>
        <v>229</v>
      </c>
      <c r="L150" s="1690"/>
      <c r="M150" s="1690">
        <f>SUM(M148:M149)</f>
        <v>838</v>
      </c>
      <c r="N150" s="1690"/>
      <c r="O150" s="1690">
        <f>SUM(O148:O149)</f>
        <v>14</v>
      </c>
      <c r="P150" s="1406">
        <f>SUM(J150:O150)</f>
        <v>1081</v>
      </c>
      <c r="Q150" s="1705"/>
    </row>
    <row r="151" spans="1:17" ht="24.75" customHeight="1" x14ac:dyDescent="0.35">
      <c r="A151" s="1452">
        <v>142</v>
      </c>
      <c r="B151" s="1476"/>
      <c r="C151" s="1693">
        <v>54</v>
      </c>
      <c r="D151" s="1618" t="s">
        <v>310</v>
      </c>
      <c r="E151" s="1307"/>
      <c r="F151" s="1307"/>
      <c r="G151" s="1706"/>
      <c r="H151" s="1459" t="s">
        <v>296</v>
      </c>
      <c r="I151" s="1752"/>
      <c r="J151" s="1752"/>
      <c r="K151" s="1752"/>
      <c r="L151" s="1620"/>
      <c r="M151" s="1752"/>
      <c r="N151" s="1620"/>
      <c r="O151" s="1620"/>
      <c r="P151" s="1303"/>
      <c r="Q151" s="1707"/>
    </row>
    <row r="152" spans="1:17" ht="18" customHeight="1" x14ac:dyDescent="0.35">
      <c r="A152" s="1452">
        <v>143</v>
      </c>
      <c r="B152" s="1476"/>
      <c r="C152" s="1693"/>
      <c r="D152" s="1708" t="s">
        <v>1030</v>
      </c>
      <c r="E152" s="1467">
        <f>F152+G152+P156</f>
        <v>39841</v>
      </c>
      <c r="F152" s="1307"/>
      <c r="G152" s="1718">
        <v>37548</v>
      </c>
      <c r="H152" s="1719"/>
      <c r="I152" s="1752"/>
      <c r="J152" s="1752"/>
      <c r="K152" s="1752"/>
      <c r="L152" s="1620"/>
      <c r="M152" s="1752"/>
      <c r="N152" s="1620"/>
      <c r="O152" s="1620"/>
      <c r="P152" s="1303"/>
      <c r="Q152" s="1707"/>
    </row>
    <row r="153" spans="1:17" ht="18" customHeight="1" x14ac:dyDescent="0.35">
      <c r="A153" s="1452">
        <v>144</v>
      </c>
      <c r="B153" s="1476"/>
      <c r="C153" s="1635"/>
      <c r="D153" s="1636" t="s">
        <v>230</v>
      </c>
      <c r="E153" s="1637"/>
      <c r="F153" s="1637"/>
      <c r="G153" s="1638"/>
      <c r="H153" s="1639"/>
      <c r="I153" s="1679"/>
      <c r="J153" s="1679"/>
      <c r="K153" s="1678">
        <v>356</v>
      </c>
      <c r="L153" s="1721"/>
      <c r="M153" s="1678">
        <v>1916</v>
      </c>
      <c r="N153" s="1712"/>
      <c r="O153" s="1712"/>
      <c r="P153" s="1680">
        <f>SUM(I153:O153)</f>
        <v>2272</v>
      </c>
      <c r="Q153" s="1640"/>
    </row>
    <row r="154" spans="1:17" ht="18" customHeight="1" x14ac:dyDescent="0.35">
      <c r="A154" s="1452">
        <v>145</v>
      </c>
      <c r="B154" s="1476"/>
      <c r="C154" s="1635"/>
      <c r="D154" s="1290" t="s">
        <v>231</v>
      </c>
      <c r="E154" s="1637"/>
      <c r="F154" s="1637"/>
      <c r="G154" s="1638"/>
      <c r="H154" s="1639"/>
      <c r="I154" s="1679"/>
      <c r="J154" s="1679"/>
      <c r="K154" s="1679">
        <v>356</v>
      </c>
      <c r="L154" s="1679">
        <v>21</v>
      </c>
      <c r="M154" s="1679">
        <v>1904</v>
      </c>
      <c r="N154" s="1679"/>
      <c r="O154" s="1679">
        <v>12</v>
      </c>
      <c r="P154" s="1289">
        <f>SUM(I154:O154)</f>
        <v>2293</v>
      </c>
      <c r="Q154" s="1640"/>
    </row>
    <row r="155" spans="1:17" ht="18" customHeight="1" x14ac:dyDescent="0.35">
      <c r="A155" s="1452">
        <v>146</v>
      </c>
      <c r="B155" s="1476"/>
      <c r="C155" s="1627"/>
      <c r="D155" s="1484" t="s">
        <v>232</v>
      </c>
      <c r="E155" s="1483"/>
      <c r="F155" s="1483"/>
      <c r="G155" s="1634"/>
      <c r="H155" s="1630"/>
      <c r="I155" s="1590"/>
      <c r="J155" s="1590"/>
      <c r="K155" s="1590"/>
      <c r="L155" s="1590"/>
      <c r="M155" s="1590"/>
      <c r="N155" s="1590"/>
      <c r="O155" s="1590"/>
      <c r="P155" s="1217">
        <f>SUM(J155:O155)</f>
        <v>0</v>
      </c>
      <c r="Q155" s="1631"/>
    </row>
    <row r="156" spans="1:17" ht="18" customHeight="1" x14ac:dyDescent="0.35">
      <c r="A156" s="1452">
        <v>147</v>
      </c>
      <c r="B156" s="1476"/>
      <c r="C156" s="1684"/>
      <c r="D156" s="1733" t="s">
        <v>233</v>
      </c>
      <c r="E156" s="1666"/>
      <c r="F156" s="1666"/>
      <c r="G156" s="1667"/>
      <c r="H156" s="1668"/>
      <c r="I156" s="1690"/>
      <c r="J156" s="1690"/>
      <c r="K156" s="1690">
        <f>SUM(K154:K155)</f>
        <v>356</v>
      </c>
      <c r="L156" s="1690">
        <f>SUM(L154:L155)</f>
        <v>21</v>
      </c>
      <c r="M156" s="1690">
        <f>SUM(M154:M155)</f>
        <v>1904</v>
      </c>
      <c r="N156" s="1690"/>
      <c r="O156" s="1690">
        <f>SUM(O154:O155)</f>
        <v>12</v>
      </c>
      <c r="P156" s="1406">
        <f>SUM(J156:O156)</f>
        <v>2293</v>
      </c>
      <c r="Q156" s="1705"/>
    </row>
    <row r="157" spans="1:17" ht="24.75" customHeight="1" x14ac:dyDescent="0.35">
      <c r="A157" s="1452">
        <v>148</v>
      </c>
      <c r="B157" s="1476"/>
      <c r="C157" s="1693">
        <v>55</v>
      </c>
      <c r="D157" s="1618" t="s">
        <v>1031</v>
      </c>
      <c r="E157" s="1307"/>
      <c r="F157" s="1307"/>
      <c r="G157" s="1706"/>
      <c r="H157" s="1459" t="s">
        <v>296</v>
      </c>
      <c r="I157" s="1752"/>
      <c r="J157" s="1752"/>
      <c r="K157" s="1752"/>
      <c r="L157" s="1620"/>
      <c r="M157" s="1752"/>
      <c r="N157" s="1620"/>
      <c r="O157" s="1620"/>
      <c r="P157" s="1303"/>
      <c r="Q157" s="1707"/>
    </row>
    <row r="158" spans="1:17" ht="18" customHeight="1" x14ac:dyDescent="0.35">
      <c r="A158" s="1452">
        <v>149</v>
      </c>
      <c r="B158" s="1476"/>
      <c r="C158" s="1627"/>
      <c r="D158" s="1708" t="s">
        <v>1032</v>
      </c>
      <c r="E158" s="1467">
        <f>F158+G158+P162</f>
        <v>29947</v>
      </c>
      <c r="F158" s="1483"/>
      <c r="G158" s="1634"/>
      <c r="H158" s="1630"/>
      <c r="I158" s="1582"/>
      <c r="J158" s="1582"/>
      <c r="K158" s="1582"/>
      <c r="L158" s="1494"/>
      <c r="M158" s="1582"/>
      <c r="N158" s="1494"/>
      <c r="O158" s="1494"/>
      <c r="P158" s="1222"/>
      <c r="Q158" s="1631"/>
    </row>
    <row r="159" spans="1:17" ht="18" customHeight="1" x14ac:dyDescent="0.35">
      <c r="A159" s="1452">
        <v>150</v>
      </c>
      <c r="B159" s="1476"/>
      <c r="C159" s="1635"/>
      <c r="D159" s="1636" t="s">
        <v>230</v>
      </c>
      <c r="E159" s="1637"/>
      <c r="F159" s="1637"/>
      <c r="G159" s="1638"/>
      <c r="H159" s="1639"/>
      <c r="I159" s="1678"/>
      <c r="J159" s="1678"/>
      <c r="K159" s="1678">
        <v>1753</v>
      </c>
      <c r="L159" s="1721"/>
      <c r="M159" s="1678">
        <v>28194</v>
      </c>
      <c r="N159" s="1721"/>
      <c r="O159" s="1721"/>
      <c r="P159" s="1680">
        <f>SUM(I159:O159)</f>
        <v>29947</v>
      </c>
      <c r="Q159" s="1640"/>
    </row>
    <row r="160" spans="1:17" ht="18" customHeight="1" x14ac:dyDescent="0.35">
      <c r="A160" s="1452">
        <v>151</v>
      </c>
      <c r="B160" s="1476"/>
      <c r="C160" s="1635"/>
      <c r="D160" s="1290" t="s">
        <v>231</v>
      </c>
      <c r="E160" s="1637"/>
      <c r="F160" s="1637"/>
      <c r="G160" s="1638"/>
      <c r="H160" s="1639"/>
      <c r="I160" s="1679"/>
      <c r="J160" s="1679"/>
      <c r="K160" s="1679">
        <v>0</v>
      </c>
      <c r="L160" s="1679">
        <v>5182</v>
      </c>
      <c r="M160" s="1679">
        <v>0</v>
      </c>
      <c r="N160" s="1712"/>
      <c r="O160" s="1679">
        <v>24765</v>
      </c>
      <c r="P160" s="1289">
        <f>SUM(I160:O160)</f>
        <v>29947</v>
      </c>
      <c r="Q160" s="1640"/>
    </row>
    <row r="161" spans="1:17" ht="18" customHeight="1" x14ac:dyDescent="0.35">
      <c r="A161" s="1452">
        <v>152</v>
      </c>
      <c r="B161" s="1476"/>
      <c r="C161" s="1627"/>
      <c r="D161" s="1484" t="s">
        <v>245</v>
      </c>
      <c r="E161" s="1483"/>
      <c r="F161" s="1483"/>
      <c r="G161" s="1634"/>
      <c r="H161" s="1630"/>
      <c r="I161" s="1590"/>
      <c r="J161" s="1590"/>
      <c r="K161" s="1590"/>
      <c r="L161" s="1590"/>
      <c r="M161" s="1590"/>
      <c r="N161" s="1590"/>
      <c r="O161" s="1590"/>
      <c r="P161" s="1217">
        <f>SUM(J161:O161)</f>
        <v>0</v>
      </c>
      <c r="Q161" s="1631"/>
    </row>
    <row r="162" spans="1:17" ht="18" customHeight="1" x14ac:dyDescent="0.35">
      <c r="A162" s="1452">
        <v>153</v>
      </c>
      <c r="B162" s="1476"/>
      <c r="C162" s="1684"/>
      <c r="D162" s="1733" t="s">
        <v>233</v>
      </c>
      <c r="E162" s="1666"/>
      <c r="F162" s="1666"/>
      <c r="G162" s="1667"/>
      <c r="H162" s="1668"/>
      <c r="I162" s="1689"/>
      <c r="J162" s="1689"/>
      <c r="K162" s="1690">
        <f>SUM(K160:K161)</f>
        <v>0</v>
      </c>
      <c r="L162" s="1690">
        <f>SUM(L160:L161)</f>
        <v>5182</v>
      </c>
      <c r="M162" s="1690">
        <f>SUM(M160:M161)</f>
        <v>0</v>
      </c>
      <c r="N162" s="1690">
        <f>SUM(N160:N161)</f>
        <v>0</v>
      </c>
      <c r="O162" s="1690">
        <f>SUM(O160:O161)</f>
        <v>24765</v>
      </c>
      <c r="P162" s="1406">
        <f>SUM(J162:O162)</f>
        <v>29947</v>
      </c>
      <c r="Q162" s="1705"/>
    </row>
    <row r="163" spans="1:17" ht="24.75" customHeight="1" x14ac:dyDescent="0.35">
      <c r="A163" s="1452">
        <v>154</v>
      </c>
      <c r="B163" s="1476"/>
      <c r="C163" s="1693">
        <v>57</v>
      </c>
      <c r="D163" s="1618" t="s">
        <v>1033</v>
      </c>
      <c r="E163" s="1307"/>
      <c r="F163" s="1307"/>
      <c r="G163" s="1706"/>
      <c r="H163" s="1459" t="s">
        <v>296</v>
      </c>
      <c r="I163" s="1752"/>
      <c r="J163" s="1752"/>
      <c r="K163" s="1752"/>
      <c r="L163" s="1620"/>
      <c r="M163" s="1752"/>
      <c r="N163" s="1620"/>
      <c r="O163" s="1620"/>
      <c r="P163" s="1303"/>
      <c r="Q163" s="1707"/>
    </row>
    <row r="164" spans="1:17" ht="18" customHeight="1" x14ac:dyDescent="0.35">
      <c r="A164" s="1452">
        <v>155</v>
      </c>
      <c r="B164" s="1476"/>
      <c r="C164" s="1627"/>
      <c r="D164" s="1750" t="s">
        <v>1034</v>
      </c>
      <c r="E164" s="1467">
        <f>F164+G164+P168</f>
        <v>4501</v>
      </c>
      <c r="F164" s="1483"/>
      <c r="G164" s="1596">
        <v>4259</v>
      </c>
      <c r="H164" s="1630"/>
      <c r="I164" s="1582"/>
      <c r="J164" s="1582"/>
      <c r="K164" s="1582"/>
      <c r="L164" s="1494"/>
      <c r="M164" s="1582"/>
      <c r="N164" s="1494"/>
      <c r="O164" s="1494"/>
      <c r="P164" s="1222"/>
      <c r="Q164" s="1631"/>
    </row>
    <row r="165" spans="1:17" ht="18" customHeight="1" x14ac:dyDescent="0.35">
      <c r="A165" s="1452">
        <v>156</v>
      </c>
      <c r="B165" s="1476"/>
      <c r="C165" s="1627"/>
      <c r="D165" s="1628" t="s">
        <v>230</v>
      </c>
      <c r="E165" s="1483"/>
      <c r="F165" s="1483"/>
      <c r="G165" s="1634"/>
      <c r="H165" s="1630"/>
      <c r="I165" s="1582"/>
      <c r="J165" s="1582"/>
      <c r="K165" s="1683">
        <v>229</v>
      </c>
      <c r="L165" s="1683">
        <v>13</v>
      </c>
      <c r="M165" s="1683"/>
      <c r="N165" s="1494"/>
      <c r="O165" s="1494"/>
      <c r="P165" s="1661">
        <f>SUM(I165:O165)</f>
        <v>242</v>
      </c>
      <c r="Q165" s="1631"/>
    </row>
    <row r="166" spans="1:17" ht="18" customHeight="1" x14ac:dyDescent="0.35">
      <c r="A166" s="1452">
        <v>157</v>
      </c>
      <c r="B166" s="1476"/>
      <c r="C166" s="1627"/>
      <c r="D166" s="1290" t="s">
        <v>231</v>
      </c>
      <c r="E166" s="1483"/>
      <c r="F166" s="1483"/>
      <c r="G166" s="1634"/>
      <c r="H166" s="1630"/>
      <c r="I166" s="1582"/>
      <c r="J166" s="1582"/>
      <c r="K166" s="1582">
        <v>229</v>
      </c>
      <c r="L166" s="1582">
        <v>13</v>
      </c>
      <c r="M166" s="1582"/>
      <c r="N166" s="1494"/>
      <c r="O166" s="1494"/>
      <c r="P166" s="1222">
        <f>SUM(I166:O166)</f>
        <v>242</v>
      </c>
      <c r="Q166" s="1631"/>
    </row>
    <row r="167" spans="1:17" ht="18" customHeight="1" x14ac:dyDescent="0.35">
      <c r="A167" s="1452">
        <v>158</v>
      </c>
      <c r="B167" s="1476"/>
      <c r="C167" s="1627"/>
      <c r="D167" s="1484" t="s">
        <v>245</v>
      </c>
      <c r="E167" s="1483"/>
      <c r="F167" s="1483"/>
      <c r="G167" s="1634"/>
      <c r="H167" s="1630"/>
      <c r="I167" s="1582"/>
      <c r="J167" s="1582"/>
      <c r="K167" s="1683"/>
      <c r="L167" s="1683"/>
      <c r="M167" s="1683"/>
      <c r="N167" s="1494"/>
      <c r="O167" s="1494"/>
      <c r="P167" s="1217">
        <f>SUM(J167:O167)</f>
        <v>0</v>
      </c>
      <c r="Q167" s="1631"/>
    </row>
    <row r="168" spans="1:17" ht="18" customHeight="1" x14ac:dyDescent="0.35">
      <c r="A168" s="1452">
        <v>159</v>
      </c>
      <c r="B168" s="1476"/>
      <c r="C168" s="1684"/>
      <c r="D168" s="1733" t="s">
        <v>233</v>
      </c>
      <c r="E168" s="1666"/>
      <c r="F168" s="1666"/>
      <c r="G168" s="1667"/>
      <c r="H168" s="1668"/>
      <c r="I168" s="1690"/>
      <c r="J168" s="1690"/>
      <c r="K168" s="1690">
        <f>SUM(K166:K167)</f>
        <v>229</v>
      </c>
      <c r="L168" s="1690">
        <f>SUM(L166:L167)</f>
        <v>13</v>
      </c>
      <c r="M168" s="1689"/>
      <c r="N168" s="1737"/>
      <c r="O168" s="1737"/>
      <c r="P168" s="1406">
        <f>SUM(J168:O168)</f>
        <v>242</v>
      </c>
      <c r="Q168" s="1705"/>
    </row>
    <row r="169" spans="1:17" ht="24.75" customHeight="1" x14ac:dyDescent="0.35">
      <c r="A169" s="1452">
        <v>160</v>
      </c>
      <c r="B169" s="1476"/>
      <c r="C169" s="1693">
        <v>58</v>
      </c>
      <c r="D169" s="1618" t="s">
        <v>1004</v>
      </c>
      <c r="E169" s="1307"/>
      <c r="F169" s="1307"/>
      <c r="G169" s="1706"/>
      <c r="H169" s="1459" t="s">
        <v>296</v>
      </c>
      <c r="I169" s="1752"/>
      <c r="J169" s="1752"/>
      <c r="K169" s="1752"/>
      <c r="L169" s="1620"/>
      <c r="M169" s="1752"/>
      <c r="N169" s="1620"/>
      <c r="O169" s="1620"/>
      <c r="P169" s="1303"/>
      <c r="Q169" s="1707"/>
    </row>
    <row r="170" spans="1:17" ht="18" customHeight="1" x14ac:dyDescent="0.35">
      <c r="A170" s="1452">
        <v>161</v>
      </c>
      <c r="B170" s="1476"/>
      <c r="C170" s="1627"/>
      <c r="D170" s="1708" t="s">
        <v>1035</v>
      </c>
      <c r="E170" s="1467">
        <f>F170+G170+P174</f>
        <v>233547</v>
      </c>
      <c r="F170" s="1483"/>
      <c r="G170" s="1596">
        <v>160770</v>
      </c>
      <c r="H170" s="1630"/>
      <c r="I170" s="1582"/>
      <c r="J170" s="1582"/>
      <c r="K170" s="1582"/>
      <c r="L170" s="1494"/>
      <c r="M170" s="1582"/>
      <c r="N170" s="1494"/>
      <c r="O170" s="1494"/>
      <c r="P170" s="1222"/>
      <c r="Q170" s="1631"/>
    </row>
    <row r="171" spans="1:17" ht="18" customHeight="1" x14ac:dyDescent="0.35">
      <c r="A171" s="1452">
        <v>162</v>
      </c>
      <c r="B171" s="1476"/>
      <c r="C171" s="1635"/>
      <c r="D171" s="1636" t="s">
        <v>230</v>
      </c>
      <c r="E171" s="1637"/>
      <c r="F171" s="1637"/>
      <c r="G171" s="1638"/>
      <c r="H171" s="1639"/>
      <c r="I171" s="1678"/>
      <c r="J171" s="1678"/>
      <c r="K171" s="1678">
        <v>5601</v>
      </c>
      <c r="L171" s="1721"/>
      <c r="M171" s="1678">
        <v>67176</v>
      </c>
      <c r="N171" s="1721"/>
      <c r="O171" s="1721"/>
      <c r="P171" s="1680">
        <f>SUM(I171:O171)</f>
        <v>72777</v>
      </c>
      <c r="Q171" s="1640"/>
    </row>
    <row r="172" spans="1:17" ht="18" customHeight="1" x14ac:dyDescent="0.35">
      <c r="A172" s="1452">
        <v>163</v>
      </c>
      <c r="B172" s="1476"/>
      <c r="C172" s="1635"/>
      <c r="D172" s="1290" t="s">
        <v>231</v>
      </c>
      <c r="E172" s="1637"/>
      <c r="F172" s="1637"/>
      <c r="G172" s="1638"/>
      <c r="H172" s="1639"/>
      <c r="I172" s="1679"/>
      <c r="J172" s="1679"/>
      <c r="K172" s="1679">
        <v>5601</v>
      </c>
      <c r="L172" s="1712"/>
      <c r="M172" s="1679">
        <v>67141</v>
      </c>
      <c r="N172" s="1712"/>
      <c r="O172" s="1679">
        <v>35</v>
      </c>
      <c r="P172" s="1289">
        <f>SUM(I172:O172)</f>
        <v>72777</v>
      </c>
      <c r="Q172" s="1640"/>
    </row>
    <row r="173" spans="1:17" ht="18" customHeight="1" x14ac:dyDescent="0.35">
      <c r="A173" s="1452">
        <v>164</v>
      </c>
      <c r="B173" s="1476"/>
      <c r="C173" s="1627"/>
      <c r="D173" s="1484" t="s">
        <v>232</v>
      </c>
      <c r="E173" s="1483"/>
      <c r="F173" s="1483"/>
      <c r="G173" s="1634"/>
      <c r="H173" s="1630"/>
      <c r="I173" s="1590"/>
      <c r="J173" s="1590"/>
      <c r="K173" s="1590"/>
      <c r="L173" s="1590"/>
      <c r="M173" s="1590"/>
      <c r="N173" s="1590"/>
      <c r="O173" s="1590"/>
      <c r="P173" s="1217">
        <f>SUM(J173:O173)</f>
        <v>0</v>
      </c>
      <c r="Q173" s="1631"/>
    </row>
    <row r="174" spans="1:17" ht="18" customHeight="1" x14ac:dyDescent="0.35">
      <c r="A174" s="1452">
        <v>165</v>
      </c>
      <c r="B174" s="1476"/>
      <c r="C174" s="1684"/>
      <c r="D174" s="1733" t="s">
        <v>233</v>
      </c>
      <c r="E174" s="1666"/>
      <c r="F174" s="1666"/>
      <c r="G174" s="1667"/>
      <c r="H174" s="1668"/>
      <c r="I174" s="1690"/>
      <c r="J174" s="1690"/>
      <c r="K174" s="1690">
        <f>SUM(K172:K173)</f>
        <v>5601</v>
      </c>
      <c r="L174" s="1690"/>
      <c r="M174" s="1690">
        <f>SUM(M172:M173)</f>
        <v>67141</v>
      </c>
      <c r="N174" s="1704"/>
      <c r="O174" s="1690">
        <f>SUM(O172:O173)</f>
        <v>35</v>
      </c>
      <c r="P174" s="1406">
        <f>SUM(J174:O174)</f>
        <v>72777</v>
      </c>
      <c r="Q174" s="1705"/>
    </row>
    <row r="175" spans="1:17" ht="24.75" customHeight="1" x14ac:dyDescent="0.35">
      <c r="A175" s="1452">
        <v>166</v>
      </c>
      <c r="B175" s="1476"/>
      <c r="C175" s="1693">
        <v>59</v>
      </c>
      <c r="D175" s="1618" t="s">
        <v>313</v>
      </c>
      <c r="E175" s="1307"/>
      <c r="F175" s="1307"/>
      <c r="G175" s="1706"/>
      <c r="H175" s="1459" t="s">
        <v>296</v>
      </c>
      <c r="I175" s="1752"/>
      <c r="J175" s="1752"/>
      <c r="K175" s="1752"/>
      <c r="L175" s="1620"/>
      <c r="M175" s="1752"/>
      <c r="N175" s="1620"/>
      <c r="O175" s="1620"/>
      <c r="P175" s="1303"/>
      <c r="Q175" s="1707"/>
    </row>
    <row r="176" spans="1:17" ht="18" customHeight="1" x14ac:dyDescent="0.35">
      <c r="A176" s="1452">
        <v>167</v>
      </c>
      <c r="B176" s="1476"/>
      <c r="C176" s="1627"/>
      <c r="D176" s="1754" t="s">
        <v>1036</v>
      </c>
      <c r="E176" s="1467">
        <f>F176+G176+P180+658+300</f>
        <v>740440</v>
      </c>
      <c r="F176" s="1483"/>
      <c r="G176" s="1596">
        <v>317290</v>
      </c>
      <c r="H176" s="1630"/>
      <c r="I176" s="1582"/>
      <c r="J176" s="1582"/>
      <c r="K176" s="1582"/>
      <c r="L176" s="1494"/>
      <c r="M176" s="1582"/>
      <c r="N176" s="1494"/>
      <c r="O176" s="1494"/>
      <c r="P176" s="1222"/>
      <c r="Q176" s="1631"/>
    </row>
    <row r="177" spans="1:17" ht="18" customHeight="1" x14ac:dyDescent="0.35">
      <c r="A177" s="1452">
        <v>168</v>
      </c>
      <c r="B177" s="1476"/>
      <c r="C177" s="1627"/>
      <c r="D177" s="1628" t="s">
        <v>230</v>
      </c>
      <c r="E177" s="1483"/>
      <c r="F177" s="1483"/>
      <c r="G177" s="1634"/>
      <c r="H177" s="1630"/>
      <c r="I177" s="1582"/>
      <c r="J177" s="1582"/>
      <c r="K177" s="1683">
        <v>29185</v>
      </c>
      <c r="L177" s="1702"/>
      <c r="M177" s="1683">
        <v>393007</v>
      </c>
      <c r="N177" s="1494"/>
      <c r="O177" s="1494"/>
      <c r="P177" s="1661">
        <f>SUM(I177:O177)</f>
        <v>422192</v>
      </c>
      <c r="Q177" s="1631"/>
    </row>
    <row r="178" spans="1:17" ht="18" customHeight="1" x14ac:dyDescent="0.35">
      <c r="A178" s="1452">
        <v>169</v>
      </c>
      <c r="B178" s="1662"/>
      <c r="C178" s="1627"/>
      <c r="D178" s="1290" t="s">
        <v>231</v>
      </c>
      <c r="E178" s="1483"/>
      <c r="F178" s="1483"/>
      <c r="G178" s="1634"/>
      <c r="H178" s="1630"/>
      <c r="I178" s="1582"/>
      <c r="J178" s="1582"/>
      <c r="K178" s="1582">
        <v>29185</v>
      </c>
      <c r="L178" s="1494"/>
      <c r="M178" s="1582">
        <v>393007</v>
      </c>
      <c r="N178" s="1494"/>
      <c r="O178" s="1494"/>
      <c r="P178" s="1222">
        <f>SUM(I178:O178)</f>
        <v>422192</v>
      </c>
      <c r="Q178" s="1631"/>
    </row>
    <row r="179" spans="1:17" ht="18" customHeight="1" x14ac:dyDescent="0.35">
      <c r="A179" s="1452">
        <v>170</v>
      </c>
      <c r="B179" s="1662"/>
      <c r="C179" s="1627"/>
      <c r="D179" s="1484" t="s">
        <v>245</v>
      </c>
      <c r="E179" s="1483"/>
      <c r="F179" s="1483"/>
      <c r="G179" s="1634"/>
      <c r="H179" s="1630"/>
      <c r="I179" s="1582"/>
      <c r="J179" s="1582"/>
      <c r="K179" s="1683"/>
      <c r="L179" s="1702"/>
      <c r="M179" s="1683"/>
      <c r="N179" s="1494"/>
      <c r="O179" s="1494"/>
      <c r="P179" s="1217">
        <f>SUM(J179:O179)</f>
        <v>0</v>
      </c>
      <c r="Q179" s="1631"/>
    </row>
    <row r="180" spans="1:17" ht="18" customHeight="1" x14ac:dyDescent="0.35">
      <c r="A180" s="1452">
        <v>171</v>
      </c>
      <c r="B180" s="1692"/>
      <c r="C180" s="1653"/>
      <c r="D180" s="1733" t="s">
        <v>233</v>
      </c>
      <c r="E180" s="1694"/>
      <c r="F180" s="1694"/>
      <c r="G180" s="1695"/>
      <c r="H180" s="1755"/>
      <c r="I180" s="1675"/>
      <c r="J180" s="1675"/>
      <c r="K180" s="1675">
        <f>SUM(K178:K179)</f>
        <v>29185</v>
      </c>
      <c r="L180" s="1675"/>
      <c r="M180" s="1675">
        <f>SUM(M178:M179)</f>
        <v>393007</v>
      </c>
      <c r="N180" s="1594"/>
      <c r="O180" s="1594"/>
      <c r="P180" s="1406">
        <f>SUM(J180:O180)</f>
        <v>422192</v>
      </c>
      <c r="Q180" s="1659"/>
    </row>
    <row r="181" spans="1:17" ht="24.75" customHeight="1" x14ac:dyDescent="0.35">
      <c r="A181" s="1452">
        <v>172</v>
      </c>
      <c r="B181" s="1756"/>
      <c r="C181" s="1757">
        <v>60</v>
      </c>
      <c r="D181" s="1758" t="s">
        <v>1037</v>
      </c>
      <c r="E181" s="1759"/>
      <c r="F181" s="1759"/>
      <c r="G181" s="1760"/>
      <c r="H181" s="1459" t="s">
        <v>296</v>
      </c>
      <c r="I181" s="1759"/>
      <c r="J181" s="1759"/>
      <c r="K181" s="1759"/>
      <c r="L181" s="1759"/>
      <c r="M181" s="1759"/>
      <c r="N181" s="1759"/>
      <c r="O181" s="1759"/>
      <c r="P181" s="1761"/>
      <c r="Q181" s="1762"/>
    </row>
    <row r="182" spans="1:17" ht="18" customHeight="1" x14ac:dyDescent="0.35">
      <c r="A182" s="1452">
        <v>173</v>
      </c>
      <c r="B182" s="1476"/>
      <c r="C182" s="1197"/>
      <c r="D182" s="1754" t="s">
        <v>1038</v>
      </c>
      <c r="E182" s="1467">
        <f>F182+G182+P186</f>
        <v>10805</v>
      </c>
      <c r="F182" s="1483"/>
      <c r="G182" s="1596">
        <v>10678</v>
      </c>
      <c r="H182" s="1630"/>
      <c r="I182" s="1582"/>
      <c r="J182" s="1582"/>
      <c r="K182" s="1683"/>
      <c r="L182" s="1702"/>
      <c r="M182" s="1683"/>
      <c r="N182" s="1494"/>
      <c r="O182" s="1494"/>
      <c r="P182" s="1661"/>
      <c r="Q182" s="1631"/>
    </row>
    <row r="183" spans="1:17" ht="18" customHeight="1" x14ac:dyDescent="0.35">
      <c r="A183" s="1452">
        <v>174</v>
      </c>
      <c r="B183" s="1476"/>
      <c r="C183" s="1627"/>
      <c r="D183" s="1628" t="s">
        <v>230</v>
      </c>
      <c r="E183" s="1483"/>
      <c r="F183" s="1483"/>
      <c r="G183" s="1634"/>
      <c r="H183" s="1630"/>
      <c r="I183" s="1582"/>
      <c r="J183" s="1582"/>
      <c r="K183" s="1683">
        <v>127</v>
      </c>
      <c r="L183" s="1702"/>
      <c r="M183" s="1683"/>
      <c r="N183" s="1494"/>
      <c r="O183" s="1494"/>
      <c r="P183" s="1661">
        <f>SUM(I183:O183)</f>
        <v>127</v>
      </c>
      <c r="Q183" s="1631"/>
    </row>
    <row r="184" spans="1:17" ht="18" customHeight="1" x14ac:dyDescent="0.35">
      <c r="A184" s="1452">
        <v>175</v>
      </c>
      <c r="B184" s="1476"/>
      <c r="C184" s="1627"/>
      <c r="D184" s="1290" t="s">
        <v>231</v>
      </c>
      <c r="E184" s="1483"/>
      <c r="F184" s="1483"/>
      <c r="G184" s="1634"/>
      <c r="H184" s="1630"/>
      <c r="I184" s="1582"/>
      <c r="J184" s="1582"/>
      <c r="K184" s="1582">
        <v>127</v>
      </c>
      <c r="L184" s="1494"/>
      <c r="M184" s="1582"/>
      <c r="N184" s="1494"/>
      <c r="O184" s="1494"/>
      <c r="P184" s="1222">
        <f>SUM(I184:O184)</f>
        <v>127</v>
      </c>
      <c r="Q184" s="1631"/>
    </row>
    <row r="185" spans="1:17" ht="18" customHeight="1" x14ac:dyDescent="0.35">
      <c r="A185" s="1452">
        <v>176</v>
      </c>
      <c r="B185" s="1476"/>
      <c r="C185" s="1627"/>
      <c r="D185" s="1484" t="s">
        <v>245</v>
      </c>
      <c r="E185" s="1483"/>
      <c r="F185" s="1483"/>
      <c r="G185" s="1634"/>
      <c r="H185" s="1630"/>
      <c r="I185" s="1582"/>
      <c r="J185" s="1582"/>
      <c r="K185" s="1683"/>
      <c r="L185" s="1702"/>
      <c r="M185" s="1683"/>
      <c r="N185" s="1494"/>
      <c r="O185" s="1494"/>
      <c r="P185" s="1217">
        <f>SUM(J185:O185)</f>
        <v>0</v>
      </c>
      <c r="Q185" s="1631"/>
    </row>
    <row r="186" spans="1:17" ht="18" customHeight="1" x14ac:dyDescent="0.35">
      <c r="A186" s="1452">
        <v>177</v>
      </c>
      <c r="B186" s="1476"/>
      <c r="C186" s="1684"/>
      <c r="D186" s="1733" t="s">
        <v>233</v>
      </c>
      <c r="E186" s="1666"/>
      <c r="F186" s="1666"/>
      <c r="G186" s="1667"/>
      <c r="H186" s="1668"/>
      <c r="I186" s="1690"/>
      <c r="J186" s="1690"/>
      <c r="K186" s="1690">
        <f>SUM(K184:K185)</f>
        <v>127</v>
      </c>
      <c r="L186" s="1704"/>
      <c r="M186" s="1689"/>
      <c r="N186" s="1737"/>
      <c r="O186" s="1737"/>
      <c r="P186" s="1406">
        <f>SUM(J186:O186)</f>
        <v>127</v>
      </c>
      <c r="Q186" s="1705"/>
    </row>
    <row r="187" spans="1:17" ht="24.75" customHeight="1" x14ac:dyDescent="0.35">
      <c r="A187" s="1452">
        <v>178</v>
      </c>
      <c r="B187" s="1476"/>
      <c r="C187" s="1693">
        <v>61</v>
      </c>
      <c r="D187" s="1618" t="s">
        <v>351</v>
      </c>
      <c r="E187" s="1307"/>
      <c r="F187" s="1307"/>
      <c r="G187" s="1706"/>
      <c r="H187" s="1459" t="s">
        <v>296</v>
      </c>
      <c r="I187" s="1752"/>
      <c r="J187" s="1752"/>
      <c r="K187" s="1752"/>
      <c r="L187" s="1620"/>
      <c r="M187" s="1752"/>
      <c r="N187" s="1620"/>
      <c r="O187" s="1620"/>
      <c r="P187" s="1303"/>
      <c r="Q187" s="1707"/>
    </row>
    <row r="188" spans="1:17" ht="18" customHeight="1" x14ac:dyDescent="0.35">
      <c r="A188" s="1452">
        <v>179</v>
      </c>
      <c r="B188" s="1476"/>
      <c r="C188" s="1627"/>
      <c r="D188" s="1708" t="s">
        <v>1039</v>
      </c>
      <c r="E188" s="1467">
        <f>F188+G188+P192</f>
        <v>186204</v>
      </c>
      <c r="F188" s="1483"/>
      <c r="G188" s="1596">
        <v>3644</v>
      </c>
      <c r="H188" s="1630"/>
      <c r="I188" s="1582"/>
      <c r="J188" s="1582"/>
      <c r="K188" s="1582"/>
      <c r="L188" s="1494"/>
      <c r="M188" s="1582"/>
      <c r="N188" s="1494"/>
      <c r="O188" s="1494"/>
      <c r="P188" s="1222"/>
      <c r="Q188" s="1631"/>
    </row>
    <row r="189" spans="1:17" ht="18" customHeight="1" x14ac:dyDescent="0.35">
      <c r="A189" s="1452">
        <v>180</v>
      </c>
      <c r="B189" s="1476"/>
      <c r="C189" s="1635"/>
      <c r="D189" s="1636" t="s">
        <v>230</v>
      </c>
      <c r="E189" s="1637"/>
      <c r="F189" s="1637"/>
      <c r="G189" s="1638"/>
      <c r="H189" s="1639"/>
      <c r="I189" s="1678"/>
      <c r="J189" s="1678"/>
      <c r="K189" s="1678">
        <v>751</v>
      </c>
      <c r="L189" s="1721"/>
      <c r="M189" s="1678">
        <v>181730</v>
      </c>
      <c r="N189" s="1712"/>
      <c r="O189" s="1712"/>
      <c r="P189" s="1680">
        <f>SUM(I189:O189)</f>
        <v>182481</v>
      </c>
      <c r="Q189" s="1640"/>
    </row>
    <row r="190" spans="1:17" ht="18" customHeight="1" x14ac:dyDescent="0.35">
      <c r="A190" s="1452">
        <v>181</v>
      </c>
      <c r="B190" s="1476"/>
      <c r="C190" s="1635"/>
      <c r="D190" s="1290" t="s">
        <v>231</v>
      </c>
      <c r="E190" s="1637"/>
      <c r="F190" s="1637"/>
      <c r="G190" s="1638"/>
      <c r="H190" s="1639"/>
      <c r="I190" s="1679"/>
      <c r="J190" s="1679"/>
      <c r="K190" s="1679">
        <v>830</v>
      </c>
      <c r="L190" s="1712"/>
      <c r="M190" s="1679">
        <v>181730</v>
      </c>
      <c r="N190" s="1712"/>
      <c r="O190" s="1712"/>
      <c r="P190" s="1289">
        <f>SUM(I190:O190)</f>
        <v>182560</v>
      </c>
      <c r="Q190" s="1640"/>
    </row>
    <row r="191" spans="1:17" ht="18" customHeight="1" x14ac:dyDescent="0.35">
      <c r="A191" s="1452">
        <v>182</v>
      </c>
      <c r="B191" s="1476"/>
      <c r="C191" s="1627"/>
      <c r="D191" s="1484" t="s">
        <v>232</v>
      </c>
      <c r="E191" s="1483"/>
      <c r="F191" s="1483"/>
      <c r="G191" s="1634"/>
      <c r="H191" s="1630"/>
      <c r="I191" s="1683"/>
      <c r="J191" s="1683"/>
      <c r="K191" s="1590"/>
      <c r="L191" s="1702"/>
      <c r="M191" s="1683"/>
      <c r="N191" s="1494"/>
      <c r="O191" s="1494"/>
      <c r="P191" s="1217">
        <f>SUM(J191:O191)</f>
        <v>0</v>
      </c>
      <c r="Q191" s="1631"/>
    </row>
    <row r="192" spans="1:17" ht="18" customHeight="1" x14ac:dyDescent="0.35">
      <c r="A192" s="1452">
        <v>183</v>
      </c>
      <c r="B192" s="1476"/>
      <c r="C192" s="1684"/>
      <c r="D192" s="1733" t="s">
        <v>233</v>
      </c>
      <c r="E192" s="1666"/>
      <c r="F192" s="1666"/>
      <c r="G192" s="1667"/>
      <c r="H192" s="1668"/>
      <c r="I192" s="1689"/>
      <c r="J192" s="1689"/>
      <c r="K192" s="1690">
        <f>SUM(K190:K191)</f>
        <v>830</v>
      </c>
      <c r="L192" s="1690"/>
      <c r="M192" s="1690">
        <f>SUM(M190:M191)</f>
        <v>181730</v>
      </c>
      <c r="N192" s="1737"/>
      <c r="O192" s="1737"/>
      <c r="P192" s="1406">
        <f>SUM(J192:O192)</f>
        <v>182560</v>
      </c>
      <c r="Q192" s="1705"/>
    </row>
    <row r="193" spans="1:17" ht="24.75" customHeight="1" x14ac:dyDescent="0.35">
      <c r="A193" s="1452">
        <v>184</v>
      </c>
      <c r="B193" s="1476"/>
      <c r="C193" s="1693">
        <v>62</v>
      </c>
      <c r="D193" s="1618" t="s">
        <v>316</v>
      </c>
      <c r="E193" s="1307"/>
      <c r="F193" s="1307"/>
      <c r="G193" s="1706"/>
      <c r="H193" s="1459" t="s">
        <v>296</v>
      </c>
      <c r="I193" s="1752"/>
      <c r="J193" s="1752"/>
      <c r="K193" s="1752"/>
      <c r="L193" s="1620"/>
      <c r="M193" s="1752"/>
      <c r="N193" s="1620"/>
      <c r="O193" s="1620"/>
      <c r="P193" s="1303"/>
      <c r="Q193" s="1707"/>
    </row>
    <row r="194" spans="1:17" ht="33.75" customHeight="1" x14ac:dyDescent="0.35">
      <c r="A194" s="1452">
        <v>185</v>
      </c>
      <c r="B194" s="1476"/>
      <c r="C194" s="1627"/>
      <c r="D194" s="1754" t="s">
        <v>1040</v>
      </c>
      <c r="E194" s="1467">
        <f>F194+G194+P198+1082</f>
        <v>202709</v>
      </c>
      <c r="F194" s="1483"/>
      <c r="G194" s="1709">
        <v>36884</v>
      </c>
      <c r="H194" s="1630"/>
      <c r="I194" s="1582"/>
      <c r="J194" s="1582"/>
      <c r="K194" s="1582"/>
      <c r="L194" s="1494"/>
      <c r="M194" s="1582"/>
      <c r="N194" s="1494"/>
      <c r="O194" s="1494"/>
      <c r="P194" s="1222"/>
      <c r="Q194" s="1631"/>
    </row>
    <row r="195" spans="1:17" ht="18" customHeight="1" x14ac:dyDescent="0.35">
      <c r="A195" s="1452">
        <v>186</v>
      </c>
      <c r="B195" s="1662"/>
      <c r="C195" s="1262"/>
      <c r="D195" s="1636" t="s">
        <v>230</v>
      </c>
      <c r="E195" s="1501"/>
      <c r="F195" s="1586"/>
      <c r="G195" s="1502"/>
      <c r="H195" s="1503"/>
      <c r="I195" s="1678"/>
      <c r="J195" s="1678"/>
      <c r="K195" s="1678">
        <v>550</v>
      </c>
      <c r="L195" s="1641"/>
      <c r="M195" s="1588">
        <v>164193</v>
      </c>
      <c r="N195" s="1641"/>
      <c r="O195" s="1641"/>
      <c r="P195" s="1680">
        <f>SUM(I195:O195)</f>
        <v>164743</v>
      </c>
      <c r="Q195" s="1508"/>
    </row>
    <row r="196" spans="1:17" ht="18" customHeight="1" x14ac:dyDescent="0.35">
      <c r="A196" s="1452">
        <v>187</v>
      </c>
      <c r="B196" s="1763"/>
      <c r="C196" s="1262"/>
      <c r="D196" s="1290" t="s">
        <v>231</v>
      </c>
      <c r="E196" s="1501"/>
      <c r="F196" s="1586"/>
      <c r="G196" s="1510"/>
      <c r="H196" s="1503"/>
      <c r="I196" s="1679"/>
      <c r="J196" s="1679"/>
      <c r="K196" s="1679">
        <v>356</v>
      </c>
      <c r="L196" s="1679">
        <v>193</v>
      </c>
      <c r="M196" s="1679">
        <v>162931</v>
      </c>
      <c r="N196" s="1679"/>
      <c r="O196" s="1679">
        <v>1263</v>
      </c>
      <c r="P196" s="1289">
        <f>SUM(I196:O196)</f>
        <v>164743</v>
      </c>
      <c r="Q196" s="1508"/>
    </row>
    <row r="197" spans="1:17" ht="18" customHeight="1" x14ac:dyDescent="0.35">
      <c r="A197" s="1452">
        <v>188</v>
      </c>
      <c r="B197" s="1677"/>
      <c r="C197" s="1197"/>
      <c r="D197" s="1484" t="s">
        <v>232</v>
      </c>
      <c r="E197" s="1468"/>
      <c r="F197" s="1490"/>
      <c r="G197" s="1520"/>
      <c r="H197" s="1479"/>
      <c r="I197" s="1590"/>
      <c r="J197" s="1590"/>
      <c r="K197" s="1590"/>
      <c r="L197" s="1590"/>
      <c r="M197" s="1590"/>
      <c r="N197" s="1590"/>
      <c r="O197" s="1590"/>
      <c r="P197" s="1217">
        <f>SUM(J197:O197)</f>
        <v>0</v>
      </c>
      <c r="Q197" s="1475"/>
    </row>
    <row r="198" spans="1:17" ht="18" customHeight="1" x14ac:dyDescent="0.35">
      <c r="A198" s="1452">
        <v>189</v>
      </c>
      <c r="B198" s="1756"/>
      <c r="C198" s="1664"/>
      <c r="D198" s="1733" t="s">
        <v>233</v>
      </c>
      <c r="E198" s="1685"/>
      <c r="F198" s="1686"/>
      <c r="G198" s="1685"/>
      <c r="H198" s="1764"/>
      <c r="I198" s="1689"/>
      <c r="J198" s="1689"/>
      <c r="K198" s="1690">
        <f>SUM(K196:K197)</f>
        <v>356</v>
      </c>
      <c r="L198" s="1690">
        <f>SUM(L196:L197)</f>
        <v>193</v>
      </c>
      <c r="M198" s="1690">
        <f>SUM(M196:M197)</f>
        <v>162931</v>
      </c>
      <c r="N198" s="1690"/>
      <c r="O198" s="1690">
        <f>SUM(O196:O197)</f>
        <v>1263</v>
      </c>
      <c r="P198" s="1406">
        <f>SUM(J198:O198)</f>
        <v>164743</v>
      </c>
      <c r="Q198" s="1765"/>
    </row>
    <row r="199" spans="1:17" ht="24.75" customHeight="1" x14ac:dyDescent="0.35">
      <c r="A199" s="1452">
        <v>190</v>
      </c>
      <c r="B199" s="1677"/>
      <c r="C199" s="1281">
        <v>63</v>
      </c>
      <c r="D199" s="1618" t="s">
        <v>1041</v>
      </c>
      <c r="E199" s="1766"/>
      <c r="F199" s="1457"/>
      <c r="G199" s="1766"/>
      <c r="H199" s="1459" t="s">
        <v>296</v>
      </c>
      <c r="I199" s="1767"/>
      <c r="J199" s="1767"/>
      <c r="K199" s="1752"/>
      <c r="L199" s="1752"/>
      <c r="M199" s="1752"/>
      <c r="N199" s="1752"/>
      <c r="O199" s="1752"/>
      <c r="P199" s="1621"/>
      <c r="Q199" s="1463"/>
    </row>
    <row r="200" spans="1:17" ht="18" customHeight="1" x14ac:dyDescent="0.35">
      <c r="A200" s="1452">
        <v>191</v>
      </c>
      <c r="B200" s="1677"/>
      <c r="C200" s="1197"/>
      <c r="D200" s="1754" t="s">
        <v>25</v>
      </c>
      <c r="E200" s="1468">
        <f>F200+G200+P203+42500+5525+2260</f>
        <v>293632</v>
      </c>
      <c r="F200" s="1490"/>
      <c r="G200" s="1520"/>
      <c r="H200" s="1479"/>
      <c r="I200" s="1683"/>
      <c r="J200" s="1683"/>
      <c r="K200" s="1582"/>
      <c r="L200" s="1582"/>
      <c r="M200" s="1582"/>
      <c r="N200" s="1582"/>
      <c r="O200" s="1582"/>
      <c r="P200" s="1768"/>
      <c r="Q200" s="1475"/>
    </row>
    <row r="201" spans="1:17" ht="18" customHeight="1" x14ac:dyDescent="0.35">
      <c r="A201" s="1452">
        <v>192</v>
      </c>
      <c r="B201" s="1677"/>
      <c r="C201" s="1197"/>
      <c r="D201" s="1290" t="s">
        <v>231</v>
      </c>
      <c r="E201" s="1468"/>
      <c r="F201" s="1490"/>
      <c r="G201" s="1520"/>
      <c r="H201" s="1479"/>
      <c r="I201" s="1582">
        <v>7211</v>
      </c>
      <c r="J201" s="1582">
        <v>1072</v>
      </c>
      <c r="K201" s="1582">
        <v>204371</v>
      </c>
      <c r="L201" s="1582"/>
      <c r="M201" s="1582">
        <v>30693</v>
      </c>
      <c r="N201" s="1582"/>
      <c r="O201" s="1582"/>
      <c r="P201" s="1289">
        <f>SUM(I201:O201)</f>
        <v>243347</v>
      </c>
      <c r="Q201" s="1475"/>
    </row>
    <row r="202" spans="1:17" ht="18" customHeight="1" x14ac:dyDescent="0.35">
      <c r="A202" s="1452">
        <v>193</v>
      </c>
      <c r="B202" s="1677"/>
      <c r="C202" s="1197"/>
      <c r="D202" s="1484" t="s">
        <v>287</v>
      </c>
      <c r="E202" s="1468"/>
      <c r="F202" s="1490"/>
      <c r="G202" s="1520"/>
      <c r="H202" s="1479"/>
      <c r="I202" s="1590">
        <v>-158</v>
      </c>
      <c r="J202" s="1590"/>
      <c r="K202" s="1590">
        <v>158</v>
      </c>
      <c r="L202" s="1590"/>
      <c r="M202" s="1590"/>
      <c r="N202" s="1582"/>
      <c r="O202" s="1582"/>
      <c r="P202" s="1217">
        <f>SUM(I202:O202)</f>
        <v>0</v>
      </c>
      <c r="Q202" s="1475"/>
    </row>
    <row r="203" spans="1:17" ht="18" customHeight="1" x14ac:dyDescent="0.35">
      <c r="A203" s="1452">
        <v>194</v>
      </c>
      <c r="B203" s="1769"/>
      <c r="C203" s="1770"/>
      <c r="D203" s="1550" t="s">
        <v>233</v>
      </c>
      <c r="E203" s="1771"/>
      <c r="F203" s="1602"/>
      <c r="G203" s="1772"/>
      <c r="H203" s="1773"/>
      <c r="I203" s="1774">
        <f>SUM(I201:I202)</f>
        <v>7053</v>
      </c>
      <c r="J203" s="1774">
        <f>SUM(J201:J202)</f>
        <v>1072</v>
      </c>
      <c r="K203" s="1774">
        <f>SUM(K201:K202)</f>
        <v>204529</v>
      </c>
      <c r="L203" s="1774"/>
      <c r="M203" s="1774">
        <f>SUM(M201:M202)</f>
        <v>30693</v>
      </c>
      <c r="N203" s="1774"/>
      <c r="O203" s="1774"/>
      <c r="P203" s="1554">
        <f>SUM(I203:O203)</f>
        <v>243347</v>
      </c>
      <c r="Q203" s="1775"/>
    </row>
    <row r="204" spans="1:17" ht="27" customHeight="1" x14ac:dyDescent="0.35">
      <c r="A204" s="1452">
        <v>195</v>
      </c>
      <c r="B204" s="2025" t="s">
        <v>278</v>
      </c>
      <c r="C204" s="2025"/>
      <c r="D204" s="2025"/>
      <c r="E204" s="2025"/>
      <c r="F204" s="2025"/>
      <c r="G204" s="2025"/>
      <c r="H204" s="1459"/>
      <c r="I204" s="1767"/>
      <c r="J204" s="1767"/>
      <c r="K204" s="1767"/>
      <c r="L204" s="1752"/>
      <c r="M204" s="1776"/>
      <c r="N204" s="1752"/>
      <c r="O204" s="1752"/>
      <c r="P204" s="1777"/>
      <c r="Q204" s="1463"/>
    </row>
    <row r="205" spans="1:17" s="1541" customFormat="1" ht="19.5" customHeight="1" x14ac:dyDescent="0.2">
      <c r="A205" s="1452">
        <v>196</v>
      </c>
      <c r="B205" s="1533"/>
      <c r="C205" s="1534"/>
      <c r="D205" s="1778" t="s">
        <v>230</v>
      </c>
      <c r="E205" s="1535"/>
      <c r="F205" s="1535"/>
      <c r="G205" s="1536"/>
      <c r="H205" s="1537"/>
      <c r="I205" s="1538">
        <f t="shared" ref="I205:O205" si="4">I31+I105+I195+I189+I183+I177+I171+I165+I159+I153+I147+I141+I135+I63+I129+I123+I117+I111+I99+I93+I87+I81+I75+I69+I37+I26</f>
        <v>3135</v>
      </c>
      <c r="J205" s="1538">
        <f t="shared" si="4"/>
        <v>2093</v>
      </c>
      <c r="K205" s="1538">
        <f t="shared" si="4"/>
        <v>338774</v>
      </c>
      <c r="L205" s="1538">
        <f t="shared" si="4"/>
        <v>84840</v>
      </c>
      <c r="M205" s="1538">
        <f t="shared" si="4"/>
        <v>3436196</v>
      </c>
      <c r="N205" s="1538">
        <f t="shared" si="4"/>
        <v>0</v>
      </c>
      <c r="O205" s="1538">
        <f t="shared" si="4"/>
        <v>14</v>
      </c>
      <c r="P205" s="1538">
        <f>SUM(I205:O205)</f>
        <v>3865052</v>
      </c>
      <c r="Q205" s="1779"/>
    </row>
    <row r="206" spans="1:17" s="1541" customFormat="1" ht="19.5" customHeight="1" x14ac:dyDescent="0.35">
      <c r="A206" s="1452">
        <v>197</v>
      </c>
      <c r="B206" s="1533"/>
      <c r="C206" s="1534"/>
      <c r="D206" s="1290" t="s">
        <v>231</v>
      </c>
      <c r="E206" s="1535"/>
      <c r="F206" s="1535"/>
      <c r="G206" s="1536"/>
      <c r="H206" s="1542"/>
      <c r="I206" s="1543">
        <f t="shared" ref="I206:O206" si="5">I32+I106+I196+I190+I184+I178+I172+I166+I160+I154+I148+I142+I136+I64+I130+I124+I118+I112+I100+I94+I88+I82+I76+I70+I38+I27+I201</f>
        <v>8128</v>
      </c>
      <c r="J206" s="1543">
        <f t="shared" si="5"/>
        <v>2993</v>
      </c>
      <c r="K206" s="1543">
        <f t="shared" si="5"/>
        <v>554978</v>
      </c>
      <c r="L206" s="1543">
        <f t="shared" si="5"/>
        <v>99540</v>
      </c>
      <c r="M206" s="1543">
        <f t="shared" si="5"/>
        <v>3617259</v>
      </c>
      <c r="N206" s="1543">
        <f t="shared" si="5"/>
        <v>0</v>
      </c>
      <c r="O206" s="1543">
        <f t="shared" si="5"/>
        <v>28248</v>
      </c>
      <c r="P206" s="1209">
        <f>SUM(I206:O206)</f>
        <v>4311146</v>
      </c>
      <c r="Q206" s="1780"/>
    </row>
    <row r="207" spans="1:17" s="1541" customFormat="1" ht="19.5" customHeight="1" x14ac:dyDescent="0.35">
      <c r="A207" s="1452">
        <v>198</v>
      </c>
      <c r="B207" s="1545"/>
      <c r="C207" s="1535"/>
      <c r="D207" s="1388" t="s">
        <v>245</v>
      </c>
      <c r="E207" s="1535"/>
      <c r="F207" s="1535"/>
      <c r="G207" s="1546"/>
      <c r="H207" s="1193"/>
      <c r="I207" s="1216">
        <f t="shared" ref="I207:O207" si="6">I197+I191+I185+I179+I173+I167+I161+I155+I149+I143+I137+I131+I125+I119+I113+I101+I95+I89+I83+I77+I71+I65+I39+I28+I33+I107+I202</f>
        <v>-158</v>
      </c>
      <c r="J207" s="1216">
        <f t="shared" si="6"/>
        <v>0</v>
      </c>
      <c r="K207" s="1216">
        <f t="shared" si="6"/>
        <v>158</v>
      </c>
      <c r="L207" s="1216">
        <f t="shared" si="6"/>
        <v>0</v>
      </c>
      <c r="M207" s="1216">
        <f t="shared" si="6"/>
        <v>0</v>
      </c>
      <c r="N207" s="1216">
        <f t="shared" si="6"/>
        <v>0</v>
      </c>
      <c r="O207" s="1216">
        <f t="shared" si="6"/>
        <v>0</v>
      </c>
      <c r="P207" s="1217">
        <f>SUM(I207:O207)</f>
        <v>0</v>
      </c>
      <c r="Q207" s="1321"/>
    </row>
    <row r="208" spans="1:17" s="1541" customFormat="1" ht="19.5" customHeight="1" x14ac:dyDescent="0.35">
      <c r="A208" s="1452">
        <v>199</v>
      </c>
      <c r="B208" s="1781"/>
      <c r="C208" s="1782"/>
      <c r="D208" s="1783" t="s">
        <v>233</v>
      </c>
      <c r="E208" s="1782"/>
      <c r="F208" s="1782"/>
      <c r="G208" s="1784"/>
      <c r="H208" s="1785"/>
      <c r="I208" s="1786">
        <f t="shared" ref="I208:O208" si="7">SUM(I206:I207)</f>
        <v>7970</v>
      </c>
      <c r="J208" s="1786">
        <f t="shared" si="7"/>
        <v>2993</v>
      </c>
      <c r="K208" s="1786">
        <f t="shared" si="7"/>
        <v>555136</v>
      </c>
      <c r="L208" s="1786">
        <f t="shared" si="7"/>
        <v>99540</v>
      </c>
      <c r="M208" s="1786">
        <f t="shared" si="7"/>
        <v>3617259</v>
      </c>
      <c r="N208" s="1786">
        <f t="shared" si="7"/>
        <v>0</v>
      </c>
      <c r="O208" s="1786">
        <f t="shared" si="7"/>
        <v>28248</v>
      </c>
      <c r="P208" s="1554">
        <f>SUM(I208:O208)</f>
        <v>4311146</v>
      </c>
      <c r="Q208" s="1787"/>
    </row>
    <row r="209" spans="2:16" ht="16.5" customHeight="1" x14ac:dyDescent="0.35">
      <c r="B209" s="1556" t="s">
        <v>357</v>
      </c>
      <c r="C209" s="1557"/>
      <c r="D209" s="1556"/>
      <c r="E209" s="1558"/>
      <c r="F209" s="1559"/>
      <c r="G209" s="1558"/>
      <c r="H209" s="1444"/>
      <c r="I209" s="1558"/>
      <c r="J209" s="1558"/>
      <c r="K209" s="1558"/>
      <c r="L209" s="1558"/>
      <c r="M209" s="1558"/>
      <c r="N209" s="1558"/>
      <c r="O209" s="1558"/>
      <c r="P209" s="1560"/>
    </row>
    <row r="210" spans="2:16" ht="16.5" customHeight="1" x14ac:dyDescent="0.35">
      <c r="B210" s="1556" t="s">
        <v>358</v>
      </c>
      <c r="C210" s="1557"/>
      <c r="D210" s="1556"/>
      <c r="E210" s="1162"/>
      <c r="F210" s="1559"/>
      <c r="G210" s="1558"/>
      <c r="H210" s="1444"/>
      <c r="I210" s="1558"/>
      <c r="J210" s="1558"/>
      <c r="K210" s="1558"/>
      <c r="L210" s="1558"/>
      <c r="M210" s="1558"/>
      <c r="N210" s="1558"/>
      <c r="O210" s="1558"/>
      <c r="P210" s="1560"/>
    </row>
    <row r="211" spans="2:16" ht="16.5" customHeight="1" x14ac:dyDescent="0.35">
      <c r="B211" s="1556" t="s">
        <v>359</v>
      </c>
      <c r="C211" s="1557"/>
      <c r="D211" s="1556"/>
      <c r="E211" s="1162"/>
      <c r="F211" s="1559"/>
      <c r="G211" s="1558"/>
      <c r="H211" s="1444"/>
      <c r="I211" s="1558"/>
      <c r="J211" s="1558"/>
      <c r="K211" s="1558"/>
      <c r="L211" s="1558"/>
      <c r="M211" s="1558"/>
      <c r="N211" s="1558"/>
      <c r="O211" s="1558"/>
      <c r="P211" s="1560"/>
    </row>
    <row r="212" spans="2:16" ht="16.5" customHeight="1" x14ac:dyDescent="0.35">
      <c r="B212" s="1561" t="s">
        <v>983</v>
      </c>
      <c r="C212" s="1561"/>
    </row>
  </sheetData>
  <mergeCells count="18">
    <mergeCell ref="B1:J1"/>
    <mergeCell ref="I2:Q2"/>
    <mergeCell ref="A3:Q3"/>
    <mergeCell ref="A4:Q4"/>
    <mergeCell ref="B7:B9"/>
    <mergeCell ref="C7:C9"/>
    <mergeCell ref="D7:D9"/>
    <mergeCell ref="E7:E9"/>
    <mergeCell ref="F7:F9"/>
    <mergeCell ref="G7:G9"/>
    <mergeCell ref="H7:H9"/>
    <mergeCell ref="I7:P7"/>
    <mergeCell ref="Q7:Q9"/>
    <mergeCell ref="R7:S7"/>
    <mergeCell ref="I8:L8"/>
    <mergeCell ref="M8:O8"/>
    <mergeCell ref="P8:P9"/>
    <mergeCell ref="B204:G204"/>
  </mergeCells>
  <printOptions horizontalCentered="1"/>
  <pageMargins left="0.196527777777778" right="0.196527777777778" top="0.59027777777777801" bottom="0.59027777777777801" header="0.511811023622047" footer="0.51180555555555596"/>
  <pageSetup paperSize="9" scale="58" fitToHeight="0" orientation="landscape" horizontalDpi="300" verticalDpi="300" r:id="rId1"/>
  <headerFooter>
    <oddFooter>&amp;C- &amp;P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0"/>
  <sheetViews>
    <sheetView view="pageBreakPreview" zoomScale="75" zoomScaleNormal="75" zoomScalePageLayoutView="75" workbookViewId="0">
      <selection activeCell="B1" sqref="B1"/>
    </sheetView>
  </sheetViews>
  <sheetFormatPr defaultColWidth="9.28515625" defaultRowHeight="16.5" x14ac:dyDescent="0.3"/>
  <cols>
    <col min="1" max="1" width="4.7109375" style="14" customWidth="1"/>
    <col min="2" max="3" width="5.7109375" style="27" customWidth="1"/>
    <col min="4" max="4" width="55.7109375" style="8" customWidth="1"/>
    <col min="5" max="6" width="15.7109375" style="11" customWidth="1"/>
    <col min="7" max="7" width="15.85546875" style="11" customWidth="1"/>
    <col min="8" max="8" width="17.7109375" style="11" customWidth="1"/>
    <col min="9" max="10" width="5.7109375" style="27" customWidth="1"/>
    <col min="11" max="11" width="60.7109375" style="8" customWidth="1"/>
    <col min="12" max="13" width="15.7109375" style="11" customWidth="1"/>
    <col min="14" max="14" width="17.7109375" style="11" customWidth="1"/>
    <col min="15" max="15" width="17.7109375" style="8" customWidth="1"/>
    <col min="16" max="16384" width="9.28515625" style="8"/>
  </cols>
  <sheetData>
    <row r="1" spans="1:15" x14ac:dyDescent="0.3">
      <c r="B1" s="8" t="s">
        <v>1112</v>
      </c>
      <c r="C1" s="8"/>
      <c r="E1" s="8"/>
      <c r="F1" s="8"/>
      <c r="G1" s="8"/>
      <c r="H1" s="8"/>
      <c r="I1" s="8"/>
      <c r="J1" s="8"/>
    </row>
    <row r="2" spans="1:15" s="12" customFormat="1" ht="18" customHeight="1" x14ac:dyDescent="0.2">
      <c r="A2" s="6"/>
      <c r="B2" s="2026" t="s">
        <v>1042</v>
      </c>
      <c r="C2" s="2026"/>
      <c r="D2" s="2026"/>
      <c r="E2" s="79"/>
      <c r="F2" s="79"/>
      <c r="G2" s="79"/>
      <c r="H2" s="79"/>
      <c r="I2" s="1788"/>
      <c r="J2" s="1788"/>
      <c r="L2" s="79"/>
      <c r="M2" s="79"/>
      <c r="N2" s="79"/>
    </row>
    <row r="3" spans="1:15" s="12" customFormat="1" ht="24.75" customHeight="1" x14ac:dyDescent="0.2">
      <c r="A3" s="6"/>
      <c r="B3" s="1927" t="s">
        <v>1043</v>
      </c>
      <c r="C3" s="1927"/>
      <c r="D3" s="1927"/>
      <c r="E3" s="1927"/>
      <c r="F3" s="1927"/>
      <c r="G3" s="1927"/>
      <c r="H3" s="1927"/>
      <c r="I3" s="1927"/>
      <c r="J3" s="1927"/>
      <c r="K3" s="1927"/>
      <c r="L3" s="1927"/>
      <c r="M3" s="1927"/>
      <c r="N3" s="1927"/>
      <c r="O3" s="1927"/>
    </row>
    <row r="4" spans="1:15" s="12" customFormat="1" ht="24.75" customHeight="1" x14ac:dyDescent="0.2">
      <c r="A4" s="6"/>
      <c r="B4" s="1927" t="s">
        <v>1044</v>
      </c>
      <c r="C4" s="1927"/>
      <c r="D4" s="1927"/>
      <c r="E4" s="1927"/>
      <c r="F4" s="1927"/>
      <c r="G4" s="1927"/>
      <c r="H4" s="1927"/>
      <c r="I4" s="1927"/>
      <c r="J4" s="1927"/>
      <c r="K4" s="1927"/>
      <c r="L4" s="1927"/>
      <c r="M4" s="1927"/>
      <c r="N4" s="1927"/>
      <c r="O4" s="1927"/>
    </row>
    <row r="5" spans="1:15" s="1791" customFormat="1" ht="12.75" customHeight="1" x14ac:dyDescent="0.2">
      <c r="A5" s="1789"/>
      <c r="B5" s="1790"/>
      <c r="C5" s="1790"/>
      <c r="D5" s="1790"/>
      <c r="E5" s="1790"/>
      <c r="F5" s="1790"/>
      <c r="G5" s="1790"/>
      <c r="H5" s="1790"/>
      <c r="I5" s="1790"/>
      <c r="J5" s="1790"/>
      <c r="K5" s="1790"/>
      <c r="L5" s="427"/>
      <c r="M5" s="427"/>
      <c r="N5" s="427"/>
      <c r="O5" s="427" t="s">
        <v>0</v>
      </c>
    </row>
    <row r="6" spans="1:15" s="38" customFormat="1" ht="18" customHeight="1" x14ac:dyDescent="0.3">
      <c r="B6" s="26" t="s">
        <v>1</v>
      </c>
      <c r="C6" s="26" t="s">
        <v>2</v>
      </c>
      <c r="D6" s="26" t="s">
        <v>98</v>
      </c>
      <c r="E6" s="26" t="s">
        <v>99</v>
      </c>
      <c r="F6" s="26" t="s">
        <v>100</v>
      </c>
      <c r="G6" s="26" t="s">
        <v>101</v>
      </c>
      <c r="H6" s="26" t="s">
        <v>102</v>
      </c>
      <c r="I6" s="26" t="s">
        <v>103</v>
      </c>
      <c r="J6" s="26" t="s">
        <v>104</v>
      </c>
      <c r="K6" s="36" t="s">
        <v>105</v>
      </c>
      <c r="L6" s="36" t="s">
        <v>106</v>
      </c>
      <c r="M6" s="36" t="s">
        <v>107</v>
      </c>
      <c r="N6" s="36" t="s">
        <v>215</v>
      </c>
      <c r="O6" s="38" t="s">
        <v>216</v>
      </c>
    </row>
    <row r="7" spans="1:15" ht="66" x14ac:dyDescent="0.3">
      <c r="A7" s="14">
        <v>1</v>
      </c>
      <c r="B7" s="1792" t="s">
        <v>110</v>
      </c>
      <c r="C7" s="1793" t="s">
        <v>111</v>
      </c>
      <c r="D7" s="1794" t="s">
        <v>1045</v>
      </c>
      <c r="E7" s="1795" t="s">
        <v>113</v>
      </c>
      <c r="F7" s="1796" t="s">
        <v>1046</v>
      </c>
      <c r="G7" s="1795" t="s">
        <v>115</v>
      </c>
      <c r="H7" s="1797" t="s">
        <v>118</v>
      </c>
      <c r="I7" s="1793" t="s">
        <v>110</v>
      </c>
      <c r="J7" s="1793" t="s">
        <v>111</v>
      </c>
      <c r="K7" s="1794" t="s">
        <v>1045</v>
      </c>
      <c r="L7" s="1795" t="s">
        <v>113</v>
      </c>
      <c r="M7" s="1796" t="s">
        <v>1046</v>
      </c>
      <c r="N7" s="1795" t="s">
        <v>1047</v>
      </c>
      <c r="O7" s="1798" t="s">
        <v>118</v>
      </c>
    </row>
    <row r="8" spans="1:15" ht="24.75" customHeight="1" x14ac:dyDescent="0.35">
      <c r="A8" s="14">
        <v>2</v>
      </c>
      <c r="B8" s="69">
        <v>1</v>
      </c>
      <c r="C8" s="14"/>
      <c r="D8" s="7" t="s">
        <v>1048</v>
      </c>
      <c r="E8" s="1799"/>
      <c r="F8" s="1799"/>
      <c r="G8" s="1799"/>
      <c r="H8" s="1800"/>
      <c r="I8" s="14">
        <v>1</v>
      </c>
      <c r="J8" s="14"/>
      <c r="K8" s="7" t="s">
        <v>1049</v>
      </c>
      <c r="L8" s="1801"/>
      <c r="M8" s="1802"/>
      <c r="N8" s="1801"/>
      <c r="O8" s="1803"/>
    </row>
    <row r="9" spans="1:15" ht="15" customHeight="1" x14ac:dyDescent="0.3">
      <c r="A9" s="14">
        <v>3</v>
      </c>
      <c r="B9" s="69"/>
      <c r="C9" s="14">
        <v>1</v>
      </c>
      <c r="D9" s="8" t="s">
        <v>1050</v>
      </c>
      <c r="E9" s="1804">
        <v>6989779</v>
      </c>
      <c r="F9" s="1804">
        <v>8286893</v>
      </c>
      <c r="G9" s="1804">
        <f>'1.Onbe'!J9+'1.Onbe'!J21</f>
        <v>8440358</v>
      </c>
      <c r="H9" s="1805">
        <f>'1.Onbe'!M10+'1.Onbe'!M19+'1.Onbe'!M21</f>
        <v>8969801</v>
      </c>
      <c r="I9" s="14"/>
      <c r="J9" s="14">
        <v>1</v>
      </c>
      <c r="K9" s="8" t="s">
        <v>282</v>
      </c>
      <c r="L9" s="1806">
        <v>6443145</v>
      </c>
      <c r="M9" s="1807">
        <v>6738882</v>
      </c>
      <c r="N9" s="1806">
        <f>'4.Inki'!K282+'6.Önk.műk.'!J1065+'9.Projekt'!I99+'11.EKF'!I205</f>
        <v>7695400</v>
      </c>
      <c r="O9" s="1808">
        <f>'4.Inki'!K285+'6.Önk.műk.'!J1068+'9.Projekt'!I102+'11.EKF'!I208</f>
        <v>8641485</v>
      </c>
    </row>
    <row r="10" spans="1:15" ht="16.5" customHeight="1" x14ac:dyDescent="0.3">
      <c r="A10" s="14">
        <v>4</v>
      </c>
      <c r="B10" s="69"/>
      <c r="C10" s="14">
        <v>2</v>
      </c>
      <c r="D10" s="8" t="s">
        <v>6</v>
      </c>
      <c r="E10" s="1804">
        <v>10042100</v>
      </c>
      <c r="F10" s="1804">
        <v>15107943</v>
      </c>
      <c r="G10" s="1804">
        <f>'1.Onbe'!J22</f>
        <v>13625150</v>
      </c>
      <c r="H10" s="1805">
        <f>'1.Onbe'!M22</f>
        <v>14130119</v>
      </c>
      <c r="I10" s="14"/>
      <c r="J10" s="14">
        <v>2</v>
      </c>
      <c r="K10" s="8" t="s">
        <v>1051</v>
      </c>
      <c r="L10" s="1806">
        <v>957005</v>
      </c>
      <c r="M10" s="1807">
        <v>977106</v>
      </c>
      <c r="N10" s="1806">
        <f>'4.Inki'!L282+'6.Önk.műk.'!K1065+'9.Projekt'!J99+'11.EKF'!J205</f>
        <v>1147909</v>
      </c>
      <c r="O10" s="1808">
        <f>'4.Inki'!L285+'6.Önk.műk.'!K1068+'9.Projekt'!J102+'11.EKF'!J208</f>
        <v>1286961</v>
      </c>
    </row>
    <row r="11" spans="1:15" x14ac:dyDescent="0.3">
      <c r="A11" s="14">
        <v>5</v>
      </c>
      <c r="B11" s="69"/>
      <c r="C11" s="14">
        <v>3</v>
      </c>
      <c r="D11" s="10" t="s">
        <v>144</v>
      </c>
      <c r="E11" s="1804">
        <v>5101299</v>
      </c>
      <c r="F11" s="1804">
        <v>8978299</v>
      </c>
      <c r="G11" s="1804">
        <f>'1.Onbe'!J34+'1.Onbe'!J39</f>
        <v>4590770</v>
      </c>
      <c r="H11" s="1805">
        <f>'1.Onbe'!M34+'1.Onbe'!M39</f>
        <v>3996961</v>
      </c>
      <c r="I11" s="14"/>
      <c r="J11" s="14">
        <v>3</v>
      </c>
      <c r="K11" s="8" t="s">
        <v>284</v>
      </c>
      <c r="L11" s="1806">
        <v>9348866</v>
      </c>
      <c r="M11" s="1807">
        <v>8854467</v>
      </c>
      <c r="N11" s="1806">
        <f>'4.Inki'!M282+'6.Önk.műk.'!L1065+'7.Beruh.'!I688+'8.Felúj.'!I269+'9.Projekt'!K99+'11.EKF'!K205+103489</f>
        <v>9216212</v>
      </c>
      <c r="O11" s="1808">
        <f>'6.Önk.műk.'!L1068+'7.Beruh.'!I691+'8.Felúj.'!I272+'9.Projekt'!K102+'11.EKF'!K208+'4.Inki'!M285+'10.MVP és hazai'!K47</f>
        <v>11161552</v>
      </c>
    </row>
    <row r="12" spans="1:15" x14ac:dyDescent="0.3">
      <c r="A12" s="14">
        <v>6</v>
      </c>
      <c r="B12" s="69"/>
      <c r="C12" s="14">
        <v>4</v>
      </c>
      <c r="D12" s="8" t="s">
        <v>150</v>
      </c>
      <c r="E12" s="1804">
        <v>506232</v>
      </c>
      <c r="F12" s="1804">
        <v>1339641</v>
      </c>
      <c r="G12" s="1804">
        <f>'1.Onbe'!J40+'1.Onbe'!J43</f>
        <v>170538</v>
      </c>
      <c r="H12" s="1805">
        <f>'1.Onbe'!M40+'1.Onbe'!M43</f>
        <v>640483</v>
      </c>
      <c r="I12" s="14"/>
      <c r="J12" s="14">
        <v>4</v>
      </c>
      <c r="K12" s="8" t="s">
        <v>285</v>
      </c>
      <c r="L12" s="1806">
        <v>37995</v>
      </c>
      <c r="M12" s="1807">
        <v>14059</v>
      </c>
      <c r="N12" s="1806">
        <f>'4.Inki'!N282+'6.Önk.műk.'!M1065</f>
        <v>56795</v>
      </c>
      <c r="O12" s="1808">
        <f>'4.Inki'!N285+'6.Önk.műk.'!M1068</f>
        <v>57126</v>
      </c>
    </row>
    <row r="13" spans="1:15" x14ac:dyDescent="0.3">
      <c r="A13" s="14">
        <v>7</v>
      </c>
      <c r="B13" s="69"/>
      <c r="C13" s="14"/>
      <c r="D13" s="10"/>
      <c r="E13" s="1804"/>
      <c r="F13" s="1804"/>
      <c r="G13" s="1804"/>
      <c r="H13" s="1805"/>
      <c r="I13" s="14"/>
      <c r="J13" s="14">
        <v>5</v>
      </c>
      <c r="K13" s="9" t="s">
        <v>1052</v>
      </c>
      <c r="L13" s="1806">
        <v>7005039</v>
      </c>
      <c r="M13" s="1807">
        <v>8747969</v>
      </c>
      <c r="N13" s="1806">
        <f>'4.Inki'!O282+'6.Önk.műk.'!N1065+'9.Projekt'!L99+'11.EKF'!L205</f>
        <v>9224909</v>
      </c>
      <c r="O13" s="1808">
        <f>'4.Inki'!O285+'6.Önk.műk.'!N1068+'9.Projekt'!L102+'11.EKF'!L208</f>
        <v>10436178</v>
      </c>
    </row>
    <row r="14" spans="1:15" x14ac:dyDescent="0.3">
      <c r="A14" s="14">
        <v>8</v>
      </c>
      <c r="B14" s="69"/>
      <c r="C14" s="14"/>
      <c r="D14" s="10"/>
      <c r="E14" s="1804"/>
      <c r="F14" s="1804"/>
      <c r="G14" s="1804"/>
      <c r="H14" s="1805"/>
      <c r="I14" s="14"/>
      <c r="J14" s="14">
        <v>6</v>
      </c>
      <c r="K14" s="9" t="s">
        <v>1053</v>
      </c>
      <c r="L14" s="1806">
        <v>653367</v>
      </c>
      <c r="M14" s="1807"/>
      <c r="N14" s="1806">
        <f>'2.Onki'!J17+'2.Onki'!J31</f>
        <v>1021488</v>
      </c>
      <c r="O14" s="1808">
        <f>'2.Onki'!M17+'2.Onki'!M31</f>
        <v>79219</v>
      </c>
    </row>
    <row r="15" spans="1:15" s="12" customFormat="1" ht="24.75" customHeight="1" x14ac:dyDescent="0.3">
      <c r="A15" s="14">
        <v>9</v>
      </c>
      <c r="B15" s="1809"/>
      <c r="C15" s="1810"/>
      <c r="D15" s="1811" t="s">
        <v>1054</v>
      </c>
      <c r="E15" s="1812">
        <f>SUM(E9:E14)</f>
        <v>22639410</v>
      </c>
      <c r="F15" s="1812">
        <f>SUM(F9:F14)</f>
        <v>33712776</v>
      </c>
      <c r="G15" s="1812">
        <f>SUM(G9:G14)</f>
        <v>26826816</v>
      </c>
      <c r="H15" s="1813">
        <f>SUM(H9:H14)</f>
        <v>27737364</v>
      </c>
      <c r="I15" s="1814"/>
      <c r="J15" s="1814"/>
      <c r="K15" s="1811" t="s">
        <v>1055</v>
      </c>
      <c r="L15" s="1815">
        <f>SUM(L9:L14)</f>
        <v>24445417</v>
      </c>
      <c r="M15" s="1816">
        <f>SUM(M9:M14)</f>
        <v>25332483</v>
      </c>
      <c r="N15" s="1815">
        <f>SUM(N9:N14)</f>
        <v>28362713</v>
      </c>
      <c r="O15" s="1817">
        <f>SUM(O9:O14)</f>
        <v>31662521</v>
      </c>
    </row>
    <row r="16" spans="1:15" ht="24.75" customHeight="1" x14ac:dyDescent="0.35">
      <c r="A16" s="14">
        <v>10</v>
      </c>
      <c r="B16" s="69">
        <v>2</v>
      </c>
      <c r="C16" s="14"/>
      <c r="D16" s="7" t="s">
        <v>1056</v>
      </c>
      <c r="E16" s="1799"/>
      <c r="F16" s="1799"/>
      <c r="G16" s="1799"/>
      <c r="H16" s="1800"/>
      <c r="I16" s="14">
        <v>2</v>
      </c>
      <c r="J16" s="14"/>
      <c r="K16" s="7" t="s">
        <v>1057</v>
      </c>
      <c r="L16" s="1801"/>
      <c r="M16" s="1818"/>
      <c r="N16" s="1801"/>
      <c r="O16" s="1819"/>
    </row>
    <row r="17" spans="1:43" x14ac:dyDescent="0.3">
      <c r="A17" s="14">
        <v>11</v>
      </c>
      <c r="B17" s="69"/>
      <c r="C17" s="14">
        <v>5</v>
      </c>
      <c r="D17" s="5" t="s">
        <v>1058</v>
      </c>
      <c r="E17" s="1806">
        <v>1315951</v>
      </c>
      <c r="F17" s="1806">
        <v>2758980</v>
      </c>
      <c r="G17" s="1806">
        <f>'1.Onbe'!J45+'1.Onbe'!J48</f>
        <v>2594724</v>
      </c>
      <c r="H17" s="1820">
        <f>'1.Onbe'!M45+'1.Onbe'!M48</f>
        <v>2794113</v>
      </c>
      <c r="I17" s="1821"/>
      <c r="J17" s="1821">
        <v>7</v>
      </c>
      <c r="K17" s="5" t="s">
        <v>56</v>
      </c>
      <c r="L17" s="1806">
        <v>24204926</v>
      </c>
      <c r="M17" s="1807">
        <v>23912437</v>
      </c>
      <c r="N17" s="1806">
        <f>'2.Onki'!J11+'2.Onki'!J33</f>
        <v>11430415</v>
      </c>
      <c r="O17" s="1808">
        <f>'2.Onki'!M33+'2.Onki'!M11</f>
        <v>13352427</v>
      </c>
    </row>
    <row r="18" spans="1:43" x14ac:dyDescent="0.3">
      <c r="A18" s="14">
        <v>12</v>
      </c>
      <c r="B18" s="69"/>
      <c r="C18" s="14">
        <v>6</v>
      </c>
      <c r="D18" s="5" t="s">
        <v>158</v>
      </c>
      <c r="E18" s="1806">
        <v>750000</v>
      </c>
      <c r="F18" s="1806">
        <v>579959</v>
      </c>
      <c r="G18" s="1806">
        <f>'1.Onbe'!J49+'1.Onbe'!J51</f>
        <v>388700</v>
      </c>
      <c r="H18" s="1820">
        <f>'1.Onbe'!M49+'1.Onbe'!M51</f>
        <v>411527</v>
      </c>
      <c r="I18" s="1821"/>
      <c r="J18" s="1821">
        <v>8</v>
      </c>
      <c r="K18" s="5" t="s">
        <v>188</v>
      </c>
      <c r="L18" s="1806">
        <v>403061</v>
      </c>
      <c r="M18" s="1807">
        <v>2531872</v>
      </c>
      <c r="N18" s="1806">
        <f>'2.Onki'!J34</f>
        <v>1837575</v>
      </c>
      <c r="O18" s="1808">
        <f>'2.Onki'!M12+'2.Onki'!M34</f>
        <v>634554</v>
      </c>
    </row>
    <row r="19" spans="1:43" x14ac:dyDescent="0.3">
      <c r="A19" s="14">
        <v>13</v>
      </c>
      <c r="B19" s="69"/>
      <c r="C19" s="14">
        <v>7</v>
      </c>
      <c r="D19" s="8" t="s">
        <v>161</v>
      </c>
      <c r="E19" s="1806">
        <v>4245961</v>
      </c>
      <c r="F19" s="1806">
        <v>8447965</v>
      </c>
      <c r="G19" s="1806">
        <f>'1.Onbe'!J52+'1.Onbe'!J53</f>
        <v>1048134</v>
      </c>
      <c r="H19" s="1820">
        <f>'1.Onbe'!M52+'1.Onbe'!M53</f>
        <v>1224886</v>
      </c>
      <c r="I19" s="1821"/>
      <c r="J19" s="1821">
        <v>9</v>
      </c>
      <c r="K19" s="5" t="s">
        <v>189</v>
      </c>
      <c r="L19" s="1806">
        <v>103204</v>
      </c>
      <c r="M19" s="1807">
        <v>277356</v>
      </c>
      <c r="N19" s="1806">
        <f>'2.Onki'!J35</f>
        <v>884831</v>
      </c>
      <c r="O19" s="1808">
        <f>'2.Onki'!M13+'2.Onki'!M35</f>
        <v>1165545</v>
      </c>
    </row>
    <row r="20" spans="1:43" x14ac:dyDescent="0.3">
      <c r="A20" s="14">
        <v>14</v>
      </c>
      <c r="B20" s="69"/>
      <c r="C20" s="14"/>
      <c r="E20" s="1806"/>
      <c r="F20" s="1806"/>
      <c r="G20" s="1806"/>
      <c r="H20" s="1820"/>
      <c r="I20" s="1821"/>
      <c r="J20" s="1821">
        <v>10</v>
      </c>
      <c r="K20" s="5" t="s">
        <v>1059</v>
      </c>
      <c r="L20" s="1806">
        <v>12996</v>
      </c>
      <c r="M20" s="1807"/>
      <c r="N20" s="1806">
        <f>'2.Onki'!J26</f>
        <v>574500</v>
      </c>
      <c r="O20" s="1808">
        <f>'2.Onki'!M26</f>
        <v>1000</v>
      </c>
    </row>
    <row r="21" spans="1:43" s="12" customFormat="1" ht="24.75" customHeight="1" x14ac:dyDescent="0.3">
      <c r="A21" s="14">
        <v>15</v>
      </c>
      <c r="B21" s="1822"/>
      <c r="C21" s="1823"/>
      <c r="D21" s="1824" t="s">
        <v>1060</v>
      </c>
      <c r="E21" s="1825">
        <f>SUM(E17:E20)</f>
        <v>6311912</v>
      </c>
      <c r="F21" s="1825">
        <f>SUM(F17:F20)</f>
        <v>11786904</v>
      </c>
      <c r="G21" s="1825">
        <f>SUM(G17:G20)</f>
        <v>4031558</v>
      </c>
      <c r="H21" s="1826">
        <f>SUM(H17:H20)</f>
        <v>4430526</v>
      </c>
      <c r="I21" s="1827"/>
      <c r="J21" s="1827"/>
      <c r="K21" s="1824" t="s">
        <v>1061</v>
      </c>
      <c r="L21" s="1825">
        <f>SUM(L17:L20)</f>
        <v>24724187</v>
      </c>
      <c r="M21" s="1828">
        <f>SUM(M17:M20)</f>
        <v>26721665</v>
      </c>
      <c r="N21" s="1825">
        <f>SUM(N17:N20)</f>
        <v>14727321</v>
      </c>
      <c r="O21" s="1829">
        <f>SUM(O17:O20)</f>
        <v>15153526</v>
      </c>
    </row>
    <row r="22" spans="1:43" s="12" customFormat="1" ht="24.75" customHeight="1" x14ac:dyDescent="0.3">
      <c r="A22" s="14">
        <v>16</v>
      </c>
      <c r="B22" s="1830"/>
      <c r="C22" s="1831"/>
      <c r="D22" s="1832" t="s">
        <v>165</v>
      </c>
      <c r="E22" s="1833">
        <f>SUM(E15,E21)</f>
        <v>28951322</v>
      </c>
      <c r="F22" s="1833">
        <f>SUM(F15,F21)</f>
        <v>45499680</v>
      </c>
      <c r="G22" s="1834">
        <f>SUM(G15,G21)</f>
        <v>30858374</v>
      </c>
      <c r="H22" s="1833">
        <f>SUM(H15,H21)</f>
        <v>32167890</v>
      </c>
      <c r="I22" s="1831"/>
      <c r="J22" s="1831"/>
      <c r="K22" s="1832" t="s">
        <v>206</v>
      </c>
      <c r="L22" s="1835">
        <f>SUM(L15,L21)</f>
        <v>49169604</v>
      </c>
      <c r="M22" s="1836">
        <f>SUM(M15,M21)</f>
        <v>52054148</v>
      </c>
      <c r="N22" s="1835">
        <f>SUM(N15,N21)</f>
        <v>43090034</v>
      </c>
      <c r="O22" s="1837">
        <f>SUM(O15,O21)</f>
        <v>46816047</v>
      </c>
    </row>
    <row r="23" spans="1:43" s="12" customFormat="1" ht="24.75" customHeight="1" x14ac:dyDescent="0.35">
      <c r="A23" s="14">
        <v>17</v>
      </c>
      <c r="B23" s="69">
        <v>1</v>
      </c>
      <c r="C23" s="14"/>
      <c r="D23" s="7" t="s">
        <v>1062</v>
      </c>
      <c r="E23" s="1838"/>
      <c r="F23" s="1838"/>
      <c r="G23" s="1838"/>
      <c r="H23" s="1839"/>
      <c r="I23" s="14">
        <v>1</v>
      </c>
      <c r="J23" s="14"/>
      <c r="K23" s="7" t="s">
        <v>1063</v>
      </c>
      <c r="L23" s="1838"/>
      <c r="M23" s="1840"/>
      <c r="N23" s="1838"/>
      <c r="O23" s="1841"/>
    </row>
    <row r="24" spans="1:43" s="12" customFormat="1" x14ac:dyDescent="0.3">
      <c r="A24" s="14">
        <v>18</v>
      </c>
      <c r="B24" s="69"/>
      <c r="C24" s="14">
        <v>8</v>
      </c>
      <c r="D24" s="12" t="s">
        <v>1064</v>
      </c>
      <c r="E24" s="1838">
        <v>5112488</v>
      </c>
      <c r="F24" s="1838">
        <v>7764718</v>
      </c>
      <c r="G24" s="1838">
        <f>'1.Onbe'!J62</f>
        <v>6572145</v>
      </c>
      <c r="H24" s="1839">
        <f>'1.Onbe'!M62</f>
        <v>10243449</v>
      </c>
      <c r="I24" s="14"/>
      <c r="J24" s="14">
        <v>11</v>
      </c>
      <c r="K24" s="12" t="s">
        <v>208</v>
      </c>
      <c r="L24" s="1838">
        <v>196121</v>
      </c>
      <c r="M24" s="1840">
        <v>354955</v>
      </c>
      <c r="N24" s="1838">
        <f>'2.Onki'!J42</f>
        <v>219898</v>
      </c>
      <c r="O24" s="1842">
        <f>'2.Onki'!M42</f>
        <v>357789</v>
      </c>
    </row>
    <row r="25" spans="1:43" s="12" customFormat="1" x14ac:dyDescent="0.3">
      <c r="A25" s="14">
        <v>19</v>
      </c>
      <c r="B25" s="69"/>
      <c r="C25" s="14">
        <v>9</v>
      </c>
      <c r="D25" s="12" t="s">
        <v>168</v>
      </c>
      <c r="E25" s="1838"/>
      <c r="F25" s="1838">
        <v>378732</v>
      </c>
      <c r="G25" s="1838">
        <f>'1.Onbe'!J59</f>
        <v>0</v>
      </c>
      <c r="H25" s="1839">
        <f>'1.Onbe'!M59</f>
        <v>137891</v>
      </c>
      <c r="I25" s="14"/>
      <c r="J25" s="14">
        <v>13</v>
      </c>
      <c r="K25" s="12" t="s">
        <v>94</v>
      </c>
      <c r="L25" s="1838"/>
      <c r="M25" s="1840"/>
      <c r="N25" s="1838"/>
      <c r="O25" s="1842">
        <f>'2.Onki'!M43</f>
        <v>1500000</v>
      </c>
    </row>
    <row r="26" spans="1:43" s="12" customFormat="1" x14ac:dyDescent="0.3">
      <c r="A26" s="14"/>
      <c r="B26" s="69"/>
      <c r="C26" s="14">
        <v>12</v>
      </c>
      <c r="D26" s="12" t="s">
        <v>1065</v>
      </c>
      <c r="E26" s="1838"/>
      <c r="F26" s="1838"/>
      <c r="G26" s="1838"/>
      <c r="H26" s="1839"/>
      <c r="I26" s="14"/>
      <c r="J26" s="14"/>
      <c r="L26" s="1838"/>
      <c r="M26" s="1840"/>
      <c r="N26" s="1838"/>
      <c r="O26" s="1842"/>
    </row>
    <row r="27" spans="1:43" s="12" customFormat="1" ht="24" customHeight="1" x14ac:dyDescent="0.35">
      <c r="A27" s="14">
        <v>21</v>
      </c>
      <c r="B27" s="69">
        <v>2</v>
      </c>
      <c r="C27" s="14"/>
      <c r="D27" s="7" t="s">
        <v>1066</v>
      </c>
      <c r="E27" s="1838"/>
      <c r="F27" s="1838"/>
      <c r="G27" s="1838"/>
      <c r="H27" s="1839"/>
      <c r="I27" s="14">
        <v>2</v>
      </c>
      <c r="J27" s="14"/>
      <c r="K27" s="7" t="s">
        <v>1067</v>
      </c>
      <c r="L27" s="1838"/>
      <c r="M27" s="1840"/>
      <c r="N27" s="1838"/>
      <c r="O27" s="1841"/>
    </row>
    <row r="28" spans="1:43" s="12" customFormat="1" x14ac:dyDescent="0.3">
      <c r="A28" s="14">
        <v>22</v>
      </c>
      <c r="B28" s="69"/>
      <c r="C28" s="14">
        <v>10</v>
      </c>
      <c r="D28" s="12" t="s">
        <v>1068</v>
      </c>
      <c r="E28" s="1838">
        <v>525022</v>
      </c>
      <c r="F28" s="1838">
        <v>519707</v>
      </c>
      <c r="G28" s="1838">
        <f>'1.Onbe'!J73+'1.Onbe'!J72</f>
        <v>0</v>
      </c>
      <c r="H28" s="1839">
        <f>'1.Onbe'!M72</f>
        <v>0</v>
      </c>
      <c r="I28" s="14"/>
      <c r="J28" s="14">
        <v>12</v>
      </c>
      <c r="K28" s="12" t="s">
        <v>1069</v>
      </c>
      <c r="L28" s="1838">
        <v>236874</v>
      </c>
      <c r="M28" s="1840">
        <v>281874</v>
      </c>
      <c r="N28" s="1838">
        <f>'2.Onki'!J45</f>
        <v>237839</v>
      </c>
      <c r="O28" s="1842">
        <f>'2.Onki'!M45</f>
        <v>237839</v>
      </c>
    </row>
    <row r="29" spans="1:43" s="12" customFormat="1" x14ac:dyDescent="0.3">
      <c r="A29" s="14">
        <v>23</v>
      </c>
      <c r="B29" s="69"/>
      <c r="C29" s="14">
        <v>11</v>
      </c>
      <c r="D29" s="12" t="s">
        <v>1064</v>
      </c>
      <c r="E29" s="1838">
        <v>15013767</v>
      </c>
      <c r="F29" s="1838">
        <v>15134034</v>
      </c>
      <c r="G29" s="1838">
        <f>'1.Onbe'!J66</f>
        <v>6117252</v>
      </c>
      <c r="H29" s="1839">
        <f>'1.Onbe'!M66</f>
        <v>6362445</v>
      </c>
      <c r="I29" s="14"/>
      <c r="J29" s="14"/>
      <c r="L29" s="1838"/>
      <c r="M29" s="1840"/>
      <c r="N29" s="1838"/>
      <c r="O29" s="1841"/>
    </row>
    <row r="30" spans="1:43" s="22" customFormat="1" ht="24.75" customHeight="1" x14ac:dyDescent="0.3">
      <c r="A30" s="14">
        <v>24</v>
      </c>
      <c r="B30" s="1822"/>
      <c r="C30" s="1823"/>
      <c r="D30" s="126" t="s">
        <v>1070</v>
      </c>
      <c r="E30" s="1843">
        <f>SUM(E23:E29)</f>
        <v>20651277</v>
      </c>
      <c r="F30" s="1843">
        <f>SUM(F23:F29)</f>
        <v>23797191</v>
      </c>
      <c r="G30" s="1843">
        <f>SUM(G23:G29)</f>
        <v>12689397</v>
      </c>
      <c r="H30" s="1844">
        <f>SUM(H23:H29)</f>
        <v>16743785</v>
      </c>
      <c r="I30" s="1823"/>
      <c r="J30" s="1823"/>
      <c r="K30" s="126" t="s">
        <v>1071</v>
      </c>
      <c r="L30" s="1843">
        <f>SUM(L23:L29)</f>
        <v>432995</v>
      </c>
      <c r="M30" s="1845">
        <f>SUM(M23:M29)</f>
        <v>636829</v>
      </c>
      <c r="N30" s="1843">
        <f>SUM(N23:N29)</f>
        <v>457737</v>
      </c>
      <c r="O30" s="1846">
        <f>SUM(O23:O29)</f>
        <v>2095628</v>
      </c>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43" s="12" customFormat="1" ht="30" customHeight="1" x14ac:dyDescent="0.3">
      <c r="A31" s="14">
        <v>25</v>
      </c>
      <c r="B31" s="1822"/>
      <c r="C31" s="1823"/>
      <c r="D31" s="126" t="s">
        <v>1072</v>
      </c>
      <c r="E31" s="1825">
        <f>SUM(E22,E30)</f>
        <v>49602599</v>
      </c>
      <c r="F31" s="1825">
        <f>SUM(F22,F30)</f>
        <v>69296871</v>
      </c>
      <c r="G31" s="1825">
        <f>SUM(G22,G30)</f>
        <v>43547771</v>
      </c>
      <c r="H31" s="1826">
        <f>SUM(H22,H30)</f>
        <v>48911675</v>
      </c>
      <c r="I31" s="1823"/>
      <c r="J31" s="1823"/>
      <c r="K31" s="126" t="s">
        <v>1073</v>
      </c>
      <c r="L31" s="1825">
        <f>SUM(L22,L30)</f>
        <v>49602599</v>
      </c>
      <c r="M31" s="1828">
        <f>SUM(M22,M30)</f>
        <v>52690977</v>
      </c>
      <c r="N31" s="1825">
        <f>SUM(N22,N30)</f>
        <v>43547771</v>
      </c>
      <c r="O31" s="1829">
        <f>SUM(O22,O30)</f>
        <v>48911675</v>
      </c>
    </row>
    <row r="32" spans="1:43" s="12" customFormat="1" ht="17.25" x14ac:dyDescent="0.3">
      <c r="A32" s="14">
        <v>26</v>
      </c>
      <c r="B32" s="1847"/>
      <c r="C32" s="1848"/>
      <c r="D32" s="1849" t="s">
        <v>166</v>
      </c>
      <c r="E32" s="1850">
        <f>+E22-L22</f>
        <v>-20218282</v>
      </c>
      <c r="F32" s="1850">
        <f>+F22-M22</f>
        <v>-6554468</v>
      </c>
      <c r="G32" s="1850">
        <f>+G22-N22</f>
        <v>-12231660</v>
      </c>
      <c r="H32" s="1851">
        <f>+H22-O22</f>
        <v>-14648157</v>
      </c>
      <c r="I32" s="16"/>
      <c r="J32" s="16"/>
      <c r="K32" s="1852"/>
      <c r="L32" s="1838"/>
      <c r="M32" s="1840"/>
      <c r="N32" s="1838"/>
      <c r="O32" s="1841"/>
    </row>
    <row r="33" spans="1:15" s="12" customFormat="1" ht="17.25" x14ac:dyDescent="0.3">
      <c r="A33" s="14">
        <v>27</v>
      </c>
      <c r="B33" s="69"/>
      <c r="C33" s="14"/>
      <c r="D33" s="1853" t="s">
        <v>1074</v>
      </c>
      <c r="E33" s="1854">
        <f>+E15-L15</f>
        <v>-1806007</v>
      </c>
      <c r="F33" s="1854">
        <f>+F15-M15</f>
        <v>8380293</v>
      </c>
      <c r="G33" s="1854">
        <f>+G15-N15</f>
        <v>-1535897</v>
      </c>
      <c r="H33" s="1855">
        <f>+H15-O15</f>
        <v>-3925157</v>
      </c>
      <c r="I33" s="16"/>
      <c r="J33" s="16"/>
      <c r="K33" s="1852"/>
      <c r="L33" s="1838"/>
      <c r="M33" s="1840"/>
      <c r="N33" s="1838"/>
      <c r="O33" s="1841"/>
    </row>
    <row r="34" spans="1:15" s="12" customFormat="1" ht="17.25" x14ac:dyDescent="0.3">
      <c r="A34" s="14">
        <v>28</v>
      </c>
      <c r="B34" s="69"/>
      <c r="C34" s="14"/>
      <c r="D34" s="1853" t="s">
        <v>1075</v>
      </c>
      <c r="E34" s="1854">
        <f>+E21-L21</f>
        <v>-18412275</v>
      </c>
      <c r="F34" s="1854">
        <f>+F21-M21</f>
        <v>-14934761</v>
      </c>
      <c r="G34" s="1854">
        <f>+G21-N21</f>
        <v>-10695763</v>
      </c>
      <c r="H34" s="1855">
        <f>+H21-O21</f>
        <v>-10723000</v>
      </c>
      <c r="I34" s="16"/>
      <c r="J34" s="16"/>
      <c r="K34" s="1852"/>
      <c r="L34" s="1838"/>
      <c r="M34" s="1840"/>
      <c r="N34" s="1838"/>
      <c r="O34" s="1841"/>
    </row>
    <row r="35" spans="1:15" s="12" customFormat="1" ht="17.25" x14ac:dyDescent="0.3">
      <c r="A35" s="14">
        <v>29</v>
      </c>
      <c r="B35" s="69"/>
      <c r="C35" s="14"/>
      <c r="D35" s="1856" t="s">
        <v>1076</v>
      </c>
      <c r="E35" s="1854">
        <f>+E32-L30</f>
        <v>-20651277</v>
      </c>
      <c r="F35" s="1854">
        <f>+F32-M30</f>
        <v>-7191297</v>
      </c>
      <c r="G35" s="1854">
        <f>+G32-N30</f>
        <v>-12689397</v>
      </c>
      <c r="H35" s="1855">
        <f>+H32-O30</f>
        <v>-16743785</v>
      </c>
      <c r="I35" s="16"/>
      <c r="J35" s="16"/>
      <c r="K35" s="1852"/>
      <c r="L35" s="1838"/>
      <c r="M35" s="1840"/>
      <c r="N35" s="1838"/>
      <c r="O35" s="1841"/>
    </row>
    <row r="36" spans="1:15" s="12" customFormat="1" ht="32.25" customHeight="1" x14ac:dyDescent="0.3">
      <c r="A36" s="14">
        <v>30</v>
      </c>
      <c r="B36" s="69"/>
      <c r="C36" s="14"/>
      <c r="D36" s="1857" t="s">
        <v>1077</v>
      </c>
      <c r="E36" s="1854">
        <f>E29+E24</f>
        <v>20126255</v>
      </c>
      <c r="F36" s="1854">
        <f>F29+F24+F25</f>
        <v>23277484</v>
      </c>
      <c r="G36" s="1854">
        <f>G29+G24</f>
        <v>12689397</v>
      </c>
      <c r="H36" s="1855">
        <f>H29+H24+H25+H26</f>
        <v>16743785</v>
      </c>
      <c r="I36" s="16"/>
      <c r="J36" s="16"/>
      <c r="K36" s="1852"/>
      <c r="L36" s="1838"/>
      <c r="M36" s="1840"/>
      <c r="N36" s="1838"/>
      <c r="O36" s="1841"/>
    </row>
    <row r="37" spans="1:15" s="12" customFormat="1" ht="33.75" customHeight="1" x14ac:dyDescent="0.3">
      <c r="A37" s="14">
        <v>31</v>
      </c>
      <c r="B37" s="1858"/>
      <c r="C37" s="122"/>
      <c r="D37" s="1859" t="s">
        <v>1078</v>
      </c>
      <c r="E37" s="1860">
        <f>E28</f>
        <v>525022</v>
      </c>
      <c r="F37" s="1860">
        <f>F28</f>
        <v>519707</v>
      </c>
      <c r="G37" s="1860">
        <f>G28</f>
        <v>0</v>
      </c>
      <c r="H37" s="1861">
        <f>H28</f>
        <v>0</v>
      </c>
      <c r="I37" s="1862"/>
      <c r="J37" s="1862"/>
      <c r="K37" s="1863"/>
      <c r="L37" s="1864"/>
      <c r="M37" s="1865"/>
      <c r="N37" s="1864"/>
      <c r="O37" s="1866"/>
    </row>
    <row r="38" spans="1:15" ht="19.5" customHeight="1" x14ac:dyDescent="0.3">
      <c r="A38" s="14">
        <v>32</v>
      </c>
      <c r="B38" s="69"/>
      <c r="C38" s="14"/>
      <c r="D38" s="8" t="s">
        <v>1079</v>
      </c>
      <c r="E38" s="1867">
        <f>(E15+E24+E25)/E31</f>
        <v>0.55948475603062653</v>
      </c>
      <c r="F38" s="1867">
        <f>(F15+F24+F25)/F31</f>
        <v>0.60401321727787682</v>
      </c>
      <c r="G38" s="1867">
        <f>(G15+G24+G25)/G31</f>
        <v>0.76694995479791606</v>
      </c>
      <c r="H38" s="1868">
        <f>(H15+H24+H25)/H31</f>
        <v>0.77933753035446041</v>
      </c>
      <c r="I38" s="14"/>
      <c r="J38" s="14"/>
      <c r="K38" s="8" t="s">
        <v>1080</v>
      </c>
      <c r="L38" s="1867">
        <f>(L15+L24)/L31</f>
        <v>0.49677917078498246</v>
      </c>
      <c r="M38" s="1869">
        <f>(M15+M24)/M31</f>
        <v>0.48751113497098375</v>
      </c>
      <c r="N38" s="1867">
        <f>(N15+N24)/N31</f>
        <v>0.65635072343886436</v>
      </c>
      <c r="O38" s="1870">
        <f>(O15+O24)/O31</f>
        <v>0.65465576470239473</v>
      </c>
    </row>
    <row r="39" spans="1:15" ht="19.5" customHeight="1" x14ac:dyDescent="0.3">
      <c r="A39" s="14">
        <v>33</v>
      </c>
      <c r="B39" s="1871"/>
      <c r="C39" s="1872"/>
      <c r="D39" s="1873" t="s">
        <v>1081</v>
      </c>
      <c r="E39" s="1874">
        <f>(E21+E28+E29)/E31</f>
        <v>0.44051524396937347</v>
      </c>
      <c r="F39" s="1874">
        <f>(F21+F28+F29)/F31</f>
        <v>0.39598678272212318</v>
      </c>
      <c r="G39" s="1874">
        <f>(G21+G28+G29)/G31</f>
        <v>0.23305004520208394</v>
      </c>
      <c r="H39" s="1875">
        <f>(H21+H28+H29)/H31</f>
        <v>0.22066246964553965</v>
      </c>
      <c r="I39" s="1872"/>
      <c r="J39" s="1872"/>
      <c r="K39" s="1873" t="s">
        <v>1082</v>
      </c>
      <c r="L39" s="1874">
        <f>(L21+L28)/L31</f>
        <v>0.50322082921501754</v>
      </c>
      <c r="M39" s="1876">
        <f>(M21+M28)/M31</f>
        <v>0.51248886502901625</v>
      </c>
      <c r="N39" s="1874">
        <f>(N21+N28)/N31</f>
        <v>0.34364927656113559</v>
      </c>
      <c r="O39" s="1877">
        <f>(O21+O28)/O31</f>
        <v>0.31467671062174829</v>
      </c>
    </row>
    <row r="40" spans="1:15" x14ac:dyDescent="0.3">
      <c r="K40" s="8" t="s">
        <v>1083</v>
      </c>
    </row>
  </sheetData>
  <mergeCells count="3">
    <mergeCell ref="B2:D2"/>
    <mergeCell ref="B3:O3"/>
    <mergeCell ref="B4:O4"/>
  </mergeCells>
  <printOptions horizontalCentered="1" verticalCentered="1"/>
  <pageMargins left="0.196527777777778" right="0.196527777777778" top="0.196527777777778" bottom="0.196527777777778" header="0.511811023622047" footer="0.118055555555556"/>
  <pageSetup paperSize="9" scale="53" fitToHeight="0" orientation="landscape" verticalDpi="300" r:id="rId1"/>
  <headerFooter>
    <oddFooter>&amp;C- &amp;P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0"/>
  <sheetViews>
    <sheetView tabSelected="1" view="pageBreakPreview" zoomScaleNormal="100" workbookViewId="0">
      <selection activeCell="B1" sqref="B1:G1"/>
    </sheetView>
  </sheetViews>
  <sheetFormatPr defaultColWidth="31.28515625" defaultRowHeight="16.5" x14ac:dyDescent="0.3"/>
  <cols>
    <col min="1" max="1" width="3.7109375" style="26" customWidth="1"/>
    <col min="2" max="2" width="4.7109375" style="6" customWidth="1"/>
    <col min="3" max="3" width="50.7109375" style="1878" customWidth="1"/>
    <col min="4" max="6" width="13.7109375" style="1879" customWidth="1"/>
    <col min="7" max="7" width="30.7109375" style="1880" customWidth="1"/>
    <col min="8" max="8" width="12.140625" style="12" customWidth="1"/>
    <col min="9" max="9" width="12.85546875" style="12" customWidth="1"/>
    <col min="10" max="16384" width="31.28515625" style="12"/>
  </cols>
  <sheetData>
    <row r="1" spans="1:7" ht="15" customHeight="1" x14ac:dyDescent="0.3">
      <c r="B1" s="2027" t="s">
        <v>1113</v>
      </c>
      <c r="C1" s="2027"/>
      <c r="D1" s="2027"/>
      <c r="E1" s="2027"/>
      <c r="F1" s="2027"/>
      <c r="G1" s="2027"/>
    </row>
    <row r="2" spans="1:7" x14ac:dyDescent="0.3">
      <c r="A2" s="14"/>
      <c r="B2" s="2026" t="s">
        <v>1084</v>
      </c>
      <c r="C2" s="2026"/>
      <c r="D2" s="2026"/>
      <c r="E2" s="1881"/>
      <c r="G2" s="1882"/>
    </row>
    <row r="3" spans="1:7" ht="24.75" customHeight="1" x14ac:dyDescent="0.3">
      <c r="A3" s="14"/>
      <c r="C3" s="1927" t="s">
        <v>1085</v>
      </c>
      <c r="D3" s="1927"/>
      <c r="E3" s="1927"/>
      <c r="F3" s="1927"/>
      <c r="G3" s="1927"/>
    </row>
    <row r="4" spans="1:7" ht="24.75" customHeight="1" x14ac:dyDescent="0.3">
      <c r="A4" s="14"/>
      <c r="B4" s="1927" t="s">
        <v>1086</v>
      </c>
      <c r="C4" s="1927"/>
      <c r="D4" s="1927"/>
      <c r="E4" s="1927"/>
      <c r="F4" s="1927"/>
      <c r="G4" s="1927"/>
    </row>
    <row r="5" spans="1:7" s="1171" customFormat="1" ht="18" customHeight="1" x14ac:dyDescent="0.3">
      <c r="A5" s="26"/>
      <c r="B5" s="38" t="s">
        <v>1</v>
      </c>
      <c r="C5" s="1883" t="s">
        <v>2</v>
      </c>
      <c r="D5" s="1880" t="s">
        <v>98</v>
      </c>
      <c r="E5" s="1880" t="s">
        <v>99</v>
      </c>
      <c r="F5" s="1880" t="s">
        <v>100</v>
      </c>
      <c r="G5" s="1880" t="s">
        <v>101</v>
      </c>
    </row>
    <row r="6" spans="1:7" ht="72" customHeight="1" x14ac:dyDescent="0.3">
      <c r="B6" s="1884" t="s">
        <v>108</v>
      </c>
      <c r="C6" s="1885" t="s">
        <v>3</v>
      </c>
      <c r="D6" s="1886" t="s">
        <v>1087</v>
      </c>
      <c r="E6" s="1886" t="s">
        <v>117</v>
      </c>
      <c r="F6" s="1886" t="s">
        <v>1087</v>
      </c>
      <c r="G6" s="1887" t="s">
        <v>1088</v>
      </c>
    </row>
    <row r="7" spans="1:7" s="8" customFormat="1" ht="21.75" customHeight="1" x14ac:dyDescent="0.3">
      <c r="A7" s="38">
        <v>1</v>
      </c>
      <c r="B7" s="75">
        <v>1</v>
      </c>
      <c r="C7" s="1888" t="s">
        <v>41</v>
      </c>
      <c r="D7" s="1889">
        <v>38</v>
      </c>
      <c r="E7" s="1889"/>
      <c r="F7" s="1889">
        <f t="shared" ref="F7:F22" si="0">SUM(D7:E7)</f>
        <v>38</v>
      </c>
      <c r="G7" s="1890"/>
    </row>
    <row r="8" spans="1:7" s="8" customFormat="1" ht="21.75" customHeight="1" x14ac:dyDescent="0.3">
      <c r="A8" s="38">
        <v>2</v>
      </c>
      <c r="B8" s="75">
        <v>2</v>
      </c>
      <c r="C8" s="1888" t="s">
        <v>42</v>
      </c>
      <c r="D8" s="1889">
        <v>70</v>
      </c>
      <c r="E8" s="1889"/>
      <c r="F8" s="1889">
        <f t="shared" si="0"/>
        <v>70</v>
      </c>
      <c r="G8" s="1890"/>
    </row>
    <row r="9" spans="1:7" s="8" customFormat="1" ht="21.75" customHeight="1" x14ac:dyDescent="0.3">
      <c r="A9" s="38">
        <v>3</v>
      </c>
      <c r="B9" s="75">
        <v>3</v>
      </c>
      <c r="C9" s="1888" t="s">
        <v>44</v>
      </c>
      <c r="D9" s="1889">
        <v>83.5</v>
      </c>
      <c r="E9" s="1889"/>
      <c r="F9" s="1889">
        <f t="shared" si="0"/>
        <v>83.5</v>
      </c>
      <c r="G9" s="1890"/>
    </row>
    <row r="10" spans="1:7" s="8" customFormat="1" ht="21.75" customHeight="1" x14ac:dyDescent="0.3">
      <c r="A10" s="38">
        <v>4</v>
      </c>
      <c r="B10" s="75">
        <v>4</v>
      </c>
      <c r="C10" s="1888" t="s">
        <v>238</v>
      </c>
      <c r="D10" s="1889">
        <v>60</v>
      </c>
      <c r="E10" s="1889"/>
      <c r="F10" s="1889">
        <f t="shared" si="0"/>
        <v>60</v>
      </c>
      <c r="G10" s="1890"/>
    </row>
    <row r="11" spans="1:7" s="8" customFormat="1" ht="21.75" customHeight="1" x14ac:dyDescent="0.3">
      <c r="A11" s="38">
        <v>5</v>
      </c>
      <c r="B11" s="75">
        <v>5</v>
      </c>
      <c r="C11" s="1888" t="s">
        <v>241</v>
      </c>
      <c r="D11" s="1889">
        <v>61.5</v>
      </c>
      <c r="E11" s="1889"/>
      <c r="F11" s="1889">
        <f t="shared" si="0"/>
        <v>61.5</v>
      </c>
      <c r="G11" s="1890"/>
    </row>
    <row r="12" spans="1:7" s="8" customFormat="1" ht="21.75" customHeight="1" x14ac:dyDescent="0.3">
      <c r="A12" s="38">
        <v>6</v>
      </c>
      <c r="B12" s="75">
        <v>6</v>
      </c>
      <c r="C12" s="1888" t="s">
        <v>45</v>
      </c>
      <c r="D12" s="1889">
        <v>36</v>
      </c>
      <c r="E12" s="1889"/>
      <c r="F12" s="1889">
        <f t="shared" si="0"/>
        <v>36</v>
      </c>
      <c r="G12" s="1890"/>
    </row>
    <row r="13" spans="1:7" s="8" customFormat="1" ht="106.5" customHeight="1" x14ac:dyDescent="0.3">
      <c r="A13" s="38">
        <v>7</v>
      </c>
      <c r="B13" s="75">
        <v>7</v>
      </c>
      <c r="C13" s="1891" t="s">
        <v>46</v>
      </c>
      <c r="D13" s="1892">
        <v>190.5</v>
      </c>
      <c r="E13" s="1892">
        <v>1</v>
      </c>
      <c r="F13" s="1892">
        <f t="shared" si="0"/>
        <v>191.5</v>
      </c>
      <c r="G13" s="1893" t="s">
        <v>1089</v>
      </c>
    </row>
    <row r="14" spans="1:7" ht="33" customHeight="1" x14ac:dyDescent="0.3">
      <c r="A14" s="38">
        <v>8</v>
      </c>
      <c r="B14" s="75">
        <v>8</v>
      </c>
      <c r="C14" s="1894" t="s">
        <v>47</v>
      </c>
      <c r="D14" s="1889">
        <v>13.25</v>
      </c>
      <c r="E14" s="1889"/>
      <c r="F14" s="1889">
        <f t="shared" si="0"/>
        <v>13.25</v>
      </c>
      <c r="G14" s="1895"/>
    </row>
    <row r="15" spans="1:7" ht="33" customHeight="1" x14ac:dyDescent="0.3">
      <c r="A15" s="38">
        <v>9</v>
      </c>
      <c r="B15" s="75">
        <v>9</v>
      </c>
      <c r="C15" s="1894" t="s">
        <v>48</v>
      </c>
      <c r="D15" s="1889">
        <v>65</v>
      </c>
      <c r="E15" s="1889"/>
      <c r="F15" s="1889">
        <f t="shared" si="0"/>
        <v>65</v>
      </c>
      <c r="G15" s="1895"/>
    </row>
    <row r="16" spans="1:7" ht="21.75" customHeight="1" x14ac:dyDescent="0.3">
      <c r="A16" s="38">
        <v>10</v>
      </c>
      <c r="B16" s="69">
        <v>10</v>
      </c>
      <c r="C16" s="1896" t="s">
        <v>50</v>
      </c>
      <c r="D16" s="1879">
        <v>24.25</v>
      </c>
      <c r="F16" s="1879">
        <f t="shared" si="0"/>
        <v>24.25</v>
      </c>
      <c r="G16" s="1895"/>
    </row>
    <row r="17" spans="1:7" ht="33" customHeight="1" x14ac:dyDescent="0.2">
      <c r="A17" s="38">
        <v>11</v>
      </c>
      <c r="B17" s="75">
        <v>11</v>
      </c>
      <c r="C17" s="1894" t="s">
        <v>51</v>
      </c>
      <c r="D17" s="1879">
        <v>23</v>
      </c>
      <c r="F17" s="1879">
        <f t="shared" si="0"/>
        <v>23</v>
      </c>
      <c r="G17" s="1895"/>
    </row>
    <row r="18" spans="1:7" s="8" customFormat="1" ht="30" customHeight="1" x14ac:dyDescent="0.3">
      <c r="A18" s="38">
        <v>12</v>
      </c>
      <c r="B18" s="69">
        <v>12</v>
      </c>
      <c r="C18" s="1897" t="s">
        <v>10</v>
      </c>
      <c r="D18" s="1889">
        <v>54.5</v>
      </c>
      <c r="E18" s="1889"/>
      <c r="F18" s="1889">
        <f t="shared" si="0"/>
        <v>54.5</v>
      </c>
      <c r="G18" s="1898" t="s">
        <v>1090</v>
      </c>
    </row>
    <row r="19" spans="1:7" s="8" customFormat="1" ht="21.75" customHeight="1" x14ac:dyDescent="0.3">
      <c r="A19" s="38">
        <v>13</v>
      </c>
      <c r="B19" s="69">
        <v>13</v>
      </c>
      <c r="C19" s="1897" t="s">
        <v>52</v>
      </c>
      <c r="D19" s="1889">
        <v>53</v>
      </c>
      <c r="E19" s="1889"/>
      <c r="F19" s="1889">
        <f t="shared" si="0"/>
        <v>53</v>
      </c>
      <c r="G19" s="1899"/>
    </row>
    <row r="20" spans="1:7" ht="21.75" customHeight="1" x14ac:dyDescent="0.3">
      <c r="A20" s="38">
        <v>14</v>
      </c>
      <c r="B20" s="69">
        <v>14</v>
      </c>
      <c r="C20" s="1896" t="s">
        <v>1091</v>
      </c>
      <c r="D20" s="1889">
        <v>26</v>
      </c>
      <c r="E20" s="1889"/>
      <c r="F20" s="1889">
        <f t="shared" si="0"/>
        <v>26</v>
      </c>
      <c r="G20" s="1898" t="s">
        <v>1092</v>
      </c>
    </row>
    <row r="21" spans="1:7" s="8" customFormat="1" ht="21.75" customHeight="1" x14ac:dyDescent="0.3">
      <c r="A21" s="38">
        <v>16</v>
      </c>
      <c r="B21" s="69">
        <v>15</v>
      </c>
      <c r="C21" s="1897" t="s">
        <v>54</v>
      </c>
      <c r="D21" s="1889">
        <v>102</v>
      </c>
      <c r="E21" s="1889"/>
      <c r="F21" s="1889">
        <f t="shared" si="0"/>
        <v>102</v>
      </c>
      <c r="G21" s="1890"/>
    </row>
    <row r="22" spans="1:7" ht="21.75" customHeight="1" x14ac:dyDescent="0.3">
      <c r="A22" s="38">
        <v>17</v>
      </c>
      <c r="B22" s="1900">
        <v>16</v>
      </c>
      <c r="C22" s="1901" t="s">
        <v>55</v>
      </c>
      <c r="D22" s="1902">
        <v>53.25</v>
      </c>
      <c r="E22" s="1902"/>
      <c r="F22" s="1902">
        <f t="shared" si="0"/>
        <v>53.25</v>
      </c>
      <c r="G22" s="1903"/>
    </row>
    <row r="23" spans="1:7" ht="30" customHeight="1" x14ac:dyDescent="0.2">
      <c r="A23" s="38">
        <v>18</v>
      </c>
      <c r="B23" s="1904"/>
      <c r="C23" s="1905" t="s">
        <v>1093</v>
      </c>
      <c r="D23" s="1906">
        <f>SUM(D7:D22)</f>
        <v>953.75</v>
      </c>
      <c r="E23" s="1906">
        <f>SUM(E7:E22)</f>
        <v>1</v>
      </c>
      <c r="F23" s="1906">
        <f>SUM(F7:F22)</f>
        <v>954.75</v>
      </c>
      <c r="G23" s="1907"/>
    </row>
    <row r="24" spans="1:7" ht="21.75" customHeight="1" x14ac:dyDescent="0.3">
      <c r="A24" s="38">
        <v>19</v>
      </c>
      <c r="B24" s="69">
        <v>17</v>
      </c>
      <c r="C24" s="1896" t="s">
        <v>174</v>
      </c>
      <c r="D24" s="1879">
        <v>200</v>
      </c>
      <c r="F24" s="1879">
        <f>SUM(D24:E24)</f>
        <v>200</v>
      </c>
      <c r="G24" s="1895"/>
    </row>
    <row r="25" spans="1:7" ht="21.75" customHeight="1" x14ac:dyDescent="0.3">
      <c r="A25" s="38">
        <v>20</v>
      </c>
      <c r="B25" s="69">
        <v>18</v>
      </c>
      <c r="C25" s="1896" t="s">
        <v>175</v>
      </c>
      <c r="D25" s="12"/>
      <c r="E25" s="12"/>
      <c r="F25" s="12"/>
      <c r="G25" s="1908" t="s">
        <v>1083</v>
      </c>
    </row>
    <row r="26" spans="1:7" ht="21.75" customHeight="1" x14ac:dyDescent="0.2">
      <c r="A26" s="38">
        <v>21</v>
      </c>
      <c r="B26" s="114"/>
      <c r="C26" s="1909" t="s">
        <v>1094</v>
      </c>
      <c r="D26" s="1879">
        <v>3</v>
      </c>
      <c r="F26" s="1879">
        <f>SUM(D26:E26)</f>
        <v>3</v>
      </c>
      <c r="G26" s="1908"/>
    </row>
    <row r="27" spans="1:7" s="9" customFormat="1" ht="21.75" customHeight="1" x14ac:dyDescent="0.2">
      <c r="A27" s="38">
        <v>22</v>
      </c>
      <c r="B27" s="75"/>
      <c r="C27" s="1910" t="s">
        <v>1095</v>
      </c>
      <c r="D27" s="1892">
        <v>4</v>
      </c>
      <c r="E27" s="1892"/>
      <c r="F27" s="1892">
        <f>SUM(D27:E27)</f>
        <v>4</v>
      </c>
      <c r="G27" s="1899"/>
    </row>
    <row r="28" spans="1:7" ht="30" customHeight="1" x14ac:dyDescent="0.2">
      <c r="A28" s="38">
        <v>23</v>
      </c>
      <c r="B28" s="1911"/>
      <c r="C28" s="1912" t="s">
        <v>278</v>
      </c>
      <c r="D28" s="1913">
        <f>SUM(D23:D27)</f>
        <v>1160.75</v>
      </c>
      <c r="E28" s="1913">
        <f>SUM(E23:E27)</f>
        <v>1</v>
      </c>
      <c r="F28" s="1913">
        <f>SUM(F23:F27)</f>
        <v>1161.75</v>
      </c>
      <c r="G28" s="1914"/>
    </row>
    <row r="29" spans="1:7" ht="16.5" customHeight="1" x14ac:dyDescent="0.2">
      <c r="A29" s="38">
        <v>24</v>
      </c>
      <c r="B29" s="114"/>
      <c r="C29" s="1915" t="s">
        <v>1096</v>
      </c>
      <c r="G29" s="1895"/>
    </row>
    <row r="30" spans="1:7" ht="16.5" customHeight="1" x14ac:dyDescent="0.2">
      <c r="A30" s="38">
        <v>25</v>
      </c>
      <c r="B30" s="1904"/>
      <c r="C30" s="1916" t="s">
        <v>1095</v>
      </c>
      <c r="D30" s="1917">
        <f>SUM(D27)</f>
        <v>4</v>
      </c>
      <c r="E30" s="1917">
        <f>SUM(E27)</f>
        <v>0</v>
      </c>
      <c r="F30" s="1917">
        <f>SUM(F27)</f>
        <v>4</v>
      </c>
      <c r="G30" s="1918"/>
    </row>
    <row r="33" spans="1:7" x14ac:dyDescent="0.3">
      <c r="C33" s="1919"/>
      <c r="D33" s="1882"/>
      <c r="E33" s="1882"/>
      <c r="F33" s="1882"/>
    </row>
    <row r="34" spans="1:7" x14ac:dyDescent="0.3">
      <c r="C34" s="1919"/>
      <c r="D34" s="1882"/>
      <c r="E34" s="1882"/>
      <c r="F34" s="1882"/>
    </row>
    <row r="35" spans="1:7" x14ac:dyDescent="0.3">
      <c r="C35" s="1919"/>
      <c r="D35" s="1882"/>
      <c r="E35" s="1882"/>
      <c r="F35" s="1882"/>
    </row>
    <row r="41" spans="1:7" s="17" customFormat="1" ht="17.25" x14ac:dyDescent="0.3">
      <c r="A41" s="1920"/>
      <c r="B41" s="4"/>
      <c r="C41" s="1921"/>
      <c r="D41" s="1922"/>
      <c r="E41" s="1922"/>
      <c r="F41" s="1922"/>
      <c r="G41" s="1923"/>
    </row>
    <row r="43" spans="1:7" s="17" customFormat="1" ht="17.25" x14ac:dyDescent="0.3">
      <c r="A43" s="1920"/>
      <c r="B43" s="4"/>
      <c r="C43" s="1921"/>
      <c r="D43" s="1922"/>
      <c r="E43" s="1922"/>
      <c r="F43" s="1922"/>
      <c r="G43" s="1923"/>
    </row>
    <row r="46" spans="1:7" s="17" customFormat="1" ht="17.25" x14ac:dyDescent="0.3">
      <c r="A46" s="1920"/>
      <c r="B46" s="4"/>
      <c r="C46" s="1921"/>
      <c r="D46" s="1922"/>
      <c r="E46" s="1922"/>
      <c r="F46" s="1922"/>
      <c r="G46" s="1923"/>
    </row>
    <row r="64" spans="1:7" s="17" customFormat="1" ht="17.25" x14ac:dyDescent="0.3">
      <c r="A64" s="1920"/>
      <c r="B64" s="4"/>
      <c r="C64" s="1921"/>
      <c r="D64" s="1922"/>
      <c r="E64" s="1922"/>
      <c r="F64" s="1922"/>
      <c r="G64" s="1923"/>
    </row>
    <row r="73" spans="1:7" s="1879" customFormat="1" x14ac:dyDescent="0.3">
      <c r="A73" s="26"/>
      <c r="B73" s="6"/>
      <c r="C73" s="1878"/>
      <c r="D73" s="1924"/>
      <c r="G73" s="1880"/>
    </row>
    <row r="74" spans="1:7" s="1879" customFormat="1" x14ac:dyDescent="0.3">
      <c r="A74" s="26"/>
      <c r="B74" s="6"/>
      <c r="C74" s="1878"/>
      <c r="D74" s="1924"/>
      <c r="G74" s="1880"/>
    </row>
    <row r="75" spans="1:7" s="1879" customFormat="1" x14ac:dyDescent="0.3">
      <c r="A75" s="26"/>
      <c r="B75" s="6"/>
      <c r="C75" s="1878"/>
      <c r="D75" s="1924"/>
      <c r="G75" s="1880"/>
    </row>
    <row r="76" spans="1:7" s="1879" customFormat="1" x14ac:dyDescent="0.3">
      <c r="A76" s="26"/>
      <c r="B76" s="6"/>
      <c r="C76" s="1878"/>
      <c r="D76" s="1924"/>
      <c r="G76" s="1880"/>
    </row>
    <row r="77" spans="1:7" s="1879" customFormat="1" x14ac:dyDescent="0.3">
      <c r="A77" s="26"/>
      <c r="B77" s="6"/>
      <c r="C77" s="1878"/>
      <c r="D77" s="1924"/>
      <c r="G77" s="1880"/>
    </row>
    <row r="78" spans="1:7" s="1879" customFormat="1" x14ac:dyDescent="0.3">
      <c r="A78" s="26"/>
      <c r="B78" s="6"/>
      <c r="C78" s="1878"/>
      <c r="D78" s="1924"/>
      <c r="G78" s="1880"/>
    </row>
    <row r="79" spans="1:7" s="1879" customFormat="1" x14ac:dyDescent="0.3">
      <c r="A79" s="26"/>
      <c r="B79" s="6"/>
      <c r="C79" s="1878"/>
      <c r="D79" s="1924"/>
      <c r="G79" s="1880"/>
    </row>
    <row r="80" spans="1:7" s="1879" customFormat="1" x14ac:dyDescent="0.3">
      <c r="A80" s="26"/>
      <c r="B80" s="6"/>
      <c r="C80" s="1878"/>
      <c r="D80" s="1924"/>
      <c r="G80" s="1880"/>
    </row>
  </sheetData>
  <mergeCells count="4">
    <mergeCell ref="B1:G1"/>
    <mergeCell ref="B2:D2"/>
    <mergeCell ref="C3:G3"/>
    <mergeCell ref="B4:G4"/>
  </mergeCells>
  <printOptions horizontalCentered="1"/>
  <pageMargins left="0.196527777777778" right="0.196527777777778" top="0.59027777777777801" bottom="0.59027777777777801" header="0.511811023622047" footer="0.51180555555555596"/>
  <pageSetup paperSize="9" scale="77" orientation="portrait" horizontalDpi="300" verticalDpi="300" r:id="rId1"/>
  <headerFooter>
    <oddFooter>&amp;C-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view="pageBreakPreview" zoomScaleNormal="100" workbookViewId="0">
      <selection activeCell="B1" sqref="B1"/>
    </sheetView>
  </sheetViews>
  <sheetFormatPr defaultColWidth="9.28515625" defaultRowHeight="17.25" x14ac:dyDescent="0.35"/>
  <cols>
    <col min="1" max="1" width="3.7109375" style="162" customWidth="1"/>
    <col min="2" max="2" width="5.7109375" style="163" customWidth="1"/>
    <col min="3" max="5" width="5.7109375" style="164" customWidth="1"/>
    <col min="6" max="6" width="59.7109375" style="52" customWidth="1"/>
    <col min="7" max="9" width="13.7109375" style="52" customWidth="1"/>
    <col min="10" max="11" width="15.7109375" style="52" customWidth="1"/>
    <col min="12" max="12" width="15.7109375" style="165" customWidth="1"/>
    <col min="13" max="13" width="15.7109375" style="52" customWidth="1"/>
    <col min="14" max="16384" width="9.28515625" style="52"/>
  </cols>
  <sheetData>
    <row r="1" spans="1:13" x14ac:dyDescent="0.35">
      <c r="B1" s="8" t="s">
        <v>1102</v>
      </c>
      <c r="C1" s="8"/>
      <c r="D1" s="8"/>
      <c r="E1" s="8"/>
      <c r="F1" s="8"/>
      <c r="G1" s="8"/>
      <c r="H1" s="8"/>
      <c r="I1" s="8"/>
      <c r="J1" s="8"/>
      <c r="K1" s="5"/>
    </row>
    <row r="2" spans="1:13" x14ac:dyDescent="0.35">
      <c r="B2" s="1928" t="s">
        <v>182</v>
      </c>
      <c r="C2" s="1928"/>
      <c r="D2" s="1928"/>
      <c r="E2" s="1928"/>
      <c r="F2" s="1928"/>
      <c r="H2" s="166"/>
    </row>
    <row r="3" spans="1:13" s="167" customFormat="1" ht="24.75" customHeight="1" x14ac:dyDescent="0.2">
      <c r="A3" s="162"/>
      <c r="B3" s="1929" t="s">
        <v>96</v>
      </c>
      <c r="C3" s="1929"/>
      <c r="D3" s="1929"/>
      <c r="E3" s="1929"/>
      <c r="F3" s="1929"/>
      <c r="G3" s="1929"/>
      <c r="H3" s="1929"/>
      <c r="I3" s="1929"/>
      <c r="J3" s="1929"/>
      <c r="K3" s="1929"/>
      <c r="L3" s="1929"/>
      <c r="M3" s="1929"/>
    </row>
    <row r="4" spans="1:13" s="167" customFormat="1" ht="24.75" customHeight="1" x14ac:dyDescent="0.2">
      <c r="A4" s="162"/>
      <c r="B4" s="1929" t="s">
        <v>183</v>
      </c>
      <c r="C4" s="1929"/>
      <c r="D4" s="1929"/>
      <c r="E4" s="1929"/>
      <c r="F4" s="1929"/>
      <c r="G4" s="1929"/>
      <c r="H4" s="1929"/>
      <c r="I4" s="1929"/>
      <c r="J4" s="1929"/>
      <c r="K4" s="1929"/>
      <c r="L4" s="1929"/>
      <c r="M4" s="1929"/>
    </row>
    <row r="5" spans="1:13" x14ac:dyDescent="0.35">
      <c r="C5" s="168"/>
      <c r="E5" s="168"/>
      <c r="F5" s="168"/>
      <c r="G5" s="168"/>
      <c r="H5" s="166"/>
      <c r="J5" s="169"/>
      <c r="K5" s="169"/>
      <c r="M5" s="169" t="s">
        <v>0</v>
      </c>
    </row>
    <row r="6" spans="1:13" s="164" customFormat="1" x14ac:dyDescent="0.35">
      <c r="A6" s="162"/>
      <c r="B6" s="163" t="s">
        <v>1</v>
      </c>
      <c r="C6" s="164" t="s">
        <v>2</v>
      </c>
      <c r="D6" s="164" t="s">
        <v>98</v>
      </c>
      <c r="E6" s="164" t="s">
        <v>99</v>
      </c>
      <c r="F6" s="164" t="s">
        <v>100</v>
      </c>
      <c r="G6" s="164" t="s">
        <v>101</v>
      </c>
      <c r="H6" s="164" t="s">
        <v>102</v>
      </c>
      <c r="I6" s="170" t="s">
        <v>103</v>
      </c>
      <c r="J6" s="170" t="s">
        <v>104</v>
      </c>
      <c r="K6" s="164" t="s">
        <v>105</v>
      </c>
      <c r="L6" s="171" t="s">
        <v>106</v>
      </c>
      <c r="M6" s="164" t="s">
        <v>107</v>
      </c>
    </row>
    <row r="7" spans="1:13" s="177" customFormat="1" ht="79.5" customHeight="1" x14ac:dyDescent="0.2">
      <c r="A7" s="162"/>
      <c r="B7" s="172" t="s">
        <v>184</v>
      </c>
      <c r="C7" s="173" t="s">
        <v>109</v>
      </c>
      <c r="D7" s="43" t="s">
        <v>110</v>
      </c>
      <c r="E7" s="43" t="s">
        <v>185</v>
      </c>
      <c r="F7" s="174" t="s">
        <v>3</v>
      </c>
      <c r="G7" s="46" t="s">
        <v>112</v>
      </c>
      <c r="H7" s="46" t="s">
        <v>113</v>
      </c>
      <c r="I7" s="175" t="s">
        <v>114</v>
      </c>
      <c r="J7" s="176" t="s">
        <v>115</v>
      </c>
      <c r="K7" s="49" t="s">
        <v>116</v>
      </c>
      <c r="L7" s="50" t="s">
        <v>117</v>
      </c>
      <c r="M7" s="51" t="s">
        <v>118</v>
      </c>
    </row>
    <row r="8" spans="1:13" s="186" customFormat="1" ht="30" customHeight="1" x14ac:dyDescent="0.35">
      <c r="A8" s="162">
        <v>1</v>
      </c>
      <c r="B8" s="178" t="s">
        <v>132</v>
      </c>
      <c r="C8" s="179"/>
      <c r="D8" s="180"/>
      <c r="E8" s="179"/>
      <c r="F8" s="181" t="s">
        <v>186</v>
      </c>
      <c r="G8" s="182">
        <f t="shared" ref="G8:M8" si="0">SUM(G9:G10)</f>
        <v>10261489</v>
      </c>
      <c r="H8" s="182">
        <f t="shared" si="0"/>
        <v>11771027</v>
      </c>
      <c r="I8" s="182">
        <f t="shared" si="0"/>
        <v>12380731</v>
      </c>
      <c r="J8" s="183">
        <f t="shared" si="0"/>
        <v>13111714</v>
      </c>
      <c r="K8" s="182">
        <f t="shared" si="0"/>
        <v>15624045</v>
      </c>
      <c r="L8" s="184">
        <f t="shared" si="0"/>
        <v>103716</v>
      </c>
      <c r="M8" s="185">
        <f t="shared" si="0"/>
        <v>15727761</v>
      </c>
    </row>
    <row r="9" spans="1:13" ht="25.5" customHeight="1" x14ac:dyDescent="0.35">
      <c r="A9" s="162">
        <v>2</v>
      </c>
      <c r="B9" s="187"/>
      <c r="D9" s="164">
        <v>1</v>
      </c>
      <c r="F9" s="52" t="s">
        <v>40</v>
      </c>
      <c r="G9" s="52">
        <v>9939303</v>
      </c>
      <c r="H9" s="52">
        <v>11485514</v>
      </c>
      <c r="I9" s="52">
        <v>11919140</v>
      </c>
      <c r="J9" s="188">
        <v>12737090</v>
      </c>
      <c r="K9" s="52">
        <v>14944830</v>
      </c>
      <c r="L9" s="165">
        <f>'4.Inki'!K284+'4.Inki'!L284+'4.Inki'!M284+'4.Inki'!N284+'4.Inki'!O284</f>
        <v>100971</v>
      </c>
      <c r="M9" s="189">
        <f>SUM(K9:L9)</f>
        <v>15045801</v>
      </c>
    </row>
    <row r="10" spans="1:13" ht="25.5" customHeight="1" x14ac:dyDescent="0.35">
      <c r="A10" s="162">
        <v>3</v>
      </c>
      <c r="B10" s="187"/>
      <c r="D10" s="164">
        <v>2</v>
      </c>
      <c r="F10" s="52" t="s">
        <v>187</v>
      </c>
      <c r="G10" s="52">
        <f t="shared" ref="G10:M10" si="1">SUM(G11:G13)</f>
        <v>322186</v>
      </c>
      <c r="H10" s="52">
        <f t="shared" si="1"/>
        <v>285513</v>
      </c>
      <c r="I10" s="52">
        <f t="shared" si="1"/>
        <v>461591</v>
      </c>
      <c r="J10" s="188">
        <f t="shared" si="1"/>
        <v>374624</v>
      </c>
      <c r="K10" s="165">
        <f t="shared" si="1"/>
        <v>679215</v>
      </c>
      <c r="L10" s="165">
        <f t="shared" si="1"/>
        <v>2745</v>
      </c>
      <c r="M10" s="189">
        <f t="shared" si="1"/>
        <v>681960</v>
      </c>
    </row>
    <row r="11" spans="1:13" x14ac:dyDescent="0.35">
      <c r="A11" s="162">
        <v>4</v>
      </c>
      <c r="B11" s="187"/>
      <c r="E11" s="164">
        <v>7</v>
      </c>
      <c r="F11" s="190" t="s">
        <v>56</v>
      </c>
      <c r="G11" s="52">
        <v>321576</v>
      </c>
      <c r="H11" s="52">
        <v>285513</v>
      </c>
      <c r="I11" s="52">
        <v>460547</v>
      </c>
      <c r="J11" s="188">
        <v>374624</v>
      </c>
      <c r="K11" s="52">
        <v>677240</v>
      </c>
      <c r="L11" s="165">
        <f>'4.Inki'!P284</f>
        <v>2745</v>
      </c>
      <c r="M11" s="189">
        <f>SUM(K11:L11)</f>
        <v>679985</v>
      </c>
    </row>
    <row r="12" spans="1:13" x14ac:dyDescent="0.35">
      <c r="A12" s="162">
        <v>5</v>
      </c>
      <c r="B12" s="187"/>
      <c r="E12" s="164">
        <v>8</v>
      </c>
      <c r="F12" s="190" t="s">
        <v>188</v>
      </c>
      <c r="I12" s="52">
        <v>20</v>
      </c>
      <c r="J12" s="188"/>
      <c r="K12" s="52">
        <v>1975</v>
      </c>
      <c r="L12" s="165">
        <f>'4.Inki'!R284</f>
        <v>0</v>
      </c>
      <c r="M12" s="189">
        <f>SUM(K12:L12)</f>
        <v>1975</v>
      </c>
    </row>
    <row r="13" spans="1:13" x14ac:dyDescent="0.35">
      <c r="A13" s="162">
        <v>6</v>
      </c>
      <c r="B13" s="187"/>
      <c r="E13" s="164">
        <v>9</v>
      </c>
      <c r="F13" s="190" t="s">
        <v>189</v>
      </c>
      <c r="G13" s="52">
        <v>610</v>
      </c>
      <c r="I13" s="52">
        <v>1024</v>
      </c>
      <c r="J13" s="188"/>
      <c r="M13" s="189"/>
    </row>
    <row r="14" spans="1:13" s="186" customFormat="1" ht="30" customHeight="1" x14ac:dyDescent="0.35">
      <c r="A14" s="162">
        <v>7</v>
      </c>
      <c r="B14" s="191" t="s">
        <v>190</v>
      </c>
      <c r="C14" s="192"/>
      <c r="D14" s="193"/>
      <c r="E14" s="193"/>
      <c r="F14" s="194" t="s">
        <v>175</v>
      </c>
      <c r="G14" s="194">
        <f t="shared" ref="G14:M14" si="2">SUM(G15:G16,G31,G32)</f>
        <v>32247135</v>
      </c>
      <c r="H14" s="194">
        <f t="shared" si="2"/>
        <v>37398577</v>
      </c>
      <c r="I14" s="194">
        <f t="shared" si="2"/>
        <v>39673417</v>
      </c>
      <c r="J14" s="195">
        <f t="shared" si="2"/>
        <v>29978320</v>
      </c>
      <c r="K14" s="194">
        <f t="shared" si="2"/>
        <v>31545253</v>
      </c>
      <c r="L14" s="196">
        <f t="shared" si="2"/>
        <v>-456967</v>
      </c>
      <c r="M14" s="197">
        <f t="shared" si="2"/>
        <v>31088286</v>
      </c>
    </row>
    <row r="15" spans="1:13" s="186" customFormat="1" ht="25.5" customHeight="1" x14ac:dyDescent="0.35">
      <c r="A15" s="162">
        <v>8</v>
      </c>
      <c r="B15" s="187"/>
      <c r="C15" s="168"/>
      <c r="D15" s="164">
        <v>1</v>
      </c>
      <c r="E15" s="168"/>
      <c r="F15" s="186" t="s">
        <v>40</v>
      </c>
      <c r="G15" s="186">
        <v>8933964</v>
      </c>
      <c r="H15" s="186">
        <v>12306536</v>
      </c>
      <c r="I15" s="186">
        <v>13413343</v>
      </c>
      <c r="J15" s="198">
        <v>14604135</v>
      </c>
      <c r="K15" s="186">
        <v>16982942</v>
      </c>
      <c r="L15" s="199">
        <f>'6.Önk.műk.'!I1067+'7.Beruh.'!I690+'8.Felúj.'!I271+'9.Projekt'!I101+'9.Projekt'!J101+'9.Projekt'!K101+'9.Projekt'!L101+'10.MVP és hazai'!I46+'10.MVP és hazai'!J46+'10.MVP és hazai'!K46+'10.MVP és hazai'!L46+'11.EKF'!I207+'11.EKF'!J207+'11.EKF'!K207+'11.EKF'!L207</f>
        <v>-445441</v>
      </c>
      <c r="M15" s="200">
        <f>SUM(K15:L15)</f>
        <v>16537501</v>
      </c>
    </row>
    <row r="16" spans="1:13" ht="25.5" customHeight="1" x14ac:dyDescent="0.35">
      <c r="A16" s="162">
        <v>9</v>
      </c>
      <c r="B16" s="187"/>
      <c r="C16" s="168"/>
      <c r="D16" s="168"/>
      <c r="E16" s="168"/>
      <c r="F16" s="186" t="s">
        <v>91</v>
      </c>
      <c r="G16" s="186">
        <f t="shared" ref="G16:M16" si="3">SUM(G17,G26)</f>
        <v>0</v>
      </c>
      <c r="H16" s="186">
        <f t="shared" si="3"/>
        <v>516363</v>
      </c>
      <c r="I16" s="186">
        <f t="shared" si="3"/>
        <v>0</v>
      </c>
      <c r="J16" s="198">
        <f t="shared" si="3"/>
        <v>1445988</v>
      </c>
      <c r="K16" s="186">
        <f t="shared" si="3"/>
        <v>414564</v>
      </c>
      <c r="L16" s="199">
        <f t="shared" si="3"/>
        <v>-334345</v>
      </c>
      <c r="M16" s="200">
        <f t="shared" si="3"/>
        <v>80219</v>
      </c>
    </row>
    <row r="17" spans="1:13" s="165" customFormat="1" ht="25.5" customHeight="1" x14ac:dyDescent="0.35">
      <c r="A17" s="162">
        <v>10</v>
      </c>
      <c r="B17" s="201"/>
      <c r="C17" s="171"/>
      <c r="D17" s="164">
        <v>1</v>
      </c>
      <c r="E17" s="164">
        <v>6</v>
      </c>
      <c r="F17" s="202" t="s">
        <v>191</v>
      </c>
      <c r="G17" s="165">
        <f t="shared" ref="G17:M17" si="4">SUM(G18:G25)</f>
        <v>0</v>
      </c>
      <c r="H17" s="165">
        <f t="shared" si="4"/>
        <v>503367</v>
      </c>
      <c r="I17" s="165">
        <f t="shared" si="4"/>
        <v>0</v>
      </c>
      <c r="J17" s="203">
        <f t="shared" si="4"/>
        <v>871488</v>
      </c>
      <c r="K17" s="165">
        <f t="shared" si="4"/>
        <v>413564</v>
      </c>
      <c r="L17" s="165">
        <f t="shared" si="4"/>
        <v>-334345</v>
      </c>
      <c r="M17" s="204">
        <f t="shared" si="4"/>
        <v>79219</v>
      </c>
    </row>
    <row r="18" spans="1:13" x14ac:dyDescent="0.35">
      <c r="A18" s="162">
        <v>11</v>
      </c>
      <c r="B18" s="187"/>
      <c r="F18" s="25" t="s">
        <v>192</v>
      </c>
      <c r="H18" s="52">
        <v>140721</v>
      </c>
      <c r="J18" s="188">
        <v>218415</v>
      </c>
      <c r="K18" s="52">
        <v>94238</v>
      </c>
      <c r="L18" s="165">
        <v>-53131</v>
      </c>
      <c r="M18" s="189">
        <f t="shared" ref="M18:M26" si="5">SUM(K18:L18)</f>
        <v>41107</v>
      </c>
    </row>
    <row r="19" spans="1:13" x14ac:dyDescent="0.35">
      <c r="A19" s="162">
        <v>12</v>
      </c>
      <c r="B19" s="187"/>
      <c r="F19" s="25" t="s">
        <v>193</v>
      </c>
      <c r="H19" s="52">
        <v>24000</v>
      </c>
      <c r="J19" s="188">
        <v>36000</v>
      </c>
      <c r="K19" s="52">
        <v>0</v>
      </c>
      <c r="M19" s="189">
        <f t="shared" si="5"/>
        <v>0</v>
      </c>
    </row>
    <row r="20" spans="1:13" x14ac:dyDescent="0.35">
      <c r="A20" s="162">
        <v>13</v>
      </c>
      <c r="B20" s="187"/>
      <c r="F20" s="25" t="s">
        <v>194</v>
      </c>
      <c r="H20" s="52">
        <v>75492</v>
      </c>
      <c r="J20" s="188">
        <v>15128</v>
      </c>
      <c r="K20" s="52">
        <v>30276</v>
      </c>
      <c r="L20" s="165">
        <v>-30276</v>
      </c>
      <c r="M20" s="189">
        <f t="shared" si="5"/>
        <v>0</v>
      </c>
    </row>
    <row r="21" spans="1:13" x14ac:dyDescent="0.35">
      <c r="A21" s="162">
        <v>14</v>
      </c>
      <c r="B21" s="187"/>
      <c r="F21" s="25" t="s">
        <v>195</v>
      </c>
      <c r="H21" s="52">
        <v>150000</v>
      </c>
      <c r="J21" s="188">
        <v>150000</v>
      </c>
      <c r="K21" s="52">
        <v>0</v>
      </c>
      <c r="M21" s="189">
        <f t="shared" si="5"/>
        <v>0</v>
      </c>
    </row>
    <row r="22" spans="1:13" x14ac:dyDescent="0.35">
      <c r="A22" s="162">
        <v>15</v>
      </c>
      <c r="B22" s="187"/>
      <c r="F22" s="25" t="s">
        <v>196</v>
      </c>
      <c r="H22" s="52">
        <v>101168</v>
      </c>
      <c r="J22" s="188">
        <v>418802</v>
      </c>
      <c r="K22" s="52">
        <v>250938</v>
      </c>
      <c r="L22" s="165">
        <f>-235484+1139-16593</f>
        <v>-250938</v>
      </c>
      <c r="M22" s="189">
        <f t="shared" si="5"/>
        <v>0</v>
      </c>
    </row>
    <row r="23" spans="1:13" x14ac:dyDescent="0.35">
      <c r="A23" s="162">
        <v>16</v>
      </c>
      <c r="B23" s="187"/>
      <c r="F23" s="25" t="s">
        <v>197</v>
      </c>
      <c r="H23" s="52">
        <v>11736</v>
      </c>
      <c r="J23" s="188">
        <v>15293</v>
      </c>
      <c r="K23" s="52">
        <v>19912</v>
      </c>
      <c r="M23" s="189">
        <f t="shared" si="5"/>
        <v>19912</v>
      </c>
    </row>
    <row r="24" spans="1:13" x14ac:dyDescent="0.35">
      <c r="A24" s="162">
        <v>17</v>
      </c>
      <c r="B24" s="187"/>
      <c r="F24" s="25" t="s">
        <v>198</v>
      </c>
      <c r="H24" s="52">
        <v>250</v>
      </c>
      <c r="J24" s="188">
        <v>7850</v>
      </c>
      <c r="K24" s="52">
        <v>8200</v>
      </c>
      <c r="M24" s="189">
        <f t="shared" si="5"/>
        <v>8200</v>
      </c>
    </row>
    <row r="25" spans="1:13" x14ac:dyDescent="0.35">
      <c r="A25" s="162">
        <v>18</v>
      </c>
      <c r="B25" s="187"/>
      <c r="F25" s="25" t="s">
        <v>199</v>
      </c>
      <c r="J25" s="188">
        <v>10000</v>
      </c>
      <c r="K25" s="52">
        <v>10000</v>
      </c>
      <c r="M25" s="189">
        <f t="shared" si="5"/>
        <v>10000</v>
      </c>
    </row>
    <row r="26" spans="1:13" s="165" customFormat="1" ht="25.5" customHeight="1" x14ac:dyDescent="0.35">
      <c r="A26" s="162">
        <v>19</v>
      </c>
      <c r="B26" s="201"/>
      <c r="C26" s="171"/>
      <c r="D26" s="164">
        <v>2</v>
      </c>
      <c r="E26" s="164">
        <v>10</v>
      </c>
      <c r="F26" s="202" t="s">
        <v>200</v>
      </c>
      <c r="G26" s="165">
        <f>SUM(G27:G30)</f>
        <v>0</v>
      </c>
      <c r="H26" s="165">
        <f>SUM(H27:H30)</f>
        <v>12996</v>
      </c>
      <c r="J26" s="203">
        <f>SUM(J27:J30)</f>
        <v>574500</v>
      </c>
      <c r="K26" s="165">
        <f>SUM(K27:K30)</f>
        <v>1000</v>
      </c>
      <c r="L26" s="165">
        <f>SUM(L27:L30)</f>
        <v>0</v>
      </c>
      <c r="M26" s="204">
        <f t="shared" si="5"/>
        <v>1000</v>
      </c>
    </row>
    <row r="27" spans="1:13" x14ac:dyDescent="0.35">
      <c r="A27" s="162">
        <v>20</v>
      </c>
      <c r="B27" s="187"/>
      <c r="D27" s="171"/>
      <c r="F27" s="25" t="s">
        <v>201</v>
      </c>
      <c r="J27" s="188"/>
      <c r="M27" s="189"/>
    </row>
    <row r="28" spans="1:13" x14ac:dyDescent="0.35">
      <c r="A28" s="162">
        <v>21</v>
      </c>
      <c r="B28" s="187"/>
      <c r="D28" s="171"/>
      <c r="F28" s="205" t="s">
        <v>202</v>
      </c>
      <c r="H28" s="167">
        <v>5315</v>
      </c>
      <c r="I28" s="167"/>
      <c r="J28" s="206">
        <v>6000</v>
      </c>
      <c r="K28" s="167">
        <v>1000</v>
      </c>
      <c r="M28" s="189">
        <f>SUM(K28:L28)</f>
        <v>1000</v>
      </c>
    </row>
    <row r="29" spans="1:13" x14ac:dyDescent="0.35">
      <c r="A29" s="162">
        <v>22</v>
      </c>
      <c r="B29" s="187"/>
      <c r="D29" s="171"/>
      <c r="F29" s="205" t="s">
        <v>203</v>
      </c>
      <c r="H29" s="167"/>
      <c r="I29" s="167"/>
      <c r="J29" s="206">
        <v>568500</v>
      </c>
      <c r="K29" s="167">
        <v>0</v>
      </c>
      <c r="M29" s="189">
        <f>SUM(K29:L29)</f>
        <v>0</v>
      </c>
    </row>
    <row r="30" spans="1:13" x14ac:dyDescent="0.35">
      <c r="A30" s="162">
        <v>23</v>
      </c>
      <c r="B30" s="187"/>
      <c r="D30" s="171"/>
      <c r="F30" s="25" t="s">
        <v>204</v>
      </c>
      <c r="H30" s="52">
        <v>7681</v>
      </c>
      <c r="J30" s="188"/>
      <c r="M30" s="189"/>
    </row>
    <row r="31" spans="1:13" s="167" customFormat="1" ht="25.5" customHeight="1" x14ac:dyDescent="0.2">
      <c r="A31" s="162">
        <v>24</v>
      </c>
      <c r="B31" s="207"/>
      <c r="C31" s="2"/>
      <c r="D31" s="2"/>
      <c r="E31" s="2"/>
      <c r="F31" s="208" t="s">
        <v>92</v>
      </c>
      <c r="G31" s="208"/>
      <c r="H31" s="208">
        <v>150000</v>
      </c>
      <c r="I31" s="208"/>
      <c r="J31" s="209">
        <v>150000</v>
      </c>
      <c r="K31" s="208">
        <v>50000</v>
      </c>
      <c r="L31" s="210">
        <v>-50000</v>
      </c>
      <c r="M31" s="211">
        <f>SUM(K31:L31)</f>
        <v>0</v>
      </c>
    </row>
    <row r="32" spans="1:13" s="186" customFormat="1" ht="25.5" customHeight="1" x14ac:dyDescent="0.35">
      <c r="A32" s="162">
        <v>25</v>
      </c>
      <c r="B32" s="187"/>
      <c r="C32" s="168"/>
      <c r="D32" s="164">
        <v>2</v>
      </c>
      <c r="E32" s="168"/>
      <c r="F32" s="186" t="s">
        <v>187</v>
      </c>
      <c r="G32" s="186">
        <f t="shared" ref="G32:M32" si="6">SUM(G33:G35)</f>
        <v>23313171</v>
      </c>
      <c r="H32" s="186">
        <f t="shared" si="6"/>
        <v>24425678</v>
      </c>
      <c r="I32" s="186">
        <f t="shared" si="6"/>
        <v>26260074</v>
      </c>
      <c r="J32" s="198">
        <f t="shared" si="6"/>
        <v>13778197</v>
      </c>
      <c r="K32" s="186">
        <f t="shared" si="6"/>
        <v>14097747</v>
      </c>
      <c r="L32" s="199">
        <f t="shared" si="6"/>
        <v>372819</v>
      </c>
      <c r="M32" s="200">
        <f t="shared" si="6"/>
        <v>14470566</v>
      </c>
    </row>
    <row r="33" spans="1:13" x14ac:dyDescent="0.35">
      <c r="A33" s="162">
        <v>26</v>
      </c>
      <c r="B33" s="187"/>
      <c r="C33" s="168"/>
      <c r="E33" s="164">
        <v>7</v>
      </c>
      <c r="F33" s="190" t="s">
        <v>56</v>
      </c>
      <c r="G33" s="52">
        <v>22857882</v>
      </c>
      <c r="H33" s="52">
        <v>23919413</v>
      </c>
      <c r="I33" s="52">
        <v>23451890</v>
      </c>
      <c r="J33" s="188">
        <f>'7.Beruh.'!J688+'9.Projekt'!M99+5774430+'11.EKF'!M205</f>
        <v>11055791</v>
      </c>
      <c r="K33" s="52">
        <v>12035123</v>
      </c>
      <c r="L33" s="165">
        <f>'7.Beruh.'!J690+'9.Projekt'!M101+'10.MVP és hazai'!M46+'11.EKF'!M207</f>
        <v>637319</v>
      </c>
      <c r="M33" s="189">
        <f>SUM(K33:L33)</f>
        <v>12672442</v>
      </c>
    </row>
    <row r="34" spans="1:13" x14ac:dyDescent="0.35">
      <c r="A34" s="162">
        <v>27</v>
      </c>
      <c r="B34" s="187"/>
      <c r="C34" s="168"/>
      <c r="E34" s="164">
        <v>8</v>
      </c>
      <c r="F34" s="190" t="s">
        <v>188</v>
      </c>
      <c r="G34" s="52">
        <v>379909</v>
      </c>
      <c r="H34" s="52">
        <v>403061</v>
      </c>
      <c r="I34" s="52">
        <v>2531852</v>
      </c>
      <c r="J34" s="188">
        <f>'7.Beruh.'!K688+'9.Projekt'!N99+'11.EKF'!O205</f>
        <v>1837575</v>
      </c>
      <c r="K34" s="52">
        <v>630079</v>
      </c>
      <c r="L34" s="165">
        <f>'7.Beruh.'!K690+'9.Projekt'!N101+'11.EKF'!O207</f>
        <v>2500</v>
      </c>
      <c r="M34" s="189">
        <f>SUM(K34:L34)</f>
        <v>632579</v>
      </c>
    </row>
    <row r="35" spans="1:13" x14ac:dyDescent="0.35">
      <c r="A35" s="162">
        <v>28</v>
      </c>
      <c r="B35" s="187"/>
      <c r="C35" s="168"/>
      <c r="E35" s="164">
        <v>9</v>
      </c>
      <c r="F35" s="190" t="s">
        <v>189</v>
      </c>
      <c r="G35" s="52">
        <v>75380</v>
      </c>
      <c r="H35" s="52">
        <v>103204</v>
      </c>
      <c r="I35" s="52">
        <v>276332</v>
      </c>
      <c r="J35" s="188">
        <f>'8.Felúj.'!J269</f>
        <v>884831</v>
      </c>
      <c r="K35" s="52">
        <v>1432545</v>
      </c>
      <c r="L35" s="165">
        <f>'8.Felúj.'!J271+'11.EKF'!N207</f>
        <v>-267000</v>
      </c>
      <c r="M35" s="189">
        <f>SUM(K35:L35)</f>
        <v>1165545</v>
      </c>
    </row>
    <row r="36" spans="1:13" s="186" customFormat="1" ht="30" customHeight="1" x14ac:dyDescent="0.35">
      <c r="A36" s="162">
        <v>29</v>
      </c>
      <c r="B36" s="191" t="s">
        <v>190</v>
      </c>
      <c r="C36" s="192"/>
      <c r="D36" s="193"/>
      <c r="E36" s="192"/>
      <c r="F36" s="194" t="s">
        <v>205</v>
      </c>
      <c r="G36" s="194">
        <f t="shared" ref="G36:M36" si="7">SUM(G37:G38)</f>
        <v>0</v>
      </c>
      <c r="H36" s="194">
        <f t="shared" si="7"/>
        <v>0</v>
      </c>
      <c r="I36" s="194">
        <f t="shared" si="7"/>
        <v>0</v>
      </c>
      <c r="J36" s="195">
        <f t="shared" si="7"/>
        <v>0</v>
      </c>
      <c r="K36" s="196">
        <f t="shared" si="7"/>
        <v>0</v>
      </c>
      <c r="L36" s="196">
        <f t="shared" si="7"/>
        <v>0</v>
      </c>
      <c r="M36" s="197">
        <f t="shared" si="7"/>
        <v>0</v>
      </c>
    </row>
    <row r="37" spans="1:13" ht="24" customHeight="1" x14ac:dyDescent="0.35">
      <c r="A37" s="162">
        <v>30</v>
      </c>
      <c r="B37" s="187"/>
      <c r="D37" s="164">
        <v>1</v>
      </c>
      <c r="F37" s="3" t="s">
        <v>40</v>
      </c>
      <c r="J37" s="188"/>
      <c r="M37" s="189"/>
    </row>
    <row r="38" spans="1:13" ht="24" customHeight="1" x14ac:dyDescent="0.35">
      <c r="A38" s="162">
        <v>31</v>
      </c>
      <c r="B38" s="187"/>
      <c r="D38" s="164">
        <v>2</v>
      </c>
      <c r="F38" s="212" t="s">
        <v>187</v>
      </c>
      <c r="J38" s="188"/>
      <c r="M38" s="189"/>
    </row>
    <row r="39" spans="1:13" s="208" customFormat="1" ht="39.75" customHeight="1" x14ac:dyDescent="0.2">
      <c r="A39" s="162">
        <v>32</v>
      </c>
      <c r="B39" s="213"/>
      <c r="C39" s="214"/>
      <c r="D39" s="215"/>
      <c r="E39" s="214"/>
      <c r="F39" s="216" t="s">
        <v>206</v>
      </c>
      <c r="G39" s="216">
        <f t="shared" ref="G39:M39" si="8">SUM(G8,G14,G36)</f>
        <v>42508624</v>
      </c>
      <c r="H39" s="216">
        <f t="shared" si="8"/>
        <v>49169604</v>
      </c>
      <c r="I39" s="216">
        <f t="shared" si="8"/>
        <v>52054148</v>
      </c>
      <c r="J39" s="217">
        <f t="shared" si="8"/>
        <v>43090034</v>
      </c>
      <c r="K39" s="216">
        <f t="shared" si="8"/>
        <v>47169298</v>
      </c>
      <c r="L39" s="218">
        <f t="shared" si="8"/>
        <v>-353251</v>
      </c>
      <c r="M39" s="219">
        <f t="shared" si="8"/>
        <v>46816047</v>
      </c>
    </row>
    <row r="40" spans="1:13" ht="30" customHeight="1" x14ac:dyDescent="0.35">
      <c r="A40" s="162">
        <v>33</v>
      </c>
      <c r="B40" s="187" t="s">
        <v>190</v>
      </c>
      <c r="F40" s="186" t="s">
        <v>93</v>
      </c>
      <c r="G40" s="186">
        <f>SUM(G45:G46,G41:G42)</f>
        <v>516318</v>
      </c>
      <c r="H40" s="186">
        <f>SUM(H45:H46,H41:H42)</f>
        <v>432995</v>
      </c>
      <c r="I40" s="186">
        <f>SUM(I45:I46,I41:I42)</f>
        <v>636829</v>
      </c>
      <c r="J40" s="198">
        <f>SUM(J45:J46,J41:J42)</f>
        <v>457737</v>
      </c>
      <c r="K40" s="199">
        <f>SUM(K45:K46,K41:K42)</f>
        <v>595628</v>
      </c>
      <c r="L40" s="199">
        <f>SUM(L45:L46,L41:L42)+L43</f>
        <v>1500000</v>
      </c>
      <c r="M40" s="200">
        <f>SUM(M45:M46,M41:M42)+M43</f>
        <v>2095628</v>
      </c>
    </row>
    <row r="41" spans="1:13" x14ac:dyDescent="0.35">
      <c r="A41" s="162">
        <v>34</v>
      </c>
      <c r="B41" s="187"/>
      <c r="D41" s="164">
        <v>1</v>
      </c>
      <c r="F41" s="52" t="s">
        <v>207</v>
      </c>
      <c r="J41" s="188"/>
      <c r="M41" s="189"/>
    </row>
    <row r="42" spans="1:13" x14ac:dyDescent="0.35">
      <c r="A42" s="162">
        <v>35</v>
      </c>
      <c r="B42" s="187"/>
      <c r="E42" s="164">
        <v>11</v>
      </c>
      <c r="F42" s="52" t="s">
        <v>208</v>
      </c>
      <c r="G42" s="52">
        <v>298556</v>
      </c>
      <c r="H42" s="52">
        <v>196121</v>
      </c>
      <c r="I42" s="52">
        <v>354955</v>
      </c>
      <c r="J42" s="188">
        <v>219898</v>
      </c>
      <c r="K42" s="52">
        <v>357789</v>
      </c>
      <c r="M42" s="189">
        <f>SUM(K42:L42)</f>
        <v>357789</v>
      </c>
    </row>
    <row r="43" spans="1:13" x14ac:dyDescent="0.35">
      <c r="A43" s="162">
        <v>36</v>
      </c>
      <c r="B43" s="187"/>
      <c r="E43" s="164">
        <v>13</v>
      </c>
      <c r="F43" s="52" t="s">
        <v>94</v>
      </c>
      <c r="J43" s="188"/>
      <c r="L43" s="165">
        <v>1500000</v>
      </c>
      <c r="M43" s="189">
        <f>SUM(K43:L43)</f>
        <v>1500000</v>
      </c>
    </row>
    <row r="44" spans="1:13" x14ac:dyDescent="0.35">
      <c r="A44" s="162">
        <v>37</v>
      </c>
      <c r="B44" s="187"/>
      <c r="D44" s="164">
        <v>2</v>
      </c>
      <c r="F44" s="52" t="s">
        <v>209</v>
      </c>
      <c r="J44" s="188"/>
      <c r="M44" s="189"/>
    </row>
    <row r="45" spans="1:13" x14ac:dyDescent="0.35">
      <c r="A45" s="162">
        <v>38</v>
      </c>
      <c r="B45" s="187"/>
      <c r="E45" s="164">
        <v>12</v>
      </c>
      <c r="F45" s="220" t="s">
        <v>210</v>
      </c>
      <c r="G45" s="52">
        <v>217762</v>
      </c>
      <c r="H45" s="52">
        <v>236874</v>
      </c>
      <c r="I45" s="52">
        <v>281874</v>
      </c>
      <c r="J45" s="188">
        <v>237839</v>
      </c>
      <c r="K45" s="52">
        <v>237839</v>
      </c>
      <c r="M45" s="189">
        <f>SUM(K45:L45)</f>
        <v>237839</v>
      </c>
    </row>
    <row r="46" spans="1:13" s="224" customFormat="1" ht="18" customHeight="1" x14ac:dyDescent="0.2">
      <c r="A46" s="162">
        <v>39</v>
      </c>
      <c r="B46" s="221"/>
      <c r="C46" s="222"/>
      <c r="D46" s="222"/>
      <c r="E46" s="222">
        <v>12</v>
      </c>
      <c r="F46" s="223" t="s">
        <v>211</v>
      </c>
      <c r="J46" s="225"/>
      <c r="L46" s="226"/>
      <c r="M46" s="227"/>
    </row>
    <row r="47" spans="1:13" ht="36" customHeight="1" x14ac:dyDescent="0.3">
      <c r="A47" s="162">
        <v>40</v>
      </c>
      <c r="B47" s="228"/>
      <c r="C47" s="229"/>
      <c r="D47" s="229"/>
      <c r="E47" s="229"/>
      <c r="F47" s="216" t="s">
        <v>212</v>
      </c>
      <c r="G47" s="216">
        <f t="shared" ref="G47:M47" si="9">SUM(G39:G40)</f>
        <v>43024942</v>
      </c>
      <c r="H47" s="216">
        <f t="shared" si="9"/>
        <v>49602599</v>
      </c>
      <c r="I47" s="216">
        <f t="shared" si="9"/>
        <v>52690977</v>
      </c>
      <c r="J47" s="217">
        <f t="shared" si="9"/>
        <v>43547771</v>
      </c>
      <c r="K47" s="216">
        <f t="shared" si="9"/>
        <v>47764926</v>
      </c>
      <c r="L47" s="218">
        <f t="shared" si="9"/>
        <v>1146749</v>
      </c>
      <c r="M47" s="219">
        <f t="shared" si="9"/>
        <v>48911675</v>
      </c>
    </row>
    <row r="50" spans="1:12" x14ac:dyDescent="0.35">
      <c r="C50" s="168"/>
      <c r="E50" s="168"/>
      <c r="F50" s="186"/>
      <c r="G50" s="186"/>
      <c r="H50" s="186"/>
      <c r="I50" s="186"/>
    </row>
    <row r="61" spans="1:12" s="186" customFormat="1" x14ac:dyDescent="0.35">
      <c r="A61" s="230"/>
      <c r="B61" s="163"/>
      <c r="C61" s="168"/>
      <c r="D61" s="164"/>
      <c r="E61" s="168"/>
      <c r="L61" s="199"/>
    </row>
    <row r="66" spans="1:12" s="186" customFormat="1" x14ac:dyDescent="0.35">
      <c r="A66" s="230"/>
      <c r="B66" s="163"/>
      <c r="C66" s="168"/>
      <c r="D66" s="164"/>
      <c r="E66" s="168"/>
      <c r="L66" s="199"/>
    </row>
    <row r="68" spans="1:12" s="186" customFormat="1" x14ac:dyDescent="0.35">
      <c r="A68" s="230"/>
      <c r="B68" s="163"/>
      <c r="C68" s="168"/>
      <c r="D68" s="164"/>
      <c r="E68" s="168"/>
      <c r="L68" s="199"/>
    </row>
  </sheetData>
  <mergeCells count="3">
    <mergeCell ref="B2:F2"/>
    <mergeCell ref="B3:M3"/>
    <mergeCell ref="B4:M4"/>
  </mergeCells>
  <printOptions horizontalCentered="1"/>
  <pageMargins left="0.196527777777778" right="0.196527777777778" top="0.59027777777777801" bottom="0.59027777777777801" header="0.511811023622047" footer="0.51180555555555596"/>
  <pageSetup paperSize="9" scale="53" orientation="portrait" horizontalDpi="300" verticalDpi="300" r:id="rId1"/>
  <headerFooter>
    <oddFooter>&amp;C-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47"/>
  <sheetViews>
    <sheetView view="pageBreakPreview" zoomScaleNormal="100" workbookViewId="0">
      <selection activeCell="B1" sqref="B1"/>
    </sheetView>
  </sheetViews>
  <sheetFormatPr defaultColWidth="9.28515625" defaultRowHeight="12.75" x14ac:dyDescent="0.2"/>
  <cols>
    <col min="1" max="1" width="3.7109375" style="231" customWidth="1"/>
    <col min="2" max="3" width="5.7109375" customWidth="1"/>
    <col min="4" max="4" width="4.7109375" customWidth="1"/>
    <col min="5" max="5" width="51.7109375" customWidth="1"/>
    <col min="6" max="8" width="10.5703125" customWidth="1"/>
    <col min="9" max="9" width="13.5703125" customWidth="1"/>
    <col min="10" max="10" width="10" customWidth="1"/>
    <col min="11" max="11" width="14" customWidth="1"/>
    <col min="12" max="12" width="11.7109375" customWidth="1"/>
    <col min="13" max="13" width="12.42578125" customWidth="1"/>
    <col min="14" max="14" width="14" customWidth="1"/>
    <col min="15" max="16" width="12.7109375" customWidth="1"/>
    <col min="17" max="17" width="10.7109375" customWidth="1"/>
    <col min="18" max="18" width="12.7109375" style="232" customWidth="1"/>
  </cols>
  <sheetData>
    <row r="1" spans="1:19" ht="18" customHeight="1" x14ac:dyDescent="0.2">
      <c r="B1" s="79" t="s">
        <v>1103</v>
      </c>
      <c r="C1" s="79"/>
      <c r="D1" s="79"/>
      <c r="E1" s="79"/>
      <c r="F1" s="79"/>
      <c r="G1" s="79"/>
      <c r="H1" s="79"/>
      <c r="I1" s="79"/>
      <c r="J1" s="1"/>
    </row>
    <row r="2" spans="1:19" s="234" customFormat="1" ht="18" customHeight="1" x14ac:dyDescent="0.2">
      <c r="A2" s="233"/>
      <c r="B2" s="1937" t="s">
        <v>213</v>
      </c>
      <c r="C2" s="1937"/>
      <c r="D2" s="1937"/>
      <c r="E2" s="1937"/>
      <c r="F2" s="79"/>
      <c r="G2" s="79"/>
      <c r="H2" s="79"/>
      <c r="I2" s="79"/>
      <c r="J2" s="79"/>
      <c r="K2" s="79"/>
      <c r="L2" s="79"/>
      <c r="M2" s="79"/>
      <c r="N2" s="79"/>
      <c r="O2" s="79"/>
      <c r="P2" s="79"/>
      <c r="Q2" s="79"/>
      <c r="R2" s="82"/>
      <c r="S2" s="79"/>
    </row>
    <row r="3" spans="1:19" s="234" customFormat="1" ht="22.5" customHeight="1" x14ac:dyDescent="0.2">
      <c r="A3" s="233"/>
      <c r="B3" s="1938" t="s">
        <v>214</v>
      </c>
      <c r="C3" s="1938"/>
      <c r="D3" s="1938"/>
      <c r="E3" s="1938"/>
      <c r="F3" s="1938"/>
      <c r="G3" s="1938"/>
      <c r="H3" s="1938"/>
      <c r="I3" s="1938"/>
      <c r="J3" s="1938"/>
      <c r="K3" s="1938"/>
      <c r="L3" s="1938"/>
      <c r="M3" s="1938"/>
      <c r="N3" s="1938"/>
      <c r="O3" s="1938"/>
      <c r="P3" s="1938"/>
      <c r="Q3" s="1938"/>
      <c r="R3" s="1938"/>
      <c r="S3" s="79"/>
    </row>
    <row r="4" spans="1:19" s="234" customFormat="1" ht="24.75" customHeight="1" x14ac:dyDescent="0.2">
      <c r="A4" s="233"/>
      <c r="B4" s="1938" t="s">
        <v>97</v>
      </c>
      <c r="C4" s="1938"/>
      <c r="D4" s="1938"/>
      <c r="E4" s="1938"/>
      <c r="F4" s="1938"/>
      <c r="G4" s="1938"/>
      <c r="H4" s="1938"/>
      <c r="I4" s="1938"/>
      <c r="J4" s="1938"/>
      <c r="K4" s="1938"/>
      <c r="L4" s="1938"/>
      <c r="M4" s="1938"/>
      <c r="N4" s="1938"/>
      <c r="O4" s="1938"/>
      <c r="P4" s="1938"/>
      <c r="Q4" s="1938"/>
      <c r="R4" s="1938"/>
      <c r="S4" s="79"/>
    </row>
    <row r="5" spans="1:19" ht="9" customHeight="1" x14ac:dyDescent="0.3">
      <c r="A5" s="233"/>
      <c r="B5" s="235"/>
      <c r="C5" s="30"/>
      <c r="D5" s="30"/>
      <c r="E5" s="30"/>
      <c r="F5" s="236"/>
      <c r="G5" s="236"/>
      <c r="H5" s="236"/>
      <c r="I5" s="236"/>
      <c r="J5" s="236"/>
      <c r="K5" s="236"/>
      <c r="L5" s="236"/>
      <c r="M5" s="236"/>
      <c r="N5" s="236"/>
      <c r="O5" s="236"/>
      <c r="P5" s="236"/>
      <c r="Q5" s="236"/>
      <c r="R5" s="237" t="s">
        <v>0</v>
      </c>
      <c r="S5" s="236"/>
    </row>
    <row r="6" spans="1:19" s="233" customFormat="1" ht="18" customHeight="1" x14ac:dyDescent="0.2">
      <c r="B6" s="233" t="s">
        <v>1</v>
      </c>
      <c r="C6" s="233" t="s">
        <v>2</v>
      </c>
      <c r="D6" s="1939" t="s">
        <v>98</v>
      </c>
      <c r="E6" s="1939"/>
      <c r="F6" s="233" t="s">
        <v>99</v>
      </c>
      <c r="G6" s="233" t="s">
        <v>100</v>
      </c>
      <c r="H6" s="233" t="s">
        <v>101</v>
      </c>
      <c r="I6" s="233" t="s">
        <v>102</v>
      </c>
      <c r="J6" s="233" t="s">
        <v>103</v>
      </c>
      <c r="K6" s="233" t="s">
        <v>104</v>
      </c>
      <c r="L6" s="233" t="s">
        <v>105</v>
      </c>
      <c r="M6" s="233" t="s">
        <v>106</v>
      </c>
      <c r="N6" s="233" t="s">
        <v>107</v>
      </c>
      <c r="O6" s="233" t="s">
        <v>215</v>
      </c>
      <c r="P6" s="233" t="s">
        <v>216</v>
      </c>
      <c r="Q6" s="233" t="s">
        <v>217</v>
      </c>
      <c r="R6" s="233" t="s">
        <v>218</v>
      </c>
    </row>
    <row r="7" spans="1:19" s="235" customFormat="1" ht="30" customHeight="1" x14ac:dyDescent="0.2">
      <c r="A7" s="233"/>
      <c r="B7" s="1940" t="s">
        <v>108</v>
      </c>
      <c r="C7" s="1941" t="s">
        <v>109</v>
      </c>
      <c r="D7" s="1942" t="s">
        <v>3</v>
      </c>
      <c r="E7" s="1942"/>
      <c r="F7" s="1943" t="s">
        <v>219</v>
      </c>
      <c r="G7" s="1943" t="s">
        <v>113</v>
      </c>
      <c r="H7" s="1944" t="s">
        <v>114</v>
      </c>
      <c r="I7" s="1945" t="s">
        <v>220</v>
      </c>
      <c r="J7" s="1946" t="s">
        <v>119</v>
      </c>
      <c r="K7" s="1946"/>
      <c r="L7" s="1946"/>
      <c r="M7" s="1947" t="s">
        <v>153</v>
      </c>
      <c r="N7" s="1947"/>
      <c r="O7" s="1947"/>
      <c r="P7" s="1948" t="s">
        <v>221</v>
      </c>
      <c r="Q7" s="1947" t="s">
        <v>222</v>
      </c>
      <c r="R7" s="1947"/>
    </row>
    <row r="8" spans="1:19" ht="60" x14ac:dyDescent="0.2">
      <c r="A8" s="233"/>
      <c r="B8" s="1940"/>
      <c r="C8" s="1941"/>
      <c r="D8" s="1942"/>
      <c r="E8" s="1942"/>
      <c r="F8" s="1943"/>
      <c r="G8" s="1943"/>
      <c r="H8" s="1944"/>
      <c r="I8" s="1945"/>
      <c r="J8" s="238" t="s">
        <v>144</v>
      </c>
      <c r="K8" s="238" t="s">
        <v>223</v>
      </c>
      <c r="L8" s="238" t="s">
        <v>224</v>
      </c>
      <c r="M8" s="238" t="s">
        <v>225</v>
      </c>
      <c r="N8" s="238" t="s">
        <v>226</v>
      </c>
      <c r="O8" s="238" t="s">
        <v>227</v>
      </c>
      <c r="P8" s="1948"/>
      <c r="Q8" s="238" t="s">
        <v>4</v>
      </c>
      <c r="R8" s="239" t="s">
        <v>228</v>
      </c>
      <c r="S8" s="236"/>
    </row>
    <row r="9" spans="1:19" s="30" customFormat="1" ht="22.5" customHeight="1" x14ac:dyDescent="0.3">
      <c r="A9" s="233">
        <v>1</v>
      </c>
      <c r="B9" s="240">
        <v>1</v>
      </c>
      <c r="C9" s="241"/>
      <c r="D9" s="242" t="s">
        <v>41</v>
      </c>
      <c r="E9" s="243"/>
      <c r="F9" s="244">
        <v>258704</v>
      </c>
      <c r="G9" s="244">
        <v>302590</v>
      </c>
      <c r="H9" s="245">
        <v>322340</v>
      </c>
      <c r="I9" s="246"/>
      <c r="J9" s="244"/>
      <c r="K9" s="244"/>
      <c r="L9" s="244"/>
      <c r="M9" s="244"/>
      <c r="N9" s="244"/>
      <c r="O9" s="244"/>
      <c r="P9" s="244"/>
      <c r="Q9" s="244"/>
      <c r="R9" s="247"/>
    </row>
    <row r="10" spans="1:19" s="30" customFormat="1" ht="18" customHeight="1" x14ac:dyDescent="0.3">
      <c r="A10" s="233">
        <v>2</v>
      </c>
      <c r="B10" s="248"/>
      <c r="C10" s="249"/>
      <c r="D10" s="250" t="s">
        <v>229</v>
      </c>
      <c r="E10" s="251"/>
      <c r="F10" s="252"/>
      <c r="G10" s="252"/>
      <c r="H10" s="253"/>
      <c r="I10" s="254"/>
      <c r="J10" s="252"/>
      <c r="K10" s="252"/>
      <c r="L10" s="252"/>
      <c r="M10" s="252"/>
      <c r="N10" s="252"/>
      <c r="O10" s="252"/>
      <c r="P10" s="252"/>
      <c r="Q10" s="252"/>
      <c r="R10" s="255"/>
    </row>
    <row r="11" spans="1:19" s="265" customFormat="1" ht="18" customHeight="1" x14ac:dyDescent="0.3">
      <c r="A11" s="233">
        <v>3</v>
      </c>
      <c r="B11" s="256"/>
      <c r="C11" s="257"/>
      <c r="D11" s="258"/>
      <c r="E11" s="259" t="s">
        <v>230</v>
      </c>
      <c r="F11" s="260"/>
      <c r="G11" s="260"/>
      <c r="H11" s="261"/>
      <c r="I11" s="262">
        <f>SUM(J11:Q11)</f>
        <v>373089</v>
      </c>
      <c r="J11" s="260">
        <v>8334</v>
      </c>
      <c r="K11" s="260"/>
      <c r="L11" s="260"/>
      <c r="M11" s="260"/>
      <c r="N11" s="260"/>
      <c r="O11" s="260"/>
      <c r="P11" s="260"/>
      <c r="Q11" s="260">
        <v>364755</v>
      </c>
      <c r="R11" s="263">
        <v>274305</v>
      </c>
      <c r="S11" s="264"/>
    </row>
    <row r="12" spans="1:19" s="265" customFormat="1" ht="18" customHeight="1" x14ac:dyDescent="0.3">
      <c r="A12" s="233">
        <v>4</v>
      </c>
      <c r="B12" s="256"/>
      <c r="C12" s="257"/>
      <c r="D12" s="258"/>
      <c r="E12" s="266" t="s">
        <v>231</v>
      </c>
      <c r="F12" s="260"/>
      <c r="G12" s="260"/>
      <c r="H12" s="261"/>
      <c r="I12" s="267">
        <f>SUM(J12:Q12)</f>
        <v>407007</v>
      </c>
      <c r="J12" s="268">
        <v>17300</v>
      </c>
      <c r="K12" s="268"/>
      <c r="L12" s="268"/>
      <c r="M12" s="268"/>
      <c r="N12" s="268"/>
      <c r="O12" s="268"/>
      <c r="P12" s="268">
        <v>12424</v>
      </c>
      <c r="Q12" s="268">
        <v>377283</v>
      </c>
      <c r="R12" s="269">
        <v>274745</v>
      </c>
      <c r="S12" s="264"/>
    </row>
    <row r="13" spans="1:19" s="265" customFormat="1" ht="18" customHeight="1" x14ac:dyDescent="0.3">
      <c r="A13" s="233">
        <v>5</v>
      </c>
      <c r="B13" s="256"/>
      <c r="C13" s="257"/>
      <c r="D13" s="258"/>
      <c r="E13" s="270" t="s">
        <v>232</v>
      </c>
      <c r="F13" s="260"/>
      <c r="G13" s="260"/>
      <c r="H13" s="261"/>
      <c r="I13" s="271">
        <f>SUM(J13:Q13)</f>
        <v>0</v>
      </c>
      <c r="J13" s="272"/>
      <c r="K13" s="272"/>
      <c r="L13" s="272"/>
      <c r="M13" s="272"/>
      <c r="N13" s="272"/>
      <c r="O13" s="272"/>
      <c r="P13" s="272"/>
      <c r="Q13" s="272"/>
      <c r="R13" s="255"/>
      <c r="S13" s="264"/>
    </row>
    <row r="14" spans="1:19" s="265" customFormat="1" ht="18" customHeight="1" x14ac:dyDescent="0.3">
      <c r="A14" s="233">
        <v>6</v>
      </c>
      <c r="B14" s="256"/>
      <c r="C14" s="257"/>
      <c r="D14" s="258"/>
      <c r="E14" s="266" t="s">
        <v>233</v>
      </c>
      <c r="F14" s="260"/>
      <c r="G14" s="260"/>
      <c r="H14" s="261"/>
      <c r="I14" s="267">
        <f>SUM(J14:Q14)</f>
        <v>407007</v>
      </c>
      <c r="J14" s="268">
        <f>SUM(J12:J13)</f>
        <v>17300</v>
      </c>
      <c r="K14" s="268"/>
      <c r="L14" s="268"/>
      <c r="M14" s="268"/>
      <c r="N14" s="268"/>
      <c r="O14" s="268"/>
      <c r="P14" s="268">
        <f>SUM(P12:P13)</f>
        <v>12424</v>
      </c>
      <c r="Q14" s="268">
        <f>SUM(Q12:Q13)</f>
        <v>377283</v>
      </c>
      <c r="R14" s="273">
        <f>SUM(R12:R13)</f>
        <v>274745</v>
      </c>
      <c r="S14" s="264"/>
    </row>
    <row r="15" spans="1:19" s="275" customFormat="1" ht="22.5" customHeight="1" x14ac:dyDescent="0.3">
      <c r="A15" s="233">
        <v>7</v>
      </c>
      <c r="B15" s="248">
        <v>2</v>
      </c>
      <c r="C15" s="249"/>
      <c r="D15" s="274" t="s">
        <v>234</v>
      </c>
      <c r="E15" s="274"/>
      <c r="F15" s="252">
        <v>419339</v>
      </c>
      <c r="G15" s="252">
        <v>500303</v>
      </c>
      <c r="H15" s="253">
        <v>525927</v>
      </c>
      <c r="I15" s="254"/>
      <c r="J15" s="252"/>
      <c r="K15" s="252"/>
      <c r="L15" s="252"/>
      <c r="M15" s="252"/>
      <c r="N15" s="252"/>
      <c r="O15" s="252"/>
      <c r="P15" s="252"/>
      <c r="Q15" s="252"/>
      <c r="R15" s="255"/>
    </row>
    <row r="16" spans="1:19" s="275" customFormat="1" ht="18" customHeight="1" x14ac:dyDescent="0.3">
      <c r="A16" s="233">
        <v>8</v>
      </c>
      <c r="B16" s="248"/>
      <c r="C16" s="249"/>
      <c r="D16" s="251" t="s">
        <v>235</v>
      </c>
      <c r="E16" s="251"/>
      <c r="F16" s="252"/>
      <c r="G16" s="252"/>
      <c r="H16" s="253"/>
      <c r="I16" s="254"/>
      <c r="J16" s="252"/>
      <c r="K16" s="252"/>
      <c r="L16" s="252"/>
      <c r="M16" s="252"/>
      <c r="N16" s="252"/>
      <c r="O16" s="252"/>
      <c r="P16" s="252"/>
      <c r="Q16" s="252"/>
      <c r="R16" s="255"/>
    </row>
    <row r="17" spans="1:19" s="276" customFormat="1" ht="18" customHeight="1" x14ac:dyDescent="0.3">
      <c r="A17" s="233">
        <v>9</v>
      </c>
      <c r="B17" s="256"/>
      <c r="C17" s="257"/>
      <c r="D17" s="258"/>
      <c r="E17" s="259" t="s">
        <v>230</v>
      </c>
      <c r="F17" s="260"/>
      <c r="G17" s="260"/>
      <c r="H17" s="261"/>
      <c r="I17" s="262">
        <f>SUM(J17:Q17)</f>
        <v>612920</v>
      </c>
      <c r="J17" s="260">
        <v>15944</v>
      </c>
      <c r="K17" s="260"/>
      <c r="L17" s="260"/>
      <c r="M17" s="260"/>
      <c r="N17" s="260"/>
      <c r="O17" s="260"/>
      <c r="P17" s="260">
        <v>1900</v>
      </c>
      <c r="Q17" s="260">
        <v>595076</v>
      </c>
      <c r="R17" s="263">
        <v>416995</v>
      </c>
    </row>
    <row r="18" spans="1:19" s="276" customFormat="1" ht="18" customHeight="1" x14ac:dyDescent="0.3">
      <c r="A18" s="233">
        <v>10</v>
      </c>
      <c r="B18" s="256"/>
      <c r="C18" s="257"/>
      <c r="D18" s="258"/>
      <c r="E18" s="266" t="s">
        <v>231</v>
      </c>
      <c r="F18" s="260"/>
      <c r="G18" s="260"/>
      <c r="H18" s="261"/>
      <c r="I18" s="267">
        <f>SUM(J18:Q18)</f>
        <v>648477</v>
      </c>
      <c r="J18" s="268">
        <v>15944</v>
      </c>
      <c r="K18" s="268"/>
      <c r="L18" s="268"/>
      <c r="M18" s="268"/>
      <c r="N18" s="268"/>
      <c r="O18" s="268"/>
      <c r="P18" s="268">
        <v>18038</v>
      </c>
      <c r="Q18" s="268">
        <v>614495</v>
      </c>
      <c r="R18" s="269">
        <v>416612</v>
      </c>
    </row>
    <row r="19" spans="1:19" s="276" customFormat="1" ht="18" customHeight="1" x14ac:dyDescent="0.3">
      <c r="A19" s="233">
        <v>11</v>
      </c>
      <c r="B19" s="256"/>
      <c r="C19" s="257"/>
      <c r="D19" s="258"/>
      <c r="E19" s="270" t="s">
        <v>232</v>
      </c>
      <c r="F19" s="260"/>
      <c r="G19" s="260"/>
      <c r="H19" s="261"/>
      <c r="I19" s="271">
        <f>SUM(J19:Q19)</f>
        <v>0</v>
      </c>
      <c r="J19" s="260"/>
      <c r="K19" s="260"/>
      <c r="L19" s="260"/>
      <c r="M19" s="260"/>
      <c r="N19" s="260"/>
      <c r="O19" s="260"/>
      <c r="P19" s="272"/>
      <c r="Q19" s="272"/>
      <c r="R19" s="255"/>
    </row>
    <row r="20" spans="1:19" s="276" customFormat="1" ht="18" customHeight="1" x14ac:dyDescent="0.3">
      <c r="A20" s="233">
        <v>12</v>
      </c>
      <c r="B20" s="256"/>
      <c r="C20" s="257"/>
      <c r="D20" s="258"/>
      <c r="E20" s="266" t="s">
        <v>233</v>
      </c>
      <c r="F20" s="260"/>
      <c r="G20" s="260"/>
      <c r="H20" s="261"/>
      <c r="I20" s="267">
        <f>SUM(J20:Q20)</f>
        <v>648477</v>
      </c>
      <c r="J20" s="268">
        <f>SUM(J18:J19)</f>
        <v>15944</v>
      </c>
      <c r="K20" s="268"/>
      <c r="L20" s="268"/>
      <c r="M20" s="268"/>
      <c r="N20" s="268"/>
      <c r="O20" s="268"/>
      <c r="P20" s="268">
        <f>SUM(P18:P19)</f>
        <v>18038</v>
      </c>
      <c r="Q20" s="268">
        <f>SUM(Q18:Q19)</f>
        <v>614495</v>
      </c>
      <c r="R20" s="273">
        <f>SUM(R18:R19)</f>
        <v>416612</v>
      </c>
    </row>
    <row r="21" spans="1:19" s="277" customFormat="1" ht="22.5" customHeight="1" x14ac:dyDescent="0.3">
      <c r="A21" s="233">
        <v>13</v>
      </c>
      <c r="B21" s="248">
        <v>3</v>
      </c>
      <c r="C21" s="249"/>
      <c r="D21" s="274" t="s">
        <v>44</v>
      </c>
      <c r="E21" s="274"/>
      <c r="F21" s="252">
        <v>497621</v>
      </c>
      <c r="G21" s="252">
        <v>527697</v>
      </c>
      <c r="H21" s="253">
        <v>557357</v>
      </c>
      <c r="I21" s="254"/>
      <c r="J21" s="252"/>
      <c r="K21" s="252"/>
      <c r="L21" s="252"/>
      <c r="M21" s="252"/>
      <c r="N21" s="252"/>
      <c r="O21" s="252"/>
      <c r="P21" s="252"/>
      <c r="Q21" s="252"/>
      <c r="R21" s="255"/>
    </row>
    <row r="22" spans="1:19" s="30" customFormat="1" ht="18" customHeight="1" x14ac:dyDescent="0.3">
      <c r="A22" s="233">
        <v>14</v>
      </c>
      <c r="B22" s="278"/>
      <c r="C22" s="249"/>
      <c r="D22" s="279" t="s">
        <v>236</v>
      </c>
      <c r="E22" s="279"/>
      <c r="F22" s="280"/>
      <c r="G22" s="280"/>
      <c r="H22" s="281"/>
      <c r="I22" s="282"/>
      <c r="J22" s="280"/>
      <c r="K22" s="280"/>
      <c r="L22" s="280"/>
      <c r="M22" s="280"/>
      <c r="N22" s="280"/>
      <c r="O22" s="280"/>
      <c r="P22" s="280"/>
      <c r="Q22" s="280"/>
      <c r="R22" s="283"/>
    </row>
    <row r="23" spans="1:19" s="265" customFormat="1" ht="18" customHeight="1" x14ac:dyDescent="0.3">
      <c r="A23" s="233">
        <v>15</v>
      </c>
      <c r="B23" s="256"/>
      <c r="C23" s="257"/>
      <c r="D23" s="258"/>
      <c r="E23" s="259" t="s">
        <v>230</v>
      </c>
      <c r="F23" s="260"/>
      <c r="G23" s="260"/>
      <c r="H23" s="261"/>
      <c r="I23" s="262">
        <f>SUM(J23:Q23)</f>
        <v>616909</v>
      </c>
      <c r="J23" s="260">
        <v>11445</v>
      </c>
      <c r="K23" s="260"/>
      <c r="L23" s="260"/>
      <c r="M23" s="260"/>
      <c r="N23" s="260"/>
      <c r="O23" s="260"/>
      <c r="P23" s="260">
        <v>24600</v>
      </c>
      <c r="Q23" s="260">
        <v>580864</v>
      </c>
      <c r="R23" s="263">
        <v>427571</v>
      </c>
      <c r="S23" s="264"/>
    </row>
    <row r="24" spans="1:19" s="265" customFormat="1" ht="18" customHeight="1" x14ac:dyDescent="0.3">
      <c r="A24" s="233">
        <v>16</v>
      </c>
      <c r="B24" s="256"/>
      <c r="C24" s="257"/>
      <c r="D24" s="258"/>
      <c r="E24" s="266" t="s">
        <v>231</v>
      </c>
      <c r="F24" s="260"/>
      <c r="G24" s="260"/>
      <c r="H24" s="261"/>
      <c r="I24" s="267">
        <f>SUM(J24:Q24)</f>
        <v>657897</v>
      </c>
      <c r="J24" s="268">
        <v>11445</v>
      </c>
      <c r="K24" s="268"/>
      <c r="L24" s="268"/>
      <c r="M24" s="268"/>
      <c r="N24" s="268"/>
      <c r="O24" s="268"/>
      <c r="P24" s="268">
        <v>49843</v>
      </c>
      <c r="Q24" s="268">
        <v>596609</v>
      </c>
      <c r="R24" s="269">
        <v>427222</v>
      </c>
      <c r="S24" s="264"/>
    </row>
    <row r="25" spans="1:19" s="265" customFormat="1" ht="18" customHeight="1" x14ac:dyDescent="0.3">
      <c r="A25" s="233">
        <v>17</v>
      </c>
      <c r="B25" s="256"/>
      <c r="C25" s="257"/>
      <c r="D25" s="258"/>
      <c r="E25" s="284" t="s">
        <v>237</v>
      </c>
      <c r="F25" s="260"/>
      <c r="G25" s="260"/>
      <c r="H25" s="261"/>
      <c r="I25" s="271">
        <f>SUM(J25:Q25)</f>
        <v>-4000</v>
      </c>
      <c r="J25" s="260"/>
      <c r="K25" s="260"/>
      <c r="L25" s="260"/>
      <c r="M25" s="260"/>
      <c r="N25" s="260"/>
      <c r="O25" s="260"/>
      <c r="P25" s="272"/>
      <c r="Q25" s="272">
        <v>-4000</v>
      </c>
      <c r="R25" s="255"/>
      <c r="S25" s="264"/>
    </row>
    <row r="26" spans="1:19" s="265" customFormat="1" ht="18" customHeight="1" x14ac:dyDescent="0.3">
      <c r="A26" s="233">
        <v>18</v>
      </c>
      <c r="B26" s="256"/>
      <c r="C26" s="257"/>
      <c r="D26" s="258"/>
      <c r="E26" s="266" t="s">
        <v>233</v>
      </c>
      <c r="F26" s="260"/>
      <c r="G26" s="260"/>
      <c r="H26" s="261"/>
      <c r="I26" s="267">
        <f>SUM(J26:Q26)</f>
        <v>653897</v>
      </c>
      <c r="J26" s="268">
        <f>SUM(J24:J25)</f>
        <v>11445</v>
      </c>
      <c r="K26" s="268"/>
      <c r="L26" s="268"/>
      <c r="M26" s="268"/>
      <c r="N26" s="268"/>
      <c r="O26" s="268"/>
      <c r="P26" s="268">
        <f>SUM(P24:P25)</f>
        <v>49843</v>
      </c>
      <c r="Q26" s="268">
        <f>SUM(Q24:Q25)</f>
        <v>592609</v>
      </c>
      <c r="R26" s="273">
        <f>SUM(R24:R25)</f>
        <v>427222</v>
      </c>
      <c r="S26" s="264"/>
    </row>
    <row r="27" spans="1:19" s="275" customFormat="1" ht="22.5" customHeight="1" x14ac:dyDescent="0.3">
      <c r="A27" s="233">
        <v>19</v>
      </c>
      <c r="B27" s="248">
        <v>4</v>
      </c>
      <c r="C27" s="249"/>
      <c r="D27" s="285" t="s">
        <v>238</v>
      </c>
      <c r="E27" s="285"/>
      <c r="F27" s="252">
        <v>409039</v>
      </c>
      <c r="G27" s="252">
        <v>441720</v>
      </c>
      <c r="H27" s="253">
        <v>485238</v>
      </c>
      <c r="I27" s="254"/>
      <c r="J27" s="252"/>
      <c r="K27" s="252"/>
      <c r="L27" s="252"/>
      <c r="M27" s="252"/>
      <c r="N27" s="252"/>
      <c r="O27" s="252"/>
      <c r="P27" s="252"/>
      <c r="Q27" s="252"/>
      <c r="R27" s="255"/>
    </row>
    <row r="28" spans="1:19" s="277" customFormat="1" ht="18" customHeight="1" x14ac:dyDescent="0.3">
      <c r="A28" s="233">
        <v>20</v>
      </c>
      <c r="B28" s="278"/>
      <c r="C28" s="249"/>
      <c r="D28" s="279" t="s">
        <v>239</v>
      </c>
      <c r="E28" s="279"/>
      <c r="F28" s="280"/>
      <c r="G28" s="280"/>
      <c r="H28" s="281"/>
      <c r="I28" s="282"/>
      <c r="J28" s="280"/>
      <c r="K28" s="280"/>
      <c r="L28" s="280"/>
      <c r="M28" s="280"/>
      <c r="N28" s="280"/>
      <c r="O28" s="280"/>
      <c r="P28" s="280"/>
      <c r="Q28" s="280"/>
      <c r="R28" s="283"/>
    </row>
    <row r="29" spans="1:19" s="286" customFormat="1" ht="18" customHeight="1" x14ac:dyDescent="0.3">
      <c r="A29" s="233">
        <v>21</v>
      </c>
      <c r="B29" s="256"/>
      <c r="C29" s="257"/>
      <c r="D29" s="258"/>
      <c r="E29" s="259" t="s">
        <v>230</v>
      </c>
      <c r="F29" s="260"/>
      <c r="G29" s="260"/>
      <c r="H29" s="261"/>
      <c r="I29" s="262">
        <f>SUM(J29:Q29)</f>
        <v>539457</v>
      </c>
      <c r="J29" s="260">
        <v>19526</v>
      </c>
      <c r="K29" s="260"/>
      <c r="L29" s="260"/>
      <c r="M29" s="260"/>
      <c r="N29" s="260"/>
      <c r="O29" s="260"/>
      <c r="P29" s="260">
        <v>6500</v>
      </c>
      <c r="Q29" s="260">
        <v>513431</v>
      </c>
      <c r="R29" s="263">
        <v>445576</v>
      </c>
    </row>
    <row r="30" spans="1:19" s="286" customFormat="1" ht="18" customHeight="1" x14ac:dyDescent="0.3">
      <c r="A30" s="233">
        <v>22</v>
      </c>
      <c r="B30" s="256"/>
      <c r="C30" s="257"/>
      <c r="D30" s="258"/>
      <c r="E30" s="266" t="s">
        <v>231</v>
      </c>
      <c r="F30" s="260"/>
      <c r="G30" s="260"/>
      <c r="H30" s="261"/>
      <c r="I30" s="267">
        <f>SUM(J30:Q30)</f>
        <v>578475</v>
      </c>
      <c r="J30" s="268">
        <v>19526</v>
      </c>
      <c r="K30" s="268"/>
      <c r="L30" s="268"/>
      <c r="M30" s="268"/>
      <c r="N30" s="268"/>
      <c r="O30" s="268"/>
      <c r="P30" s="268">
        <v>27854</v>
      </c>
      <c r="Q30" s="268">
        <v>531095</v>
      </c>
      <c r="R30" s="269">
        <v>445725</v>
      </c>
    </row>
    <row r="31" spans="1:19" s="286" customFormat="1" ht="18" customHeight="1" x14ac:dyDescent="0.3">
      <c r="A31" s="233">
        <v>23</v>
      </c>
      <c r="B31" s="256"/>
      <c r="C31" s="257"/>
      <c r="D31" s="258"/>
      <c r="E31" s="270" t="s">
        <v>240</v>
      </c>
      <c r="F31" s="260"/>
      <c r="G31" s="260"/>
      <c r="H31" s="261"/>
      <c r="I31" s="271">
        <f>SUM(J31:Q31)</f>
        <v>200</v>
      </c>
      <c r="J31" s="260"/>
      <c r="K31" s="272">
        <v>200</v>
      </c>
      <c r="L31" s="260"/>
      <c r="M31" s="260"/>
      <c r="N31" s="260"/>
      <c r="O31" s="260"/>
      <c r="P31" s="272"/>
      <c r="Q31" s="272"/>
      <c r="R31" s="255"/>
    </row>
    <row r="32" spans="1:19" s="286" customFormat="1" ht="18" customHeight="1" x14ac:dyDescent="0.3">
      <c r="A32" s="233">
        <v>24</v>
      </c>
      <c r="B32" s="256"/>
      <c r="C32" s="257"/>
      <c r="D32" s="258"/>
      <c r="E32" s="266" t="s">
        <v>233</v>
      </c>
      <c r="F32" s="260"/>
      <c r="G32" s="260"/>
      <c r="H32" s="261"/>
      <c r="I32" s="267">
        <f>SUM(J32:Q32)</f>
        <v>578675</v>
      </c>
      <c r="J32" s="268">
        <f>SUM(J30:J31)</f>
        <v>19526</v>
      </c>
      <c r="K32" s="268">
        <f>SUM(K30:K31)</f>
        <v>200</v>
      </c>
      <c r="L32" s="268"/>
      <c r="M32" s="268"/>
      <c r="N32" s="268"/>
      <c r="O32" s="268"/>
      <c r="P32" s="268">
        <f>SUM(P30:P31)</f>
        <v>27854</v>
      </c>
      <c r="Q32" s="268">
        <f>SUM(Q30:Q31)</f>
        <v>531095</v>
      </c>
      <c r="R32" s="269">
        <f>SUM(R30:R31)</f>
        <v>445725</v>
      </c>
    </row>
    <row r="33" spans="1:19" s="287" customFormat="1" ht="22.5" customHeight="1" x14ac:dyDescent="0.3">
      <c r="A33" s="233">
        <v>25</v>
      </c>
      <c r="B33" s="248">
        <v>5</v>
      </c>
      <c r="C33" s="249"/>
      <c r="D33" s="285" t="s">
        <v>241</v>
      </c>
      <c r="E33" s="285"/>
      <c r="F33" s="252">
        <v>429889</v>
      </c>
      <c r="G33" s="252">
        <v>444365</v>
      </c>
      <c r="H33" s="253">
        <v>480053</v>
      </c>
      <c r="I33" s="254"/>
      <c r="J33" s="252"/>
      <c r="K33" s="252"/>
      <c r="L33" s="252"/>
      <c r="M33" s="252"/>
      <c r="N33" s="252"/>
      <c r="O33" s="252"/>
      <c r="P33" s="252"/>
      <c r="Q33" s="252"/>
      <c r="R33" s="255"/>
    </row>
    <row r="34" spans="1:19" s="275" customFormat="1" ht="18" customHeight="1" x14ac:dyDescent="0.3">
      <c r="A34" s="233">
        <v>26</v>
      </c>
      <c r="B34" s="278"/>
      <c r="C34" s="249"/>
      <c r="D34" s="279" t="s">
        <v>242</v>
      </c>
      <c r="E34" s="279"/>
      <c r="F34" s="280"/>
      <c r="G34" s="280"/>
      <c r="H34" s="281"/>
      <c r="I34" s="282"/>
      <c r="J34" s="280"/>
      <c r="K34" s="280"/>
      <c r="L34" s="280"/>
      <c r="M34" s="280"/>
      <c r="N34" s="280"/>
      <c r="O34" s="280"/>
      <c r="P34" s="280"/>
      <c r="Q34" s="280"/>
      <c r="R34" s="283"/>
    </row>
    <row r="35" spans="1:19" s="276" customFormat="1" ht="18" customHeight="1" x14ac:dyDescent="0.3">
      <c r="A35" s="233">
        <v>27</v>
      </c>
      <c r="B35" s="256"/>
      <c r="C35" s="257"/>
      <c r="D35" s="258"/>
      <c r="E35" s="259" t="s">
        <v>230</v>
      </c>
      <c r="F35" s="260"/>
      <c r="G35" s="260"/>
      <c r="H35" s="261"/>
      <c r="I35" s="262">
        <f>SUM(J35:Q35)</f>
        <v>579932</v>
      </c>
      <c r="J35" s="260">
        <v>20828</v>
      </c>
      <c r="K35" s="260"/>
      <c r="L35" s="260"/>
      <c r="M35" s="260"/>
      <c r="N35" s="260"/>
      <c r="O35" s="260"/>
      <c r="P35" s="260"/>
      <c r="Q35" s="260">
        <v>559104</v>
      </c>
      <c r="R35" s="263">
        <v>440360</v>
      </c>
    </row>
    <row r="36" spans="1:19" s="276" customFormat="1" ht="18" customHeight="1" x14ac:dyDescent="0.3">
      <c r="A36" s="233">
        <v>28</v>
      </c>
      <c r="B36" s="256"/>
      <c r="C36" s="257"/>
      <c r="D36" s="258"/>
      <c r="E36" s="266" t="s">
        <v>231</v>
      </c>
      <c r="F36" s="260"/>
      <c r="G36" s="260"/>
      <c r="H36" s="261"/>
      <c r="I36" s="267">
        <f>SUM(J36:Q36)</f>
        <v>619399</v>
      </c>
      <c r="J36" s="268">
        <v>20828</v>
      </c>
      <c r="K36" s="268"/>
      <c r="L36" s="268"/>
      <c r="M36" s="268"/>
      <c r="N36" s="268"/>
      <c r="O36" s="268"/>
      <c r="P36" s="268">
        <v>27401</v>
      </c>
      <c r="Q36" s="268">
        <v>571170</v>
      </c>
      <c r="R36" s="269">
        <v>440528</v>
      </c>
    </row>
    <row r="37" spans="1:19" s="276" customFormat="1" ht="18" customHeight="1" x14ac:dyDescent="0.3">
      <c r="A37" s="233">
        <v>29</v>
      </c>
      <c r="B37" s="256"/>
      <c r="C37" s="257"/>
      <c r="D37" s="258"/>
      <c r="E37" s="284" t="s">
        <v>237</v>
      </c>
      <c r="F37" s="260"/>
      <c r="G37" s="260"/>
      <c r="H37" s="261"/>
      <c r="I37" s="271">
        <f>SUM(J37:Q37)</f>
        <v>-1200</v>
      </c>
      <c r="J37" s="260"/>
      <c r="K37" s="260"/>
      <c r="L37" s="260"/>
      <c r="M37" s="260"/>
      <c r="N37" s="260"/>
      <c r="O37" s="260"/>
      <c r="P37" s="272"/>
      <c r="Q37" s="272">
        <v>-1200</v>
      </c>
      <c r="R37" s="255"/>
    </row>
    <row r="38" spans="1:19" s="276" customFormat="1" ht="18" customHeight="1" x14ac:dyDescent="0.3">
      <c r="A38" s="233">
        <v>30</v>
      </c>
      <c r="B38" s="256"/>
      <c r="C38" s="257"/>
      <c r="D38" s="258"/>
      <c r="E38" s="266" t="s">
        <v>233</v>
      </c>
      <c r="F38" s="260"/>
      <c r="G38" s="260"/>
      <c r="H38" s="261"/>
      <c r="I38" s="267">
        <f>SUM(J38:Q38)</f>
        <v>618199</v>
      </c>
      <c r="J38" s="268">
        <f>SUM(J36:J37)</f>
        <v>20828</v>
      </c>
      <c r="K38" s="268"/>
      <c r="L38" s="268"/>
      <c r="M38" s="268"/>
      <c r="N38" s="268"/>
      <c r="O38" s="268"/>
      <c r="P38" s="268">
        <f>SUM(P36:P37)</f>
        <v>27401</v>
      </c>
      <c r="Q38" s="268">
        <f>SUM(Q36:Q37)</f>
        <v>569970</v>
      </c>
      <c r="R38" s="269">
        <f>SUM(R36:R37)</f>
        <v>440528</v>
      </c>
    </row>
    <row r="39" spans="1:19" s="287" customFormat="1" ht="22.5" customHeight="1" x14ac:dyDescent="0.3">
      <c r="A39" s="233">
        <v>31</v>
      </c>
      <c r="B39" s="248">
        <v>6</v>
      </c>
      <c r="C39" s="249"/>
      <c r="D39" s="285" t="s">
        <v>45</v>
      </c>
      <c r="E39" s="285"/>
      <c r="F39" s="252">
        <v>248691</v>
      </c>
      <c r="G39" s="252">
        <v>270159</v>
      </c>
      <c r="H39" s="253">
        <v>298808</v>
      </c>
      <c r="I39" s="254"/>
      <c r="J39" s="252"/>
      <c r="K39" s="252"/>
      <c r="L39" s="252"/>
      <c r="M39" s="252"/>
      <c r="N39" s="252"/>
      <c r="O39" s="252"/>
      <c r="P39" s="252"/>
      <c r="Q39" s="252"/>
      <c r="R39" s="255"/>
    </row>
    <row r="40" spans="1:19" s="287" customFormat="1" ht="18" customHeight="1" x14ac:dyDescent="0.3">
      <c r="A40" s="233">
        <v>32</v>
      </c>
      <c r="B40" s="278"/>
      <c r="C40" s="249"/>
      <c r="D40" s="279" t="s">
        <v>243</v>
      </c>
      <c r="E40" s="279"/>
      <c r="F40" s="280"/>
      <c r="G40" s="280"/>
      <c r="H40" s="281"/>
      <c r="I40" s="282"/>
      <c r="J40" s="280"/>
      <c r="K40" s="280"/>
      <c r="L40" s="280"/>
      <c r="M40" s="280"/>
      <c r="N40" s="280"/>
      <c r="O40" s="280"/>
      <c r="P40" s="280"/>
      <c r="Q40" s="280"/>
      <c r="R40" s="283"/>
    </row>
    <row r="41" spans="1:19" s="288" customFormat="1" ht="18" customHeight="1" x14ac:dyDescent="0.3">
      <c r="A41" s="233">
        <v>33</v>
      </c>
      <c r="B41" s="256"/>
      <c r="C41" s="257"/>
      <c r="D41" s="258"/>
      <c r="E41" s="259" t="s">
        <v>230</v>
      </c>
      <c r="F41" s="260"/>
      <c r="G41" s="260"/>
      <c r="H41" s="261"/>
      <c r="I41" s="262">
        <f>SUM(J41:Q41)</f>
        <v>339398</v>
      </c>
      <c r="J41" s="260">
        <v>11283</v>
      </c>
      <c r="K41" s="260"/>
      <c r="L41" s="260"/>
      <c r="M41" s="260"/>
      <c r="N41" s="260"/>
      <c r="O41" s="260"/>
      <c r="P41" s="260">
        <v>17000</v>
      </c>
      <c r="Q41" s="260">
        <v>311115</v>
      </c>
      <c r="R41" s="263">
        <v>241132</v>
      </c>
    </row>
    <row r="42" spans="1:19" s="288" customFormat="1" ht="18" customHeight="1" x14ac:dyDescent="0.3">
      <c r="A42" s="233">
        <v>34</v>
      </c>
      <c r="B42" s="256"/>
      <c r="C42" s="289"/>
      <c r="D42" s="257"/>
      <c r="E42" s="266" t="s">
        <v>231</v>
      </c>
      <c r="F42" s="290"/>
      <c r="G42" s="290"/>
      <c r="H42" s="291"/>
      <c r="I42" s="267">
        <f>SUM(J42:Q42)</f>
        <v>366113</v>
      </c>
      <c r="J42" s="292">
        <v>11283</v>
      </c>
      <c r="K42" s="292"/>
      <c r="L42" s="292"/>
      <c r="M42" s="292"/>
      <c r="N42" s="292"/>
      <c r="O42" s="292"/>
      <c r="P42" s="292">
        <v>29092</v>
      </c>
      <c r="Q42" s="292">
        <v>325738</v>
      </c>
      <c r="R42" s="293">
        <v>241851</v>
      </c>
    </row>
    <row r="43" spans="1:19" s="288" customFormat="1" ht="18" customHeight="1" x14ac:dyDescent="0.3">
      <c r="A43" s="233">
        <v>35</v>
      </c>
      <c r="B43" s="256"/>
      <c r="C43" s="289"/>
      <c r="D43" s="294"/>
      <c r="E43" s="270" t="s">
        <v>232</v>
      </c>
      <c r="F43" s="290"/>
      <c r="G43" s="290"/>
      <c r="H43" s="291"/>
      <c r="I43" s="271">
        <f>SUM(J43:Q43)</f>
        <v>0</v>
      </c>
      <c r="J43" s="290"/>
      <c r="K43" s="290"/>
      <c r="L43" s="290"/>
      <c r="M43" s="290"/>
      <c r="N43" s="290"/>
      <c r="O43" s="290"/>
      <c r="P43" s="295"/>
      <c r="Q43" s="295"/>
      <c r="R43" s="247"/>
    </row>
    <row r="44" spans="1:19" s="288" customFormat="1" ht="18" customHeight="1" x14ac:dyDescent="0.3">
      <c r="A44" s="233">
        <v>36</v>
      </c>
      <c r="B44" s="256"/>
      <c r="C44" s="289"/>
      <c r="D44" s="296"/>
      <c r="E44" s="266" t="s">
        <v>233</v>
      </c>
      <c r="F44" s="290"/>
      <c r="G44" s="290"/>
      <c r="H44" s="291"/>
      <c r="I44" s="267">
        <f>SUM(J44:Q44)</f>
        <v>366113</v>
      </c>
      <c r="J44" s="292">
        <f>SUM(J42:J43)</f>
        <v>11283</v>
      </c>
      <c r="K44" s="292"/>
      <c r="L44" s="292"/>
      <c r="M44" s="292"/>
      <c r="N44" s="292"/>
      <c r="O44" s="292"/>
      <c r="P44" s="292">
        <f>SUM(P42:P43)</f>
        <v>29092</v>
      </c>
      <c r="Q44" s="292">
        <f>SUM(Q42:Q43)</f>
        <v>325738</v>
      </c>
      <c r="R44" s="293">
        <f>SUM(R42:R43)</f>
        <v>241851</v>
      </c>
    </row>
    <row r="45" spans="1:19" s="236" customFormat="1" ht="22.5" customHeight="1" x14ac:dyDescent="0.3">
      <c r="A45" s="233">
        <v>37</v>
      </c>
      <c r="B45" s="278"/>
      <c r="C45" s="1930" t="s">
        <v>244</v>
      </c>
      <c r="D45" s="1930"/>
      <c r="E45" s="1930"/>
      <c r="F45" s="297">
        <f>SUM(F9:F41)</f>
        <v>2263283</v>
      </c>
      <c r="G45" s="297">
        <f>SUM(G9:G41)</f>
        <v>2486834</v>
      </c>
      <c r="H45" s="298">
        <f>SUM(H9:H41)</f>
        <v>2669723</v>
      </c>
      <c r="I45" s="299"/>
      <c r="J45" s="297"/>
      <c r="K45" s="297"/>
      <c r="L45" s="297"/>
      <c r="M45" s="297"/>
      <c r="N45" s="297"/>
      <c r="O45" s="297"/>
      <c r="P45" s="297"/>
      <c r="Q45" s="297"/>
      <c r="R45" s="300"/>
    </row>
    <row r="46" spans="1:19" s="265" customFormat="1" ht="18" customHeight="1" x14ac:dyDescent="0.3">
      <c r="A46" s="233">
        <v>38</v>
      </c>
      <c r="B46" s="301"/>
      <c r="C46" s="302"/>
      <c r="D46" s="303"/>
      <c r="E46" s="304" t="s">
        <v>230</v>
      </c>
      <c r="F46" s="305"/>
      <c r="G46" s="305"/>
      <c r="H46" s="306"/>
      <c r="I46" s="307">
        <f t="shared" ref="I46:R46" si="0">SUM(I11,I17,I23,I29,I35,I41,)</f>
        <v>3061705</v>
      </c>
      <c r="J46" s="305">
        <f t="shared" si="0"/>
        <v>87360</v>
      </c>
      <c r="K46" s="305">
        <f t="shared" si="0"/>
        <v>0</v>
      </c>
      <c r="L46" s="305">
        <f t="shared" si="0"/>
        <v>0</v>
      </c>
      <c r="M46" s="305">
        <f t="shared" si="0"/>
        <v>0</v>
      </c>
      <c r="N46" s="305">
        <f t="shared" si="0"/>
        <v>0</v>
      </c>
      <c r="O46" s="305">
        <f t="shared" si="0"/>
        <v>0</v>
      </c>
      <c r="P46" s="305">
        <f t="shared" si="0"/>
        <v>50000</v>
      </c>
      <c r="Q46" s="305">
        <f t="shared" si="0"/>
        <v>2924345</v>
      </c>
      <c r="R46" s="308">
        <f t="shared" si="0"/>
        <v>2245939</v>
      </c>
      <c r="S46" s="264"/>
    </row>
    <row r="47" spans="1:19" s="265" customFormat="1" ht="18" customHeight="1" x14ac:dyDescent="0.3">
      <c r="A47" s="233">
        <v>39</v>
      </c>
      <c r="B47" s="309"/>
      <c r="C47" s="302"/>
      <c r="D47" s="303"/>
      <c r="E47" s="266" t="s">
        <v>231</v>
      </c>
      <c r="F47" s="305"/>
      <c r="G47" s="305"/>
      <c r="H47" s="306"/>
      <c r="I47" s="310">
        <f t="shared" ref="I47:R47" si="1">SUM(I12,I18,I24,I30,I36,I42,)</f>
        <v>3277368</v>
      </c>
      <c r="J47" s="311">
        <f t="shared" si="1"/>
        <v>96326</v>
      </c>
      <c r="K47" s="311">
        <f t="shared" si="1"/>
        <v>0</v>
      </c>
      <c r="L47" s="311">
        <f t="shared" si="1"/>
        <v>0</v>
      </c>
      <c r="M47" s="311">
        <f t="shared" si="1"/>
        <v>0</v>
      </c>
      <c r="N47" s="311">
        <f t="shared" si="1"/>
        <v>0</v>
      </c>
      <c r="O47" s="311">
        <f t="shared" si="1"/>
        <v>0</v>
      </c>
      <c r="P47" s="311">
        <f t="shared" si="1"/>
        <v>164652</v>
      </c>
      <c r="Q47" s="311">
        <f t="shared" si="1"/>
        <v>3016390</v>
      </c>
      <c r="R47" s="312">
        <f t="shared" si="1"/>
        <v>2246683</v>
      </c>
      <c r="S47" s="264"/>
    </row>
    <row r="48" spans="1:19" s="265" customFormat="1" ht="18" customHeight="1" x14ac:dyDescent="0.3">
      <c r="A48" s="233">
        <v>40</v>
      </c>
      <c r="B48" s="309"/>
      <c r="C48" s="257"/>
      <c r="D48" s="258"/>
      <c r="E48" s="270" t="s">
        <v>245</v>
      </c>
      <c r="F48" s="260"/>
      <c r="G48" s="260"/>
      <c r="H48" s="261"/>
      <c r="I48" s="271">
        <f>SUM(J48:Q48)</f>
        <v>-5000</v>
      </c>
      <c r="J48" s="272">
        <f t="shared" ref="J48:R48" si="2">J43+J37+J31+J25+J19+J13</f>
        <v>0</v>
      </c>
      <c r="K48" s="272">
        <f t="shared" si="2"/>
        <v>200</v>
      </c>
      <c r="L48" s="272">
        <f t="shared" si="2"/>
        <v>0</v>
      </c>
      <c r="M48" s="272">
        <f t="shared" si="2"/>
        <v>0</v>
      </c>
      <c r="N48" s="272">
        <f t="shared" si="2"/>
        <v>0</v>
      </c>
      <c r="O48" s="272">
        <f t="shared" si="2"/>
        <v>0</v>
      </c>
      <c r="P48" s="272">
        <f t="shared" si="2"/>
        <v>0</v>
      </c>
      <c r="Q48" s="272">
        <f t="shared" si="2"/>
        <v>-5200</v>
      </c>
      <c r="R48" s="255">
        <f t="shared" si="2"/>
        <v>0</v>
      </c>
      <c r="S48" s="264"/>
    </row>
    <row r="49" spans="1:19" s="265" customFormat="1" ht="18" customHeight="1" x14ac:dyDescent="0.3">
      <c r="A49" s="233">
        <v>41</v>
      </c>
      <c r="B49" s="309"/>
      <c r="C49" s="313"/>
      <c r="D49" s="314"/>
      <c r="E49" s="315" t="s">
        <v>233</v>
      </c>
      <c r="F49" s="316"/>
      <c r="G49" s="316"/>
      <c r="H49" s="317"/>
      <c r="I49" s="318">
        <f>SUM(J49:Q49)</f>
        <v>3272368</v>
      </c>
      <c r="J49" s="319">
        <f t="shared" ref="J49:R49" si="3">SUM(J47:J48)</f>
        <v>96326</v>
      </c>
      <c r="K49" s="319">
        <f t="shared" si="3"/>
        <v>200</v>
      </c>
      <c r="L49" s="319">
        <f t="shared" si="3"/>
        <v>0</v>
      </c>
      <c r="M49" s="319">
        <f t="shared" si="3"/>
        <v>0</v>
      </c>
      <c r="N49" s="319">
        <f t="shared" si="3"/>
        <v>0</v>
      </c>
      <c r="O49" s="319">
        <f t="shared" si="3"/>
        <v>0</v>
      </c>
      <c r="P49" s="319">
        <f t="shared" si="3"/>
        <v>164652</v>
      </c>
      <c r="Q49" s="319">
        <f t="shared" si="3"/>
        <v>3011190</v>
      </c>
      <c r="R49" s="320">
        <f t="shared" si="3"/>
        <v>2246683</v>
      </c>
      <c r="S49" s="264"/>
    </row>
    <row r="50" spans="1:19" s="30" customFormat="1" ht="30" customHeight="1" x14ac:dyDescent="0.3">
      <c r="A50" s="233">
        <v>42</v>
      </c>
      <c r="B50" s="321">
        <v>7</v>
      </c>
      <c r="C50" s="241"/>
      <c r="D50" s="1936" t="s">
        <v>46</v>
      </c>
      <c r="E50" s="1936"/>
      <c r="F50" s="244">
        <v>1471300</v>
      </c>
      <c r="G50" s="244">
        <v>1651476</v>
      </c>
      <c r="H50" s="245">
        <v>1838188</v>
      </c>
      <c r="I50" s="246"/>
      <c r="J50" s="244"/>
      <c r="K50" s="244"/>
      <c r="L50" s="244"/>
      <c r="M50" s="244"/>
      <c r="N50" s="244"/>
      <c r="O50" s="244"/>
      <c r="P50" s="244"/>
      <c r="Q50" s="244"/>
      <c r="R50" s="247"/>
    </row>
    <row r="51" spans="1:19" s="264" customFormat="1" ht="18" customHeight="1" x14ac:dyDescent="0.3">
      <c r="A51" s="233">
        <v>43</v>
      </c>
      <c r="B51" s="256"/>
      <c r="C51" s="257"/>
      <c r="D51" s="258"/>
      <c r="E51" s="259" t="s">
        <v>230</v>
      </c>
      <c r="F51" s="260"/>
      <c r="G51" s="260"/>
      <c r="H51" s="261"/>
      <c r="I51" s="262">
        <f t="shared" ref="I51:I57" si="4">SUM(J51:Q51)</f>
        <v>1825483</v>
      </c>
      <c r="J51" s="260">
        <v>32514</v>
      </c>
      <c r="K51" s="260">
        <v>1938</v>
      </c>
      <c r="L51" s="260"/>
      <c r="M51" s="260"/>
      <c r="N51" s="260"/>
      <c r="O51" s="260"/>
      <c r="P51" s="260">
        <v>43000</v>
      </c>
      <c r="Q51" s="260">
        <v>1748031</v>
      </c>
      <c r="R51" s="263">
        <f>925380+325200</f>
        <v>1250580</v>
      </c>
    </row>
    <row r="52" spans="1:19" s="264" customFormat="1" ht="18" customHeight="1" x14ac:dyDescent="0.3">
      <c r="A52" s="233">
        <v>44</v>
      </c>
      <c r="B52" s="256"/>
      <c r="C52" s="257"/>
      <c r="D52" s="258"/>
      <c r="E52" s="266" t="s">
        <v>231</v>
      </c>
      <c r="F52" s="260"/>
      <c r="G52" s="260"/>
      <c r="H52" s="261"/>
      <c r="I52" s="267">
        <f t="shared" si="4"/>
        <v>2037894</v>
      </c>
      <c r="J52" s="268">
        <v>47672</v>
      </c>
      <c r="K52" s="268">
        <v>43717</v>
      </c>
      <c r="L52" s="268"/>
      <c r="M52" s="268"/>
      <c r="N52" s="268"/>
      <c r="O52" s="268"/>
      <c r="P52" s="268">
        <v>134700</v>
      </c>
      <c r="Q52" s="268">
        <v>1811805</v>
      </c>
      <c r="R52" s="269">
        <v>1308185</v>
      </c>
    </row>
    <row r="53" spans="1:19" s="264" customFormat="1" ht="18" customHeight="1" x14ac:dyDescent="0.3">
      <c r="A53" s="233">
        <v>45</v>
      </c>
      <c r="B53" s="256"/>
      <c r="C53" s="257"/>
      <c r="D53" s="258"/>
      <c r="E53" s="270" t="s">
        <v>246</v>
      </c>
      <c r="F53" s="260"/>
      <c r="G53" s="260"/>
      <c r="H53" s="261"/>
      <c r="I53" s="271">
        <f t="shared" si="4"/>
        <v>2772</v>
      </c>
      <c r="J53" s="260"/>
      <c r="K53" s="260"/>
      <c r="L53" s="260"/>
      <c r="M53" s="260"/>
      <c r="N53" s="260"/>
      <c r="O53" s="260"/>
      <c r="P53" s="272"/>
      <c r="Q53" s="272">
        <v>2772</v>
      </c>
      <c r="R53" s="255">
        <v>2772</v>
      </c>
    </row>
    <row r="54" spans="1:19" s="264" customFormat="1" ht="18" customHeight="1" x14ac:dyDescent="0.3">
      <c r="A54" s="233">
        <v>46</v>
      </c>
      <c r="B54" s="256"/>
      <c r="C54" s="257"/>
      <c r="D54" s="258"/>
      <c r="E54" s="322" t="s">
        <v>247</v>
      </c>
      <c r="F54" s="260"/>
      <c r="G54" s="260"/>
      <c r="H54" s="261"/>
      <c r="I54" s="271">
        <f t="shared" si="4"/>
        <v>0</v>
      </c>
      <c r="J54" s="271">
        <f>1190+1139</f>
        <v>2329</v>
      </c>
      <c r="K54" s="271"/>
      <c r="L54" s="262"/>
      <c r="M54" s="262"/>
      <c r="N54" s="262"/>
      <c r="O54" s="262"/>
      <c r="P54" s="262"/>
      <c r="Q54" s="271">
        <f>-1190-1139</f>
        <v>-2329</v>
      </c>
      <c r="R54" s="323"/>
    </row>
    <row r="55" spans="1:19" s="264" customFormat="1" ht="18" customHeight="1" x14ac:dyDescent="0.3">
      <c r="A55" s="233">
        <v>47</v>
      </c>
      <c r="B55" s="256"/>
      <c r="C55" s="257"/>
      <c r="D55" s="258"/>
      <c r="E55" s="284" t="s">
        <v>248</v>
      </c>
      <c r="F55" s="260"/>
      <c r="G55" s="260"/>
      <c r="H55" s="261"/>
      <c r="I55" s="271">
        <f t="shared" si="4"/>
        <v>1849</v>
      </c>
      <c r="J55" s="271"/>
      <c r="K55" s="271"/>
      <c r="L55" s="262"/>
      <c r="M55" s="262"/>
      <c r="N55" s="262"/>
      <c r="O55" s="262"/>
      <c r="P55" s="262"/>
      <c r="Q55" s="271">
        <v>1849</v>
      </c>
      <c r="R55" s="324">
        <v>1849</v>
      </c>
    </row>
    <row r="56" spans="1:19" s="264" customFormat="1" ht="18" customHeight="1" x14ac:dyDescent="0.3">
      <c r="A56" s="233">
        <v>48</v>
      </c>
      <c r="B56" s="256"/>
      <c r="C56" s="257"/>
      <c r="D56" s="258"/>
      <c r="E56" s="284" t="s">
        <v>249</v>
      </c>
      <c r="F56" s="260"/>
      <c r="G56" s="260"/>
      <c r="H56" s="261"/>
      <c r="I56" s="271">
        <f t="shared" si="4"/>
        <v>5978</v>
      </c>
      <c r="J56" s="271"/>
      <c r="K56" s="271">
        <v>5978</v>
      </c>
      <c r="L56" s="262"/>
      <c r="M56" s="262"/>
      <c r="N56" s="262"/>
      <c r="O56" s="262"/>
      <c r="P56" s="262"/>
      <c r="Q56" s="271"/>
      <c r="R56" s="325"/>
    </row>
    <row r="57" spans="1:19" s="264" customFormat="1" ht="18" customHeight="1" x14ac:dyDescent="0.3">
      <c r="A57" s="233">
        <v>49</v>
      </c>
      <c r="B57" s="256"/>
      <c r="C57" s="257"/>
      <c r="D57" s="258"/>
      <c r="E57" s="266" t="s">
        <v>233</v>
      </c>
      <c r="F57" s="260"/>
      <c r="G57" s="260"/>
      <c r="H57" s="261"/>
      <c r="I57" s="267">
        <f t="shared" si="4"/>
        <v>2048493</v>
      </c>
      <c r="J57" s="267">
        <f>SUM(J52:J56)</f>
        <v>50001</v>
      </c>
      <c r="K57" s="267">
        <f>SUM(K52:K56)</f>
        <v>49695</v>
      </c>
      <c r="L57" s="267"/>
      <c r="M57" s="267"/>
      <c r="N57" s="267"/>
      <c r="O57" s="267"/>
      <c r="P57" s="267">
        <f>SUM(P52:P56)</f>
        <v>134700</v>
      </c>
      <c r="Q57" s="267">
        <f>SUM(Q52:Q56)</f>
        <v>1814097</v>
      </c>
      <c r="R57" s="326">
        <f>SUM(R52:R56)</f>
        <v>1312806</v>
      </c>
    </row>
    <row r="58" spans="1:19" ht="22.5" customHeight="1" x14ac:dyDescent="0.3">
      <c r="A58" s="233">
        <v>50</v>
      </c>
      <c r="B58" s="248">
        <v>8</v>
      </c>
      <c r="C58" s="249"/>
      <c r="D58" s="285" t="s">
        <v>47</v>
      </c>
      <c r="E58" s="285"/>
      <c r="F58" s="252">
        <v>118718</v>
      </c>
      <c r="G58" s="252">
        <v>96614</v>
      </c>
      <c r="H58" s="253">
        <v>146343</v>
      </c>
      <c r="I58" s="254"/>
      <c r="J58" s="252"/>
      <c r="K58" s="252"/>
      <c r="L58" s="252"/>
      <c r="M58" s="252"/>
      <c r="N58" s="252"/>
      <c r="O58" s="252"/>
      <c r="P58" s="252"/>
      <c r="Q58" s="252"/>
      <c r="R58" s="255"/>
      <c r="S58" s="30"/>
    </row>
    <row r="59" spans="1:19" s="276" customFormat="1" ht="18" customHeight="1" x14ac:dyDescent="0.3">
      <c r="A59" s="233">
        <v>51</v>
      </c>
      <c r="B59" s="256"/>
      <c r="C59" s="257"/>
      <c r="D59" s="258"/>
      <c r="E59" s="259" t="s">
        <v>230</v>
      </c>
      <c r="F59" s="260"/>
      <c r="G59" s="260"/>
      <c r="H59" s="261"/>
      <c r="I59" s="262">
        <f>SUM(J59:Q59)</f>
        <v>123176</v>
      </c>
      <c r="J59" s="260">
        <v>15000</v>
      </c>
      <c r="K59" s="260"/>
      <c r="L59" s="260"/>
      <c r="M59" s="260"/>
      <c r="N59" s="260"/>
      <c r="O59" s="260"/>
      <c r="P59" s="260"/>
      <c r="Q59" s="260">
        <v>108176</v>
      </c>
      <c r="R59" s="263">
        <v>38044</v>
      </c>
    </row>
    <row r="60" spans="1:19" s="276" customFormat="1" ht="18" customHeight="1" x14ac:dyDescent="0.3">
      <c r="A60" s="233">
        <v>52</v>
      </c>
      <c r="B60" s="256"/>
      <c r="C60" s="257"/>
      <c r="D60" s="258"/>
      <c r="E60" s="266" t="s">
        <v>231</v>
      </c>
      <c r="F60" s="260"/>
      <c r="G60" s="260"/>
      <c r="H60" s="261"/>
      <c r="I60" s="267">
        <f>SUM(J60:Q60)</f>
        <v>167766</v>
      </c>
      <c r="J60" s="268">
        <v>15000</v>
      </c>
      <c r="K60" s="268"/>
      <c r="L60" s="268"/>
      <c r="M60" s="268"/>
      <c r="N60" s="268"/>
      <c r="O60" s="268"/>
      <c r="P60" s="268">
        <v>22446</v>
      </c>
      <c r="Q60" s="268">
        <v>130320</v>
      </c>
      <c r="R60" s="269">
        <v>60188</v>
      </c>
    </row>
    <row r="61" spans="1:19" s="276" customFormat="1" ht="18" customHeight="1" x14ac:dyDescent="0.3">
      <c r="A61" s="233">
        <v>53</v>
      </c>
      <c r="B61" s="256"/>
      <c r="C61" s="257"/>
      <c r="D61" s="258"/>
      <c r="E61" s="270" t="s">
        <v>246</v>
      </c>
      <c r="F61" s="260"/>
      <c r="G61" s="260"/>
      <c r="H61" s="261"/>
      <c r="I61" s="271">
        <f>SUM(J61:Q61)</f>
        <v>2373</v>
      </c>
      <c r="J61" s="260"/>
      <c r="K61" s="260"/>
      <c r="L61" s="260"/>
      <c r="M61" s="260"/>
      <c r="N61" s="260"/>
      <c r="O61" s="260"/>
      <c r="P61" s="272"/>
      <c r="Q61" s="272">
        <v>2373</v>
      </c>
      <c r="R61" s="255">
        <v>2373</v>
      </c>
    </row>
    <row r="62" spans="1:19" s="276" customFormat="1" ht="18" customHeight="1" x14ac:dyDescent="0.3">
      <c r="A62" s="233">
        <v>54</v>
      </c>
      <c r="B62" s="256"/>
      <c r="C62" s="257"/>
      <c r="D62" s="258"/>
      <c r="E62" s="284" t="s">
        <v>250</v>
      </c>
      <c r="F62" s="260"/>
      <c r="G62" s="260"/>
      <c r="H62" s="261"/>
      <c r="I62" s="271">
        <f>SUM(J62:Q62)</f>
        <v>288</v>
      </c>
      <c r="J62" s="260"/>
      <c r="K62" s="260"/>
      <c r="L62" s="260"/>
      <c r="M62" s="260"/>
      <c r="N62" s="260"/>
      <c r="O62" s="260"/>
      <c r="P62" s="272"/>
      <c r="Q62" s="272">
        <v>288</v>
      </c>
      <c r="R62" s="255">
        <v>288</v>
      </c>
    </row>
    <row r="63" spans="1:19" s="276" customFormat="1" ht="18" customHeight="1" x14ac:dyDescent="0.3">
      <c r="A63" s="233">
        <v>55</v>
      </c>
      <c r="B63" s="256"/>
      <c r="C63" s="257"/>
      <c r="D63" s="258"/>
      <c r="E63" s="266" t="s">
        <v>233</v>
      </c>
      <c r="F63" s="260"/>
      <c r="G63" s="260"/>
      <c r="H63" s="261"/>
      <c r="I63" s="267">
        <f>SUM(J63:Q63)</f>
        <v>170427</v>
      </c>
      <c r="J63" s="268">
        <f>SUM(J60:J62)</f>
        <v>15000</v>
      </c>
      <c r="K63" s="268"/>
      <c r="L63" s="268"/>
      <c r="M63" s="268"/>
      <c r="N63" s="268"/>
      <c r="O63" s="268"/>
      <c r="P63" s="268">
        <f>SUM(P60:P62)</f>
        <v>22446</v>
      </c>
      <c r="Q63" s="268">
        <f>SUM(Q60:Q62)</f>
        <v>132981</v>
      </c>
      <c r="R63" s="273">
        <f>SUM(R60:R62)</f>
        <v>62849</v>
      </c>
    </row>
    <row r="64" spans="1:19" ht="22.5" customHeight="1" x14ac:dyDescent="0.3">
      <c r="A64" s="233">
        <v>56</v>
      </c>
      <c r="B64" s="248">
        <v>9</v>
      </c>
      <c r="C64" s="249"/>
      <c r="D64" s="285" t="s">
        <v>48</v>
      </c>
      <c r="E64" s="285"/>
      <c r="F64" s="252">
        <v>424358</v>
      </c>
      <c r="G64" s="252">
        <v>345822</v>
      </c>
      <c r="H64" s="253">
        <v>483799</v>
      </c>
      <c r="I64" s="254"/>
      <c r="J64" s="252"/>
      <c r="K64" s="252"/>
      <c r="L64" s="252"/>
      <c r="M64" s="252"/>
      <c r="N64" s="252"/>
      <c r="O64" s="252"/>
      <c r="P64" s="252"/>
      <c r="Q64" s="252"/>
      <c r="R64" s="255"/>
      <c r="S64" s="30"/>
    </row>
    <row r="65" spans="1:19" s="276" customFormat="1" ht="18" customHeight="1" x14ac:dyDescent="0.3">
      <c r="A65" s="233">
        <v>57</v>
      </c>
      <c r="B65" s="256"/>
      <c r="C65" s="302"/>
      <c r="D65" s="303"/>
      <c r="E65" s="259" t="s">
        <v>230</v>
      </c>
      <c r="F65" s="305"/>
      <c r="G65" s="305"/>
      <c r="H65" s="306"/>
      <c r="I65" s="307">
        <f t="shared" ref="I65:I70" si="5">SUM(J65:Q65)</f>
        <v>417595</v>
      </c>
      <c r="J65" s="305">
        <v>1800</v>
      </c>
      <c r="K65" s="305"/>
      <c r="L65" s="305"/>
      <c r="M65" s="305"/>
      <c r="N65" s="305"/>
      <c r="O65" s="305"/>
      <c r="P65" s="305">
        <v>2948</v>
      </c>
      <c r="Q65" s="305">
        <f>409847+3000</f>
        <v>412847</v>
      </c>
      <c r="R65" s="308">
        <v>241563</v>
      </c>
    </row>
    <row r="66" spans="1:19" s="276" customFormat="1" ht="18" customHeight="1" x14ac:dyDescent="0.3">
      <c r="A66" s="233">
        <v>58</v>
      </c>
      <c r="B66" s="256"/>
      <c r="C66" s="302"/>
      <c r="D66" s="303"/>
      <c r="E66" s="266" t="s">
        <v>231</v>
      </c>
      <c r="F66" s="305"/>
      <c r="G66" s="305"/>
      <c r="H66" s="306"/>
      <c r="I66" s="310">
        <f t="shared" si="5"/>
        <v>543576</v>
      </c>
      <c r="J66" s="311">
        <v>6000</v>
      </c>
      <c r="K66" s="311"/>
      <c r="L66" s="311"/>
      <c r="M66" s="311"/>
      <c r="N66" s="311"/>
      <c r="O66" s="311"/>
      <c r="P66" s="311">
        <v>29207</v>
      </c>
      <c r="Q66" s="311">
        <v>508369</v>
      </c>
      <c r="R66" s="312">
        <v>329873</v>
      </c>
    </row>
    <row r="67" spans="1:19" s="276" customFormat="1" ht="18" customHeight="1" x14ac:dyDescent="0.3">
      <c r="A67" s="233">
        <v>59</v>
      </c>
      <c r="B67" s="256"/>
      <c r="C67" s="302"/>
      <c r="D67" s="303"/>
      <c r="E67" s="270" t="s">
        <v>246</v>
      </c>
      <c r="F67" s="305"/>
      <c r="G67" s="305"/>
      <c r="H67" s="306"/>
      <c r="I67" s="271">
        <f t="shared" si="5"/>
        <v>15864</v>
      </c>
      <c r="J67" s="305"/>
      <c r="K67" s="305"/>
      <c r="L67" s="305"/>
      <c r="M67" s="305"/>
      <c r="N67" s="305"/>
      <c r="O67" s="305"/>
      <c r="P67" s="327"/>
      <c r="Q67" s="327">
        <v>15864</v>
      </c>
      <c r="R67" s="328"/>
    </row>
    <row r="68" spans="1:19" s="276" customFormat="1" ht="18" customHeight="1" x14ac:dyDescent="0.3">
      <c r="A68" s="233">
        <v>60</v>
      </c>
      <c r="B68" s="256"/>
      <c r="C68" s="302"/>
      <c r="D68" s="303"/>
      <c r="E68" s="270" t="s">
        <v>49</v>
      </c>
      <c r="F68" s="305"/>
      <c r="G68" s="305"/>
      <c r="H68" s="306"/>
      <c r="I68" s="271">
        <f t="shared" si="5"/>
        <v>1500</v>
      </c>
      <c r="J68" s="327"/>
      <c r="K68" s="305"/>
      <c r="L68" s="305"/>
      <c r="M68" s="305"/>
      <c r="N68" s="305"/>
      <c r="O68" s="305"/>
      <c r="P68" s="305"/>
      <c r="Q68" s="327">
        <v>1500</v>
      </c>
      <c r="R68" s="328">
        <v>1500</v>
      </c>
    </row>
    <row r="69" spans="1:19" s="276" customFormat="1" ht="18" customHeight="1" x14ac:dyDescent="0.3">
      <c r="A69" s="233">
        <v>61</v>
      </c>
      <c r="B69" s="256"/>
      <c r="C69" s="302"/>
      <c r="D69" s="303"/>
      <c r="E69" s="284" t="s">
        <v>251</v>
      </c>
      <c r="F69" s="305"/>
      <c r="G69" s="305"/>
      <c r="H69" s="306"/>
      <c r="I69" s="271">
        <f t="shared" si="5"/>
        <v>2000</v>
      </c>
      <c r="J69" s="327">
        <v>2000</v>
      </c>
      <c r="K69" s="305"/>
      <c r="L69" s="305"/>
      <c r="M69" s="305"/>
      <c r="N69" s="305"/>
      <c r="O69" s="305"/>
      <c r="P69" s="305"/>
      <c r="Q69" s="327"/>
      <c r="R69" s="328"/>
    </row>
    <row r="70" spans="1:19" s="276" customFormat="1" ht="18" customHeight="1" x14ac:dyDescent="0.3">
      <c r="A70" s="233">
        <v>62</v>
      </c>
      <c r="B70" s="256"/>
      <c r="C70" s="302"/>
      <c r="D70" s="303"/>
      <c r="E70" s="266" t="s">
        <v>233</v>
      </c>
      <c r="F70" s="305"/>
      <c r="G70" s="305"/>
      <c r="H70" s="306"/>
      <c r="I70" s="267">
        <f t="shared" si="5"/>
        <v>562940</v>
      </c>
      <c r="J70" s="311">
        <f>SUM(J66:J69)</f>
        <v>8000</v>
      </c>
      <c r="K70" s="311"/>
      <c r="L70" s="311"/>
      <c r="M70" s="311"/>
      <c r="N70" s="311"/>
      <c r="O70" s="311"/>
      <c r="P70" s="311">
        <f>SUM(P66:P69)</f>
        <v>29207</v>
      </c>
      <c r="Q70" s="311">
        <f>SUM(Q66:Q69)</f>
        <v>525733</v>
      </c>
      <c r="R70" s="312">
        <f>SUM(R66:R69)</f>
        <v>331373</v>
      </c>
    </row>
    <row r="71" spans="1:19" s="330" customFormat="1" ht="30" customHeight="1" x14ac:dyDescent="0.3">
      <c r="A71" s="233">
        <v>63</v>
      </c>
      <c r="B71" s="248"/>
      <c r="C71" s="329">
        <v>1</v>
      </c>
      <c r="D71" s="1934" t="s">
        <v>252</v>
      </c>
      <c r="E71" s="1934"/>
      <c r="F71" s="252">
        <v>3539</v>
      </c>
      <c r="G71" s="252"/>
      <c r="H71" s="253"/>
      <c r="I71" s="254"/>
      <c r="J71" s="252"/>
      <c r="K71" s="252"/>
      <c r="L71" s="252"/>
      <c r="M71" s="252"/>
      <c r="N71" s="252"/>
      <c r="O71" s="252"/>
      <c r="P71" s="252"/>
      <c r="Q71" s="252"/>
      <c r="R71" s="255"/>
      <c r="S71" s="236"/>
    </row>
    <row r="72" spans="1:19" s="287" customFormat="1" ht="22.5" customHeight="1" x14ac:dyDescent="0.3">
      <c r="A72" s="233">
        <v>64</v>
      </c>
      <c r="B72" s="278"/>
      <c r="C72" s="1930" t="s">
        <v>253</v>
      </c>
      <c r="D72" s="1930"/>
      <c r="E72" s="1930"/>
      <c r="F72" s="297">
        <f>SUM(F50:F71)</f>
        <v>2017915</v>
      </c>
      <c r="G72" s="297">
        <f>SUM(G50:G71)</f>
        <v>2093912</v>
      </c>
      <c r="H72" s="298">
        <f>SUM(H50:H71)</f>
        <v>2468330</v>
      </c>
      <c r="I72" s="299"/>
      <c r="J72" s="297"/>
      <c r="K72" s="297"/>
      <c r="L72" s="297"/>
      <c r="M72" s="297"/>
      <c r="N72" s="297"/>
      <c r="O72" s="297"/>
      <c r="P72" s="297"/>
      <c r="Q72" s="297"/>
      <c r="R72" s="331"/>
    </row>
    <row r="73" spans="1:19" s="276" customFormat="1" ht="18" customHeight="1" x14ac:dyDescent="0.3">
      <c r="A73" s="233">
        <v>65</v>
      </c>
      <c r="B73" s="256"/>
      <c r="C73" s="302"/>
      <c r="D73" s="303"/>
      <c r="E73" s="259" t="s">
        <v>230</v>
      </c>
      <c r="F73" s="305"/>
      <c r="G73" s="305"/>
      <c r="H73" s="306"/>
      <c r="I73" s="307">
        <f t="shared" ref="I73:R73" si="6">SUM(I51,I59,I65)</f>
        <v>2366254</v>
      </c>
      <c r="J73" s="305">
        <f t="shared" si="6"/>
        <v>49314</v>
      </c>
      <c r="K73" s="305">
        <f t="shared" si="6"/>
        <v>1938</v>
      </c>
      <c r="L73" s="305">
        <f t="shared" si="6"/>
        <v>0</v>
      </c>
      <c r="M73" s="305">
        <f t="shared" si="6"/>
        <v>0</v>
      </c>
      <c r="N73" s="305">
        <f t="shared" si="6"/>
        <v>0</v>
      </c>
      <c r="O73" s="305">
        <f t="shared" si="6"/>
        <v>0</v>
      </c>
      <c r="P73" s="305">
        <f t="shared" si="6"/>
        <v>45948</v>
      </c>
      <c r="Q73" s="305">
        <f t="shared" si="6"/>
        <v>2269054</v>
      </c>
      <c r="R73" s="308">
        <f t="shared" si="6"/>
        <v>1530187</v>
      </c>
    </row>
    <row r="74" spans="1:19" s="276" customFormat="1" ht="18" customHeight="1" x14ac:dyDescent="0.3">
      <c r="A74" s="233">
        <v>66</v>
      </c>
      <c r="B74" s="332"/>
      <c r="C74" s="333"/>
      <c r="D74" s="257"/>
      <c r="E74" s="266" t="s">
        <v>231</v>
      </c>
      <c r="F74" s="305"/>
      <c r="G74" s="305"/>
      <c r="H74" s="306"/>
      <c r="I74" s="310">
        <f t="shared" ref="I74:R74" si="7">SUM(I52,I60,I66)</f>
        <v>2749236</v>
      </c>
      <c r="J74" s="311">
        <f t="shared" si="7"/>
        <v>68672</v>
      </c>
      <c r="K74" s="311">
        <f t="shared" si="7"/>
        <v>43717</v>
      </c>
      <c r="L74" s="311">
        <f t="shared" si="7"/>
        <v>0</v>
      </c>
      <c r="M74" s="311">
        <f t="shared" si="7"/>
        <v>0</v>
      </c>
      <c r="N74" s="311">
        <f t="shared" si="7"/>
        <v>0</v>
      </c>
      <c r="O74" s="311">
        <f t="shared" si="7"/>
        <v>0</v>
      </c>
      <c r="P74" s="311">
        <f t="shared" si="7"/>
        <v>186353</v>
      </c>
      <c r="Q74" s="311">
        <f t="shared" si="7"/>
        <v>2450494</v>
      </c>
      <c r="R74" s="312">
        <f t="shared" si="7"/>
        <v>1698246</v>
      </c>
    </row>
    <row r="75" spans="1:19" s="276" customFormat="1" ht="18" customHeight="1" x14ac:dyDescent="0.3">
      <c r="A75" s="233">
        <v>67</v>
      </c>
      <c r="B75" s="332"/>
      <c r="C75" s="334"/>
      <c r="D75" s="257"/>
      <c r="E75" s="270" t="s">
        <v>245</v>
      </c>
      <c r="F75" s="260"/>
      <c r="G75" s="260"/>
      <c r="H75" s="261"/>
      <c r="I75" s="271">
        <f>SUM(J75:Q75)</f>
        <v>32624</v>
      </c>
      <c r="J75" s="272">
        <f t="shared" ref="J75:R75" si="8">J67+J61+J53+J68+J54+J55+J56+J69+J62</f>
        <v>4329</v>
      </c>
      <c r="K75" s="272">
        <f t="shared" si="8"/>
        <v>5978</v>
      </c>
      <c r="L75" s="272">
        <f t="shared" si="8"/>
        <v>0</v>
      </c>
      <c r="M75" s="272">
        <f t="shared" si="8"/>
        <v>0</v>
      </c>
      <c r="N75" s="272">
        <f t="shared" si="8"/>
        <v>0</v>
      </c>
      <c r="O75" s="272">
        <f t="shared" si="8"/>
        <v>0</v>
      </c>
      <c r="P75" s="272">
        <f t="shared" si="8"/>
        <v>0</v>
      </c>
      <c r="Q75" s="272">
        <f t="shared" si="8"/>
        <v>22317</v>
      </c>
      <c r="R75" s="255">
        <f t="shared" si="8"/>
        <v>8782</v>
      </c>
    </row>
    <row r="76" spans="1:19" s="276" customFormat="1" ht="18" customHeight="1" x14ac:dyDescent="0.3">
      <c r="A76" s="233">
        <v>68</v>
      </c>
      <c r="B76" s="332"/>
      <c r="C76" s="335"/>
      <c r="D76" s="296"/>
      <c r="E76" s="336" t="s">
        <v>233</v>
      </c>
      <c r="F76" s="337"/>
      <c r="G76" s="337"/>
      <c r="H76" s="338"/>
      <c r="I76" s="318">
        <f>SUM(J76:Q76)</f>
        <v>2781860</v>
      </c>
      <c r="J76" s="339">
        <f t="shared" ref="J76:R76" si="9">SUM(J74:J75)</f>
        <v>73001</v>
      </c>
      <c r="K76" s="339">
        <f t="shared" si="9"/>
        <v>49695</v>
      </c>
      <c r="L76" s="339">
        <f t="shared" si="9"/>
        <v>0</v>
      </c>
      <c r="M76" s="339">
        <f t="shared" si="9"/>
        <v>0</v>
      </c>
      <c r="N76" s="339">
        <f t="shared" si="9"/>
        <v>0</v>
      </c>
      <c r="O76" s="339">
        <f t="shared" si="9"/>
        <v>0</v>
      </c>
      <c r="P76" s="339">
        <f t="shared" si="9"/>
        <v>186353</v>
      </c>
      <c r="Q76" s="339">
        <f t="shared" si="9"/>
        <v>2472811</v>
      </c>
      <c r="R76" s="340">
        <f t="shared" si="9"/>
        <v>1707028</v>
      </c>
    </row>
    <row r="77" spans="1:19" s="237" customFormat="1" ht="22.5" customHeight="1" x14ac:dyDescent="0.3">
      <c r="A77" s="233">
        <v>69</v>
      </c>
      <c r="B77" s="240">
        <v>10</v>
      </c>
      <c r="C77" s="241"/>
      <c r="D77" s="341" t="s">
        <v>254</v>
      </c>
      <c r="E77" s="342"/>
      <c r="F77" s="244">
        <v>557354</v>
      </c>
      <c r="G77" s="244">
        <v>493071</v>
      </c>
      <c r="H77" s="245">
        <v>619997</v>
      </c>
      <c r="I77" s="246"/>
      <c r="J77" s="244"/>
      <c r="K77" s="244"/>
      <c r="L77" s="244"/>
      <c r="M77" s="244"/>
      <c r="N77" s="244"/>
      <c r="O77" s="244"/>
      <c r="P77" s="244"/>
      <c r="Q77" s="244"/>
      <c r="R77" s="247"/>
      <c r="S77" s="236"/>
    </row>
    <row r="78" spans="1:19" s="264" customFormat="1" ht="18" customHeight="1" x14ac:dyDescent="0.3">
      <c r="A78" s="233">
        <v>70</v>
      </c>
      <c r="B78" s="256"/>
      <c r="C78" s="257"/>
      <c r="D78" s="258"/>
      <c r="E78" s="259" t="s">
        <v>230</v>
      </c>
      <c r="F78" s="260"/>
      <c r="G78" s="260"/>
      <c r="H78" s="261"/>
      <c r="I78" s="262">
        <f t="shared" ref="I78:I83" si="10">SUM(J78:Q78)</f>
        <v>421845</v>
      </c>
      <c r="J78" s="260">
        <v>49066</v>
      </c>
      <c r="K78" s="260"/>
      <c r="L78" s="260"/>
      <c r="M78" s="260"/>
      <c r="N78" s="260"/>
      <c r="O78" s="260"/>
      <c r="P78" s="260">
        <f>35000+25298</f>
        <v>60298</v>
      </c>
      <c r="Q78" s="260">
        <v>312481</v>
      </c>
      <c r="R78" s="263">
        <v>53447</v>
      </c>
    </row>
    <row r="79" spans="1:19" s="264" customFormat="1" ht="18" customHeight="1" x14ac:dyDescent="0.3">
      <c r="A79" s="233">
        <v>71</v>
      </c>
      <c r="B79" s="256"/>
      <c r="C79" s="257"/>
      <c r="D79" s="258"/>
      <c r="E79" s="266" t="s">
        <v>231</v>
      </c>
      <c r="F79" s="260"/>
      <c r="G79" s="260"/>
      <c r="H79" s="261"/>
      <c r="I79" s="267">
        <f t="shared" si="10"/>
        <v>542429</v>
      </c>
      <c r="J79" s="268">
        <v>51055</v>
      </c>
      <c r="K79" s="268">
        <v>700</v>
      </c>
      <c r="L79" s="268">
        <v>15</v>
      </c>
      <c r="M79" s="268"/>
      <c r="N79" s="268"/>
      <c r="O79" s="268"/>
      <c r="P79" s="268">
        <v>120140</v>
      </c>
      <c r="Q79" s="268">
        <v>370519</v>
      </c>
      <c r="R79" s="269">
        <v>68985</v>
      </c>
    </row>
    <row r="80" spans="1:19" s="264" customFormat="1" ht="18" customHeight="1" x14ac:dyDescent="0.3">
      <c r="A80" s="233">
        <v>72</v>
      </c>
      <c r="B80" s="256"/>
      <c r="C80" s="257"/>
      <c r="D80" s="258"/>
      <c r="E80" s="270" t="s">
        <v>255</v>
      </c>
      <c r="F80" s="343"/>
      <c r="G80" s="260"/>
      <c r="H80" s="261"/>
      <c r="I80" s="271">
        <f t="shared" si="10"/>
        <v>12100</v>
      </c>
      <c r="J80" s="272">
        <v>12100</v>
      </c>
      <c r="K80" s="272"/>
      <c r="L80" s="272"/>
      <c r="M80" s="260"/>
      <c r="N80" s="260"/>
      <c r="O80" s="260"/>
      <c r="P80" s="272"/>
      <c r="Q80" s="344"/>
      <c r="R80" s="255"/>
    </row>
    <row r="81" spans="1:19" s="264" customFormat="1" ht="18" customHeight="1" x14ac:dyDescent="0.3">
      <c r="A81" s="233">
        <v>73</v>
      </c>
      <c r="B81" s="256"/>
      <c r="C81" s="257"/>
      <c r="D81" s="258"/>
      <c r="E81" s="284" t="s">
        <v>15</v>
      </c>
      <c r="F81" s="343"/>
      <c r="G81" s="260"/>
      <c r="H81" s="261"/>
      <c r="I81" s="271">
        <f t="shared" si="10"/>
        <v>42</v>
      </c>
      <c r="J81" s="272"/>
      <c r="K81" s="272"/>
      <c r="L81" s="272"/>
      <c r="M81" s="260"/>
      <c r="N81" s="260"/>
      <c r="O81" s="260"/>
      <c r="P81" s="272"/>
      <c r="Q81" s="344">
        <v>42</v>
      </c>
      <c r="R81" s="255"/>
    </row>
    <row r="82" spans="1:19" s="264" customFormat="1" ht="18" customHeight="1" x14ac:dyDescent="0.3">
      <c r="A82" s="233">
        <v>74</v>
      </c>
      <c r="B82" s="256"/>
      <c r="C82" s="257"/>
      <c r="D82" s="258"/>
      <c r="E82" s="284" t="s">
        <v>256</v>
      </c>
      <c r="F82" s="343"/>
      <c r="G82" s="260"/>
      <c r="H82" s="261"/>
      <c r="I82" s="271">
        <f t="shared" si="10"/>
        <v>-6108</v>
      </c>
      <c r="J82" s="272"/>
      <c r="K82" s="272"/>
      <c r="L82" s="272"/>
      <c r="M82" s="260"/>
      <c r="N82" s="260"/>
      <c r="O82" s="260"/>
      <c r="P82" s="272"/>
      <c r="Q82" s="344">
        <v>-6108</v>
      </c>
      <c r="R82" s="255"/>
    </row>
    <row r="83" spans="1:19" s="264" customFormat="1" ht="18" customHeight="1" x14ac:dyDescent="0.3">
      <c r="A83" s="233">
        <v>75</v>
      </c>
      <c r="B83" s="256"/>
      <c r="C83" s="257"/>
      <c r="D83" s="258"/>
      <c r="E83" s="266" t="s">
        <v>233</v>
      </c>
      <c r="F83" s="260"/>
      <c r="G83" s="260"/>
      <c r="H83" s="261"/>
      <c r="I83" s="267">
        <f t="shared" si="10"/>
        <v>548463</v>
      </c>
      <c r="J83" s="268">
        <f>SUM(J79:J82)</f>
        <v>63155</v>
      </c>
      <c r="K83" s="268">
        <f>SUM(K79:K82)</f>
        <v>700</v>
      </c>
      <c r="L83" s="268">
        <f>SUM(L79:L82)</f>
        <v>15</v>
      </c>
      <c r="M83" s="268"/>
      <c r="N83" s="268"/>
      <c r="O83" s="268"/>
      <c r="P83" s="268">
        <f>SUM(P79:P82)</f>
        <v>120140</v>
      </c>
      <c r="Q83" s="268">
        <f>SUM(Q79:Q82)</f>
        <v>364453</v>
      </c>
      <c r="R83" s="273">
        <f>SUM(R79:R82)</f>
        <v>68985</v>
      </c>
    </row>
    <row r="84" spans="1:19" s="330" customFormat="1" ht="30" customHeight="1" x14ac:dyDescent="0.3">
      <c r="A84" s="233">
        <v>76</v>
      </c>
      <c r="B84" s="248"/>
      <c r="C84" s="329">
        <v>1</v>
      </c>
      <c r="D84" s="1934" t="s">
        <v>257</v>
      </c>
      <c r="E84" s="1934"/>
      <c r="F84" s="252">
        <v>29483</v>
      </c>
      <c r="G84" s="252">
        <v>38386</v>
      </c>
      <c r="H84" s="253">
        <v>38386</v>
      </c>
      <c r="I84" s="254"/>
      <c r="J84" s="252"/>
      <c r="K84" s="252"/>
      <c r="L84" s="252"/>
      <c r="M84" s="252"/>
      <c r="N84" s="252"/>
      <c r="O84" s="252"/>
      <c r="P84" s="252"/>
      <c r="Q84" s="252"/>
      <c r="R84" s="255"/>
      <c r="S84" s="236"/>
    </row>
    <row r="85" spans="1:19" s="330" customFormat="1" ht="30" customHeight="1" x14ac:dyDescent="0.3">
      <c r="A85" s="233">
        <v>77</v>
      </c>
      <c r="B85" s="248"/>
      <c r="C85" s="329">
        <v>2</v>
      </c>
      <c r="D85" s="1934" t="s">
        <v>258</v>
      </c>
      <c r="E85" s="1934"/>
      <c r="F85" s="252">
        <v>1173</v>
      </c>
      <c r="G85" s="252"/>
      <c r="H85" s="253"/>
      <c r="I85" s="254"/>
      <c r="J85" s="252"/>
      <c r="K85" s="252"/>
      <c r="L85" s="252"/>
      <c r="M85" s="252"/>
      <c r="N85" s="252"/>
      <c r="O85" s="252"/>
      <c r="P85" s="252"/>
      <c r="Q85" s="252"/>
      <c r="R85" s="255"/>
      <c r="S85" s="236"/>
    </row>
    <row r="86" spans="1:19" s="330" customFormat="1" ht="22.5" customHeight="1" x14ac:dyDescent="0.3">
      <c r="A86" s="233">
        <v>78</v>
      </c>
      <c r="B86" s="248">
        <v>11</v>
      </c>
      <c r="C86" s="249"/>
      <c r="D86" s="285" t="s">
        <v>51</v>
      </c>
      <c r="E86" s="285"/>
      <c r="F86" s="252">
        <v>433654</v>
      </c>
      <c r="G86" s="252">
        <v>629204</v>
      </c>
      <c r="H86" s="253">
        <v>659994</v>
      </c>
      <c r="I86" s="254"/>
      <c r="J86" s="252"/>
      <c r="K86" s="252"/>
      <c r="L86" s="252"/>
      <c r="M86" s="252"/>
      <c r="N86" s="252"/>
      <c r="O86" s="252"/>
      <c r="P86" s="252"/>
      <c r="Q86" s="252"/>
      <c r="R86" s="255"/>
      <c r="S86" s="236"/>
    </row>
    <row r="87" spans="1:19" s="264" customFormat="1" ht="18" customHeight="1" x14ac:dyDescent="0.3">
      <c r="A87" s="233">
        <v>79</v>
      </c>
      <c r="B87" s="256"/>
      <c r="C87" s="257"/>
      <c r="D87" s="258"/>
      <c r="E87" s="259" t="s">
        <v>230</v>
      </c>
      <c r="F87" s="260"/>
      <c r="G87" s="260"/>
      <c r="H87" s="261"/>
      <c r="I87" s="262">
        <f>SUM(J87:Q87)</f>
        <v>275654</v>
      </c>
      <c r="J87" s="260">
        <v>29423</v>
      </c>
      <c r="K87" s="260"/>
      <c r="L87" s="260"/>
      <c r="M87" s="260"/>
      <c r="N87" s="260"/>
      <c r="O87" s="260"/>
      <c r="P87" s="260">
        <v>25546</v>
      </c>
      <c r="Q87" s="260">
        <v>220685</v>
      </c>
      <c r="R87" s="263">
        <v>48646</v>
      </c>
    </row>
    <row r="88" spans="1:19" s="264" customFormat="1" ht="18" customHeight="1" x14ac:dyDescent="0.3">
      <c r="A88" s="233">
        <v>80</v>
      </c>
      <c r="B88" s="256"/>
      <c r="C88" s="257"/>
      <c r="D88" s="258"/>
      <c r="E88" s="266" t="s">
        <v>231</v>
      </c>
      <c r="F88" s="260"/>
      <c r="G88" s="260"/>
      <c r="H88" s="261"/>
      <c r="I88" s="267">
        <f>SUM(J88:Q88)</f>
        <v>386250</v>
      </c>
      <c r="J88" s="268">
        <v>68556</v>
      </c>
      <c r="K88" s="268">
        <v>5501</v>
      </c>
      <c r="L88" s="268">
        <v>29400</v>
      </c>
      <c r="M88" s="268"/>
      <c r="N88" s="268">
        <v>250</v>
      </c>
      <c r="O88" s="268"/>
      <c r="P88" s="268">
        <v>28813</v>
      </c>
      <c r="Q88" s="268">
        <v>253730</v>
      </c>
      <c r="R88" s="269">
        <v>63384</v>
      </c>
    </row>
    <row r="89" spans="1:19" s="264" customFormat="1" ht="18" customHeight="1" x14ac:dyDescent="0.3">
      <c r="A89" s="233">
        <v>81</v>
      </c>
      <c r="B89" s="256"/>
      <c r="C89" s="257"/>
      <c r="D89" s="258"/>
      <c r="E89" s="270" t="s">
        <v>259</v>
      </c>
      <c r="F89" s="260"/>
      <c r="G89" s="260"/>
      <c r="H89" s="261"/>
      <c r="I89" s="271">
        <f>SUM(J89:Q89)</f>
        <v>2919</v>
      </c>
      <c r="J89" s="272"/>
      <c r="K89" s="272">
        <v>1000</v>
      </c>
      <c r="L89" s="272">
        <v>1919</v>
      </c>
      <c r="M89" s="260"/>
      <c r="N89" s="272"/>
      <c r="O89" s="260"/>
      <c r="P89" s="272"/>
      <c r="Q89" s="260"/>
      <c r="R89" s="263"/>
    </row>
    <row r="90" spans="1:19" s="264" customFormat="1" ht="18" customHeight="1" x14ac:dyDescent="0.3">
      <c r="A90" s="233">
        <v>82</v>
      </c>
      <c r="B90" s="256"/>
      <c r="C90" s="257"/>
      <c r="D90" s="258"/>
      <c r="E90" s="266" t="s">
        <v>233</v>
      </c>
      <c r="F90" s="260"/>
      <c r="G90" s="260"/>
      <c r="H90" s="261"/>
      <c r="I90" s="267">
        <f>SUM(J90:Q90)</f>
        <v>389169</v>
      </c>
      <c r="J90" s="268">
        <f>SUM(J88:J89)</f>
        <v>68556</v>
      </c>
      <c r="K90" s="268">
        <f>SUM(K88:K89)</f>
        <v>6501</v>
      </c>
      <c r="L90" s="268">
        <f>SUM(L88:L89)</f>
        <v>31319</v>
      </c>
      <c r="M90" s="268"/>
      <c r="N90" s="268">
        <f>SUM(N88:N89)</f>
        <v>250</v>
      </c>
      <c r="O90" s="268"/>
      <c r="P90" s="268">
        <f>SUM(P88:P89)</f>
        <v>28813</v>
      </c>
      <c r="Q90" s="268">
        <f>SUM(Q88:Q89)</f>
        <v>253730</v>
      </c>
      <c r="R90" s="269">
        <f>SUM(R88:R89)</f>
        <v>63384</v>
      </c>
    </row>
    <row r="91" spans="1:19" s="330" customFormat="1" ht="18" customHeight="1" x14ac:dyDescent="0.3">
      <c r="A91" s="233">
        <v>83</v>
      </c>
      <c r="B91" s="248"/>
      <c r="C91" s="249">
        <v>2</v>
      </c>
      <c r="D91" s="274" t="s">
        <v>260</v>
      </c>
      <c r="E91" s="251"/>
      <c r="F91" s="252">
        <v>7512</v>
      </c>
      <c r="G91" s="252"/>
      <c r="H91" s="253"/>
      <c r="I91" s="254"/>
      <c r="J91" s="252"/>
      <c r="K91" s="252"/>
      <c r="L91" s="252"/>
      <c r="M91" s="252"/>
      <c r="N91" s="252"/>
      <c r="O91" s="252"/>
      <c r="P91" s="252"/>
      <c r="Q91" s="252"/>
      <c r="R91" s="255"/>
      <c r="S91" s="236"/>
    </row>
    <row r="92" spans="1:19" s="277" customFormat="1" ht="22.5" customHeight="1" x14ac:dyDescent="0.3">
      <c r="A92" s="233">
        <v>84</v>
      </c>
      <c r="B92" s="248">
        <v>12</v>
      </c>
      <c r="C92" s="249"/>
      <c r="D92" s="285" t="s">
        <v>10</v>
      </c>
      <c r="E92" s="345"/>
      <c r="F92" s="252">
        <v>602096</v>
      </c>
      <c r="G92" s="252">
        <v>618266</v>
      </c>
      <c r="H92" s="253">
        <v>719597</v>
      </c>
      <c r="I92" s="254"/>
      <c r="J92" s="252"/>
      <c r="K92" s="252"/>
      <c r="L92" s="252"/>
      <c r="M92" s="252"/>
      <c r="N92" s="252"/>
      <c r="O92" s="252"/>
      <c r="P92" s="252"/>
      <c r="Q92" s="252"/>
      <c r="R92" s="255"/>
    </row>
    <row r="93" spans="1:19" s="286" customFormat="1" ht="18" customHeight="1" x14ac:dyDescent="0.3">
      <c r="A93" s="233">
        <v>85</v>
      </c>
      <c r="B93" s="256"/>
      <c r="C93" s="257"/>
      <c r="D93" s="258"/>
      <c r="E93" s="259" t="s">
        <v>230</v>
      </c>
      <c r="F93" s="260"/>
      <c r="G93" s="260"/>
      <c r="H93" s="261"/>
      <c r="I93" s="262">
        <f>SUM(J93:Q93)</f>
        <v>671116</v>
      </c>
      <c r="J93" s="260">
        <v>50272</v>
      </c>
      <c r="K93" s="260"/>
      <c r="L93" s="260">
        <v>3816</v>
      </c>
      <c r="M93" s="260"/>
      <c r="N93" s="260"/>
      <c r="O93" s="260"/>
      <c r="P93" s="260">
        <f>10700+12632</f>
        <v>23332</v>
      </c>
      <c r="Q93" s="260">
        <v>593696</v>
      </c>
      <c r="R93" s="263">
        <v>327956</v>
      </c>
    </row>
    <row r="94" spans="1:19" s="286" customFormat="1" ht="18" customHeight="1" x14ac:dyDescent="0.3">
      <c r="A94" s="233">
        <v>86</v>
      </c>
      <c r="B94" s="256"/>
      <c r="C94" s="257"/>
      <c r="D94" s="258"/>
      <c r="E94" s="266" t="s">
        <v>231</v>
      </c>
      <c r="F94" s="260"/>
      <c r="G94" s="260"/>
      <c r="H94" s="261"/>
      <c r="I94" s="267">
        <f>SUM(J94:Q94)</f>
        <v>741652</v>
      </c>
      <c r="J94" s="268">
        <v>53272</v>
      </c>
      <c r="K94" s="268">
        <v>71</v>
      </c>
      <c r="L94" s="268">
        <v>3916</v>
      </c>
      <c r="M94" s="268"/>
      <c r="N94" s="268">
        <v>234</v>
      </c>
      <c r="O94" s="268">
        <v>3100</v>
      </c>
      <c r="P94" s="268">
        <v>73081</v>
      </c>
      <c r="Q94" s="268">
        <v>607978</v>
      </c>
      <c r="R94" s="269">
        <v>333679</v>
      </c>
    </row>
    <row r="95" spans="1:19" s="286" customFormat="1" ht="18" customHeight="1" x14ac:dyDescent="0.3">
      <c r="A95" s="233">
        <v>87</v>
      </c>
      <c r="B95" s="256"/>
      <c r="C95" s="257"/>
      <c r="D95" s="258"/>
      <c r="E95" s="270" t="s">
        <v>261</v>
      </c>
      <c r="F95" s="260"/>
      <c r="G95" s="260"/>
      <c r="H95" s="261"/>
      <c r="I95" s="271">
        <f>SUM(J95:Q95)</f>
        <v>3000</v>
      </c>
      <c r="J95" s="272"/>
      <c r="K95" s="272">
        <v>3000</v>
      </c>
      <c r="L95" s="272"/>
      <c r="M95" s="272"/>
      <c r="N95" s="272"/>
      <c r="O95" s="272"/>
      <c r="P95" s="272"/>
      <c r="Q95" s="272"/>
      <c r="R95" s="263"/>
    </row>
    <row r="96" spans="1:19" s="286" customFormat="1" ht="18" customHeight="1" x14ac:dyDescent="0.3">
      <c r="A96" s="233">
        <v>88</v>
      </c>
      <c r="B96" s="256"/>
      <c r="C96" s="257"/>
      <c r="D96" s="258"/>
      <c r="E96" s="284" t="s">
        <v>262</v>
      </c>
      <c r="F96" s="260"/>
      <c r="G96" s="260"/>
      <c r="H96" s="261"/>
      <c r="I96" s="271">
        <f>SUM(J96:Q96)</f>
        <v>3597</v>
      </c>
      <c r="J96" s="272"/>
      <c r="K96" s="272"/>
      <c r="L96" s="272">
        <v>3795</v>
      </c>
      <c r="M96" s="272"/>
      <c r="N96" s="272"/>
      <c r="O96" s="272">
        <v>-198</v>
      </c>
      <c r="P96" s="272"/>
      <c r="Q96" s="272"/>
      <c r="R96" s="263"/>
    </row>
    <row r="97" spans="1:19" s="286" customFormat="1" ht="18" customHeight="1" x14ac:dyDescent="0.3">
      <c r="A97" s="233">
        <v>89</v>
      </c>
      <c r="B97" s="256"/>
      <c r="C97" s="257"/>
      <c r="D97" s="258"/>
      <c r="E97" s="266" t="s">
        <v>233</v>
      </c>
      <c r="F97" s="260"/>
      <c r="G97" s="260"/>
      <c r="H97" s="261"/>
      <c r="I97" s="267">
        <f>SUM(J97:Q97)</f>
        <v>748249</v>
      </c>
      <c r="J97" s="268">
        <f>SUM(J94:J96)</f>
        <v>53272</v>
      </c>
      <c r="K97" s="268">
        <f>SUM(K94:K96)</f>
        <v>3071</v>
      </c>
      <c r="L97" s="268">
        <f>SUM(L94:L96)</f>
        <v>7711</v>
      </c>
      <c r="M97" s="268"/>
      <c r="N97" s="268">
        <f>SUM(N94:N96)</f>
        <v>234</v>
      </c>
      <c r="O97" s="268">
        <f>SUM(O94:O96)</f>
        <v>2902</v>
      </c>
      <c r="P97" s="268">
        <f>SUM(P94:P96)</f>
        <v>73081</v>
      </c>
      <c r="Q97" s="268">
        <f>SUM(Q94:Q96)</f>
        <v>607978</v>
      </c>
      <c r="R97" s="273">
        <f>SUM(R94:R96)</f>
        <v>333679</v>
      </c>
    </row>
    <row r="98" spans="1:19" s="277" customFormat="1" ht="30" customHeight="1" x14ac:dyDescent="0.3">
      <c r="A98" s="233">
        <v>90</v>
      </c>
      <c r="B98" s="278"/>
      <c r="C98" s="329">
        <v>2</v>
      </c>
      <c r="D98" s="1934" t="s">
        <v>257</v>
      </c>
      <c r="E98" s="1934"/>
      <c r="F98" s="252">
        <v>13578</v>
      </c>
      <c r="G98" s="252">
        <v>15126</v>
      </c>
      <c r="H98" s="253">
        <v>24753</v>
      </c>
      <c r="I98" s="254"/>
      <c r="J98" s="252"/>
      <c r="K98" s="252"/>
      <c r="L98" s="252"/>
      <c r="M98" s="252"/>
      <c r="N98" s="252"/>
      <c r="O98" s="252"/>
      <c r="P98" s="252"/>
      <c r="Q98" s="252"/>
      <c r="R98" s="255"/>
    </row>
    <row r="99" spans="1:19" s="277" customFormat="1" ht="22.5" customHeight="1" x14ac:dyDescent="0.3">
      <c r="A99" s="233">
        <v>91</v>
      </c>
      <c r="B99" s="248">
        <v>13</v>
      </c>
      <c r="C99" s="249"/>
      <c r="D99" s="285" t="s">
        <v>52</v>
      </c>
      <c r="E99" s="345"/>
      <c r="F99" s="252">
        <v>520566</v>
      </c>
      <c r="G99" s="252">
        <v>469102</v>
      </c>
      <c r="H99" s="253">
        <v>743638</v>
      </c>
      <c r="I99" s="254"/>
      <c r="J99" s="252"/>
      <c r="K99" s="252"/>
      <c r="L99" s="252"/>
      <c r="M99" s="252"/>
      <c r="N99" s="252"/>
      <c r="O99" s="252"/>
      <c r="P99" s="252"/>
      <c r="Q99" s="252"/>
      <c r="R99" s="255"/>
    </row>
    <row r="100" spans="1:19" s="286" customFormat="1" ht="18" customHeight="1" x14ac:dyDescent="0.3">
      <c r="A100" s="233">
        <v>92</v>
      </c>
      <c r="B100" s="256"/>
      <c r="C100" s="257"/>
      <c r="D100" s="258"/>
      <c r="E100" s="259" t="s">
        <v>230</v>
      </c>
      <c r="F100" s="260"/>
      <c r="G100" s="260"/>
      <c r="H100" s="261"/>
      <c r="I100" s="262">
        <f t="shared" ref="I100:I105" si="11">SUM(J100:Q100)</f>
        <v>689496</v>
      </c>
      <c r="J100" s="260">
        <f>94504+47383</f>
        <v>141887</v>
      </c>
      <c r="K100" s="260"/>
      <c r="L100" s="260">
        <f>63161-23994</f>
        <v>39167</v>
      </c>
      <c r="M100" s="260"/>
      <c r="N100" s="260"/>
      <c r="O100" s="260">
        <v>23994</v>
      </c>
      <c r="P100" s="260">
        <f>9400+122797</f>
        <v>132197</v>
      </c>
      <c r="Q100" s="260">
        <v>352251</v>
      </c>
      <c r="R100" s="263">
        <v>159352</v>
      </c>
    </row>
    <row r="101" spans="1:19" s="286" customFormat="1" ht="18" customHeight="1" x14ac:dyDescent="0.3">
      <c r="A101" s="233">
        <v>93</v>
      </c>
      <c r="B101" s="256"/>
      <c r="C101" s="257"/>
      <c r="D101" s="258"/>
      <c r="E101" s="266" t="s">
        <v>231</v>
      </c>
      <c r="F101" s="260"/>
      <c r="G101" s="260"/>
      <c r="H101" s="261"/>
      <c r="I101" s="267">
        <f t="shared" si="11"/>
        <v>855275</v>
      </c>
      <c r="J101" s="268">
        <v>219904</v>
      </c>
      <c r="K101" s="268">
        <v>5203</v>
      </c>
      <c r="L101" s="268">
        <v>36173</v>
      </c>
      <c r="M101" s="268"/>
      <c r="N101" s="268">
        <v>700</v>
      </c>
      <c r="O101" s="268">
        <v>23994</v>
      </c>
      <c r="P101" s="268">
        <v>197931</v>
      </c>
      <c r="Q101" s="268">
        <v>371370</v>
      </c>
      <c r="R101" s="269">
        <v>159352</v>
      </c>
    </row>
    <row r="102" spans="1:19" s="286" customFormat="1" ht="18" customHeight="1" x14ac:dyDescent="0.3">
      <c r="A102" s="233">
        <v>94</v>
      </c>
      <c r="B102" s="256"/>
      <c r="C102" s="257"/>
      <c r="D102" s="258"/>
      <c r="E102" s="270" t="s">
        <v>263</v>
      </c>
      <c r="F102" s="260"/>
      <c r="G102" s="260"/>
      <c r="H102" s="261"/>
      <c r="I102" s="271">
        <f t="shared" si="11"/>
        <v>239</v>
      </c>
      <c r="J102" s="272">
        <v>239</v>
      </c>
      <c r="K102" s="260"/>
      <c r="L102" s="260"/>
      <c r="M102" s="260"/>
      <c r="N102" s="260"/>
      <c r="O102" s="260"/>
      <c r="P102" s="272"/>
      <c r="Q102" s="272"/>
      <c r="R102" s="263"/>
    </row>
    <row r="103" spans="1:19" s="286" customFormat="1" ht="18" customHeight="1" x14ac:dyDescent="0.3">
      <c r="A103" s="233">
        <v>95</v>
      </c>
      <c r="B103" s="256"/>
      <c r="C103" s="257"/>
      <c r="D103" s="258"/>
      <c r="E103" s="284" t="s">
        <v>264</v>
      </c>
      <c r="F103" s="260"/>
      <c r="G103" s="260"/>
      <c r="H103" s="261"/>
      <c r="I103" s="271">
        <f t="shared" si="11"/>
        <v>386</v>
      </c>
      <c r="J103" s="272"/>
      <c r="K103" s="272">
        <v>386</v>
      </c>
      <c r="L103" s="272"/>
      <c r="M103" s="272"/>
      <c r="N103" s="272"/>
      <c r="O103" s="272"/>
      <c r="P103" s="272"/>
      <c r="Q103" s="272"/>
      <c r="R103" s="255"/>
    </row>
    <row r="104" spans="1:19" s="286" customFormat="1" ht="18" customHeight="1" x14ac:dyDescent="0.3">
      <c r="A104" s="233">
        <v>96</v>
      </c>
      <c r="B104" s="256"/>
      <c r="C104" s="257"/>
      <c r="D104" s="258"/>
      <c r="E104" s="284" t="s">
        <v>265</v>
      </c>
      <c r="F104" s="260"/>
      <c r="G104" s="260"/>
      <c r="H104" s="261"/>
      <c r="I104" s="271">
        <f t="shared" si="11"/>
        <v>500</v>
      </c>
      <c r="J104" s="272"/>
      <c r="K104" s="272"/>
      <c r="L104" s="272">
        <v>500</v>
      </c>
      <c r="M104" s="272"/>
      <c r="N104" s="272"/>
      <c r="O104" s="272"/>
      <c r="P104" s="272"/>
      <c r="Q104" s="272"/>
      <c r="R104" s="255"/>
    </row>
    <row r="105" spans="1:19" s="286" customFormat="1" ht="18" customHeight="1" x14ac:dyDescent="0.3">
      <c r="A105" s="233">
        <v>97</v>
      </c>
      <c r="B105" s="256"/>
      <c r="C105" s="257"/>
      <c r="D105" s="258"/>
      <c r="E105" s="266" t="s">
        <v>233</v>
      </c>
      <c r="F105" s="260"/>
      <c r="G105" s="260"/>
      <c r="H105" s="261"/>
      <c r="I105" s="267">
        <f t="shared" si="11"/>
        <v>856400</v>
      </c>
      <c r="J105" s="268">
        <f>SUM(J101:J104)</f>
        <v>220143</v>
      </c>
      <c r="K105" s="268">
        <f>SUM(K101:K104)</f>
        <v>5589</v>
      </c>
      <c r="L105" s="268">
        <f>SUM(L101:L104)</f>
        <v>36673</v>
      </c>
      <c r="M105" s="268"/>
      <c r="N105" s="268">
        <f>SUM(N101:N104)</f>
        <v>700</v>
      </c>
      <c r="O105" s="268">
        <f>SUM(O101:O104)</f>
        <v>23994</v>
      </c>
      <c r="P105" s="268">
        <f>SUM(P101:P104)</f>
        <v>197931</v>
      </c>
      <c r="Q105" s="268">
        <f>SUM(Q101:Q104)</f>
        <v>371370</v>
      </c>
      <c r="R105" s="273">
        <f>SUM(R101:R104)</f>
        <v>159352</v>
      </c>
    </row>
    <row r="106" spans="1:19" s="330" customFormat="1" ht="18" customHeight="1" x14ac:dyDescent="0.3">
      <c r="A106" s="233">
        <v>98</v>
      </c>
      <c r="B106" s="248"/>
      <c r="C106" s="249">
        <v>1</v>
      </c>
      <c r="D106" s="274" t="s">
        <v>266</v>
      </c>
      <c r="E106" s="251"/>
      <c r="F106" s="252">
        <v>8944</v>
      </c>
      <c r="G106" s="252">
        <v>8944</v>
      </c>
      <c r="H106" s="253">
        <v>8944</v>
      </c>
      <c r="I106" s="254"/>
      <c r="J106" s="252"/>
      <c r="K106" s="252"/>
      <c r="L106" s="252"/>
      <c r="M106" s="252"/>
      <c r="N106" s="252"/>
      <c r="O106" s="252"/>
      <c r="P106" s="252"/>
      <c r="Q106" s="252"/>
      <c r="R106" s="255"/>
      <c r="S106" s="236"/>
    </row>
    <row r="107" spans="1:19" s="330" customFormat="1" ht="30" customHeight="1" x14ac:dyDescent="0.3">
      <c r="A107" s="233">
        <v>99</v>
      </c>
      <c r="B107" s="248"/>
      <c r="C107" s="329">
        <v>2</v>
      </c>
      <c r="D107" s="1934" t="s">
        <v>267</v>
      </c>
      <c r="E107" s="1934"/>
      <c r="F107" s="252">
        <v>25000</v>
      </c>
      <c r="G107" s="252">
        <v>2350</v>
      </c>
      <c r="H107" s="253">
        <v>2350</v>
      </c>
      <c r="I107" s="254"/>
      <c r="J107" s="252"/>
      <c r="K107" s="252"/>
      <c r="L107" s="252"/>
      <c r="M107" s="252"/>
      <c r="N107" s="252"/>
      <c r="O107" s="252"/>
      <c r="P107" s="252"/>
      <c r="Q107" s="252"/>
      <c r="R107" s="255"/>
      <c r="S107" s="236"/>
    </row>
    <row r="108" spans="1:19" s="330" customFormat="1" ht="18" customHeight="1" x14ac:dyDescent="0.3">
      <c r="A108" s="233">
        <v>100</v>
      </c>
      <c r="B108" s="248"/>
      <c r="C108" s="249">
        <v>3</v>
      </c>
      <c r="D108" s="1935" t="s">
        <v>268</v>
      </c>
      <c r="E108" s="1935"/>
      <c r="F108" s="252"/>
      <c r="G108" s="252">
        <v>4000</v>
      </c>
      <c r="H108" s="253">
        <v>6250</v>
      </c>
      <c r="I108" s="254"/>
      <c r="J108" s="252"/>
      <c r="K108" s="252"/>
      <c r="L108" s="252"/>
      <c r="M108" s="252"/>
      <c r="N108" s="252"/>
      <c r="O108" s="252"/>
      <c r="P108" s="252"/>
      <c r="Q108" s="252"/>
      <c r="R108" s="255"/>
      <c r="S108" s="236"/>
    </row>
    <row r="109" spans="1:19" s="277" customFormat="1" ht="22.5" customHeight="1" x14ac:dyDescent="0.3">
      <c r="A109" s="233">
        <v>101</v>
      </c>
      <c r="B109" s="248">
        <v>14</v>
      </c>
      <c r="C109" s="249"/>
      <c r="D109" s="285" t="s">
        <v>53</v>
      </c>
      <c r="E109" s="285"/>
      <c r="F109" s="252">
        <v>233714</v>
      </c>
      <c r="G109" s="252">
        <v>231644</v>
      </c>
      <c r="H109" s="253">
        <v>414902</v>
      </c>
      <c r="I109" s="254"/>
      <c r="J109" s="252"/>
      <c r="K109" s="252"/>
      <c r="L109" s="252"/>
      <c r="M109" s="252"/>
      <c r="N109" s="252"/>
      <c r="O109" s="252"/>
      <c r="P109" s="252"/>
      <c r="Q109" s="252"/>
      <c r="R109" s="255"/>
    </row>
    <row r="110" spans="1:19" s="286" customFormat="1" ht="18" customHeight="1" x14ac:dyDescent="0.3">
      <c r="A110" s="233">
        <v>102</v>
      </c>
      <c r="B110" s="256"/>
      <c r="C110" s="257"/>
      <c r="D110" s="258"/>
      <c r="E110" s="259" t="s">
        <v>230</v>
      </c>
      <c r="F110" s="260"/>
      <c r="G110" s="260"/>
      <c r="H110" s="261"/>
      <c r="I110" s="262">
        <f>SUM(J110:Q110)</f>
        <v>265743</v>
      </c>
      <c r="J110" s="260">
        <v>49800</v>
      </c>
      <c r="K110" s="260"/>
      <c r="L110" s="260"/>
      <c r="M110" s="260"/>
      <c r="N110" s="260"/>
      <c r="O110" s="260"/>
      <c r="P110" s="260">
        <v>17210</v>
      </c>
      <c r="Q110" s="260">
        <v>198733</v>
      </c>
      <c r="R110" s="263">
        <v>79619</v>
      </c>
    </row>
    <row r="111" spans="1:19" s="286" customFormat="1" ht="18" customHeight="1" x14ac:dyDescent="0.3">
      <c r="A111" s="233">
        <v>103</v>
      </c>
      <c r="B111" s="256"/>
      <c r="C111" s="257"/>
      <c r="D111" s="258"/>
      <c r="E111" s="266" t="s">
        <v>231</v>
      </c>
      <c r="F111" s="260"/>
      <c r="G111" s="260"/>
      <c r="H111" s="261"/>
      <c r="I111" s="267">
        <f>SUM(J111:Q111)</f>
        <v>322187</v>
      </c>
      <c r="J111" s="268">
        <v>55800</v>
      </c>
      <c r="K111" s="268">
        <v>1700</v>
      </c>
      <c r="L111" s="268">
        <v>11255</v>
      </c>
      <c r="M111" s="268"/>
      <c r="N111" s="268"/>
      <c r="O111" s="268"/>
      <c r="P111" s="268">
        <v>18072</v>
      </c>
      <c r="Q111" s="268">
        <v>235360</v>
      </c>
      <c r="R111" s="269">
        <v>79619</v>
      </c>
    </row>
    <row r="112" spans="1:19" s="286" customFormat="1" ht="18" customHeight="1" x14ac:dyDescent="0.3">
      <c r="A112" s="233">
        <v>104</v>
      </c>
      <c r="B112" s="256"/>
      <c r="C112" s="257"/>
      <c r="D112" s="258"/>
      <c r="E112" s="270" t="s">
        <v>269</v>
      </c>
      <c r="F112" s="260"/>
      <c r="G112" s="260"/>
      <c r="H112" s="261"/>
      <c r="I112" s="271">
        <f>SUM(J112:Q112)</f>
        <v>18000</v>
      </c>
      <c r="J112" s="272">
        <v>18000</v>
      </c>
      <c r="K112" s="272"/>
      <c r="L112" s="272"/>
      <c r="M112" s="260"/>
      <c r="N112" s="260"/>
      <c r="O112" s="260"/>
      <c r="P112" s="272"/>
      <c r="Q112" s="272"/>
      <c r="R112" s="263"/>
    </row>
    <row r="113" spans="1:19" s="286" customFormat="1" ht="18" customHeight="1" x14ac:dyDescent="0.3">
      <c r="A113" s="233">
        <v>105</v>
      </c>
      <c r="B113" s="256"/>
      <c r="C113" s="257"/>
      <c r="D113" s="258"/>
      <c r="E113" s="284" t="s">
        <v>270</v>
      </c>
      <c r="F113" s="260"/>
      <c r="G113" s="260"/>
      <c r="H113" s="261"/>
      <c r="I113" s="271">
        <f>SUM(J113:Q113)</f>
        <v>197</v>
      </c>
      <c r="J113" s="272"/>
      <c r="K113" s="272"/>
      <c r="L113" s="272"/>
      <c r="M113" s="272">
        <v>197</v>
      </c>
      <c r="N113" s="260"/>
      <c r="O113" s="260"/>
      <c r="P113" s="272"/>
      <c r="Q113" s="272"/>
      <c r="R113" s="263"/>
    </row>
    <row r="114" spans="1:19" s="286" customFormat="1" ht="18" customHeight="1" x14ac:dyDescent="0.3">
      <c r="A114" s="233">
        <v>106</v>
      </c>
      <c r="B114" s="256"/>
      <c r="C114" s="257"/>
      <c r="D114" s="258"/>
      <c r="E114" s="266" t="s">
        <v>233</v>
      </c>
      <c r="F114" s="260"/>
      <c r="G114" s="260"/>
      <c r="H114" s="261"/>
      <c r="I114" s="267">
        <f>SUM(J114:Q114)</f>
        <v>340384</v>
      </c>
      <c r="J114" s="268">
        <f>SUM(J111:J113)</f>
        <v>73800</v>
      </c>
      <c r="K114" s="268">
        <f>SUM(K111:K113)</f>
        <v>1700</v>
      </c>
      <c r="L114" s="268">
        <f>SUM(L111:L113)</f>
        <v>11255</v>
      </c>
      <c r="M114" s="268">
        <f>SUM(M111:M113)</f>
        <v>197</v>
      </c>
      <c r="N114" s="268"/>
      <c r="O114" s="268"/>
      <c r="P114" s="268">
        <f>SUM(P111:P113)</f>
        <v>18072</v>
      </c>
      <c r="Q114" s="268">
        <f>SUM(Q111:Q113)</f>
        <v>235360</v>
      </c>
      <c r="R114" s="273">
        <f>SUM(R111:R113)</f>
        <v>79619</v>
      </c>
    </row>
    <row r="115" spans="1:19" s="232" customFormat="1" ht="18" customHeight="1" x14ac:dyDescent="0.3">
      <c r="A115" s="233">
        <v>107</v>
      </c>
      <c r="B115" s="347"/>
      <c r="C115" s="249">
        <v>1</v>
      </c>
      <c r="D115" s="251" t="s">
        <v>271</v>
      </c>
      <c r="E115" s="251"/>
      <c r="F115" s="252">
        <v>623</v>
      </c>
      <c r="G115" s="252"/>
      <c r="H115" s="253"/>
      <c r="I115" s="254"/>
      <c r="J115" s="252"/>
      <c r="K115" s="252"/>
      <c r="L115" s="252"/>
      <c r="M115" s="252"/>
      <c r="N115" s="252"/>
      <c r="O115" s="252"/>
      <c r="P115" s="252"/>
      <c r="Q115" s="252"/>
      <c r="R115" s="255"/>
      <c r="S115" s="237"/>
    </row>
    <row r="116" spans="1:19" s="330" customFormat="1" ht="18" customHeight="1" x14ac:dyDescent="0.3">
      <c r="A116" s="233">
        <v>108</v>
      </c>
      <c r="B116" s="248"/>
      <c r="C116" s="249">
        <v>2</v>
      </c>
      <c r="D116" s="274" t="s">
        <v>266</v>
      </c>
      <c r="E116" s="251"/>
      <c r="F116" s="252">
        <v>2874</v>
      </c>
      <c r="G116" s="252"/>
      <c r="H116" s="253"/>
      <c r="I116" s="254"/>
      <c r="J116" s="252"/>
      <c r="K116" s="252"/>
      <c r="L116" s="252"/>
      <c r="M116" s="252"/>
      <c r="N116" s="252"/>
      <c r="O116" s="252"/>
      <c r="P116" s="252"/>
      <c r="Q116" s="252"/>
      <c r="R116" s="255"/>
      <c r="S116" s="236"/>
    </row>
    <row r="117" spans="1:19" s="330" customFormat="1" ht="30" customHeight="1" x14ac:dyDescent="0.3">
      <c r="A117" s="233">
        <v>109</v>
      </c>
      <c r="B117" s="248"/>
      <c r="C117" s="329">
        <v>3</v>
      </c>
      <c r="D117" s="1934" t="s">
        <v>272</v>
      </c>
      <c r="E117" s="1934"/>
      <c r="F117" s="252">
        <v>5204</v>
      </c>
      <c r="G117" s="252"/>
      <c r="H117" s="253"/>
      <c r="I117" s="254"/>
      <c r="J117" s="252"/>
      <c r="K117" s="252"/>
      <c r="L117" s="252"/>
      <c r="M117" s="252"/>
      <c r="N117" s="252"/>
      <c r="O117" s="252"/>
      <c r="P117" s="252"/>
      <c r="Q117" s="252"/>
      <c r="R117" s="255"/>
      <c r="S117" s="236"/>
    </row>
    <row r="118" spans="1:19" s="275" customFormat="1" ht="22.5" customHeight="1" x14ac:dyDescent="0.3">
      <c r="A118" s="233">
        <v>110</v>
      </c>
      <c r="B118" s="248">
        <v>15</v>
      </c>
      <c r="C118" s="249"/>
      <c r="D118" s="285" t="s">
        <v>54</v>
      </c>
      <c r="E118" s="345"/>
      <c r="F118" s="252">
        <v>1328135</v>
      </c>
      <c r="G118" s="252">
        <v>961735</v>
      </c>
      <c r="H118" s="253">
        <v>1371608</v>
      </c>
      <c r="I118" s="254"/>
      <c r="J118" s="252"/>
      <c r="K118" s="252"/>
      <c r="L118" s="252"/>
      <c r="M118" s="252"/>
      <c r="N118" s="252"/>
      <c r="O118" s="252"/>
      <c r="P118" s="252"/>
      <c r="Q118" s="252"/>
      <c r="R118" s="255"/>
    </row>
    <row r="119" spans="1:19" s="276" customFormat="1" ht="18" customHeight="1" x14ac:dyDescent="0.3">
      <c r="A119" s="233">
        <v>111</v>
      </c>
      <c r="B119" s="256"/>
      <c r="C119" s="302"/>
      <c r="D119" s="303"/>
      <c r="E119" s="259" t="s">
        <v>230</v>
      </c>
      <c r="F119" s="305"/>
      <c r="G119" s="305"/>
      <c r="H119" s="306"/>
      <c r="I119" s="307">
        <f>SUM(J119:Q119)</f>
        <v>950477</v>
      </c>
      <c r="J119" s="305">
        <v>210554</v>
      </c>
      <c r="K119" s="305">
        <v>31000</v>
      </c>
      <c r="L119" s="305"/>
      <c r="M119" s="305"/>
      <c r="N119" s="305"/>
      <c r="O119" s="305"/>
      <c r="P119" s="305"/>
      <c r="Q119" s="305">
        <v>708923</v>
      </c>
      <c r="R119" s="308">
        <v>436728</v>
      </c>
    </row>
    <row r="120" spans="1:19" s="276" customFormat="1" ht="18" customHeight="1" x14ac:dyDescent="0.3">
      <c r="A120" s="233">
        <v>112</v>
      </c>
      <c r="B120" s="256"/>
      <c r="C120" s="302"/>
      <c r="D120" s="303"/>
      <c r="E120" s="266" t="s">
        <v>231</v>
      </c>
      <c r="F120" s="305"/>
      <c r="G120" s="305"/>
      <c r="H120" s="306"/>
      <c r="I120" s="310">
        <f>SUM(J120:Q120)</f>
        <v>1247172</v>
      </c>
      <c r="J120" s="311">
        <v>292554</v>
      </c>
      <c r="K120" s="311">
        <v>31000</v>
      </c>
      <c r="L120" s="311">
        <v>17875</v>
      </c>
      <c r="M120" s="311"/>
      <c r="N120" s="311"/>
      <c r="O120" s="311"/>
      <c r="P120" s="311">
        <v>153581</v>
      </c>
      <c r="Q120" s="311">
        <v>752162</v>
      </c>
      <c r="R120" s="312">
        <v>436728</v>
      </c>
    </row>
    <row r="121" spans="1:19" s="276" customFormat="1" ht="18" customHeight="1" x14ac:dyDescent="0.3">
      <c r="A121" s="233">
        <v>113</v>
      </c>
      <c r="B121" s="256"/>
      <c r="C121" s="257"/>
      <c r="D121" s="258"/>
      <c r="E121" s="270" t="s">
        <v>273</v>
      </c>
      <c r="F121" s="260"/>
      <c r="G121" s="260"/>
      <c r="H121" s="261"/>
      <c r="I121" s="271">
        <f>SUM(J121:Q121)</f>
        <v>36220</v>
      </c>
      <c r="J121" s="272">
        <v>15000</v>
      </c>
      <c r="K121" s="272">
        <v>19720</v>
      </c>
      <c r="L121" s="272"/>
      <c r="M121" s="260"/>
      <c r="N121" s="260"/>
      <c r="O121" s="260"/>
      <c r="P121" s="272"/>
      <c r="Q121" s="272">
        <v>1500</v>
      </c>
      <c r="R121" s="263"/>
    </row>
    <row r="122" spans="1:19" s="276" customFormat="1" ht="18" customHeight="1" x14ac:dyDescent="0.3">
      <c r="A122" s="233">
        <v>114</v>
      </c>
      <c r="B122" s="256"/>
      <c r="C122" s="313"/>
      <c r="D122" s="348"/>
      <c r="E122" s="266" t="s">
        <v>233</v>
      </c>
      <c r="F122" s="349"/>
      <c r="G122" s="349"/>
      <c r="H122" s="350"/>
      <c r="I122" s="351">
        <f>SUM(J122:Q122)</f>
        <v>1283392</v>
      </c>
      <c r="J122" s="352">
        <f>SUM(J120:J121)</f>
        <v>307554</v>
      </c>
      <c r="K122" s="352">
        <f>SUM(K120:K121)</f>
        <v>50720</v>
      </c>
      <c r="L122" s="352">
        <f>SUM(L120:L121)</f>
        <v>17875</v>
      </c>
      <c r="M122" s="352"/>
      <c r="N122" s="352"/>
      <c r="O122" s="352"/>
      <c r="P122" s="352">
        <f>SUM(P120:P121)</f>
        <v>153581</v>
      </c>
      <c r="Q122" s="352">
        <f>SUM(Q120:Q121)</f>
        <v>753662</v>
      </c>
      <c r="R122" s="353">
        <f>SUM(R120:R121)</f>
        <v>436728</v>
      </c>
    </row>
    <row r="123" spans="1:19" s="275" customFormat="1" ht="22.5" customHeight="1" x14ac:dyDescent="0.3">
      <c r="A123" s="233">
        <v>115</v>
      </c>
      <c r="B123" s="278"/>
      <c r="C123" s="1930" t="s">
        <v>274</v>
      </c>
      <c r="D123" s="1930"/>
      <c r="E123" s="1930"/>
      <c r="F123" s="297">
        <f>SUM(F77:F119)</f>
        <v>3769910</v>
      </c>
      <c r="G123" s="297">
        <f>SUM(G77:G119)</f>
        <v>3471828</v>
      </c>
      <c r="H123" s="298">
        <f>SUM(H77:H119)</f>
        <v>4610419</v>
      </c>
      <c r="I123" s="299"/>
      <c r="J123" s="297"/>
      <c r="K123" s="297"/>
      <c r="L123" s="297"/>
      <c r="M123" s="297"/>
      <c r="N123" s="297"/>
      <c r="O123" s="297"/>
      <c r="P123" s="297"/>
      <c r="Q123" s="297"/>
      <c r="R123" s="331"/>
    </row>
    <row r="124" spans="1:19" s="276" customFormat="1" ht="18" customHeight="1" x14ac:dyDescent="0.3">
      <c r="A124" s="233">
        <v>116</v>
      </c>
      <c r="B124" s="256"/>
      <c r="C124" s="302"/>
      <c r="D124" s="303"/>
      <c r="E124" s="259" t="s">
        <v>230</v>
      </c>
      <c r="F124" s="305"/>
      <c r="G124" s="305"/>
      <c r="H124" s="306"/>
      <c r="I124" s="307">
        <f t="shared" ref="I124:R124" si="12">SUM(I78,I87,I93,I100,I110,I119)</f>
        <v>3274331</v>
      </c>
      <c r="J124" s="305">
        <f t="shared" si="12"/>
        <v>531002</v>
      </c>
      <c r="K124" s="305">
        <f t="shared" si="12"/>
        <v>31000</v>
      </c>
      <c r="L124" s="305">
        <f t="shared" si="12"/>
        <v>42983</v>
      </c>
      <c r="M124" s="305">
        <f t="shared" si="12"/>
        <v>0</v>
      </c>
      <c r="N124" s="305">
        <f t="shared" si="12"/>
        <v>0</v>
      </c>
      <c r="O124" s="305">
        <f t="shared" si="12"/>
        <v>23994</v>
      </c>
      <c r="P124" s="305">
        <f t="shared" si="12"/>
        <v>258583</v>
      </c>
      <c r="Q124" s="305">
        <f t="shared" si="12"/>
        <v>2386769</v>
      </c>
      <c r="R124" s="308">
        <f t="shared" si="12"/>
        <v>1105748</v>
      </c>
    </row>
    <row r="125" spans="1:19" s="276" customFormat="1" ht="18" customHeight="1" x14ac:dyDescent="0.3">
      <c r="A125" s="233">
        <v>117</v>
      </c>
      <c r="B125" s="332"/>
      <c r="C125" s="302"/>
      <c r="D125" s="303"/>
      <c r="E125" s="266" t="s">
        <v>231</v>
      </c>
      <c r="F125" s="305"/>
      <c r="G125" s="305"/>
      <c r="H125" s="306"/>
      <c r="I125" s="310">
        <f t="shared" ref="I125:R125" si="13">SUM(I79,I88,I94,I101,I111,I120)</f>
        <v>4094965</v>
      </c>
      <c r="J125" s="311">
        <f t="shared" si="13"/>
        <v>741141</v>
      </c>
      <c r="K125" s="311">
        <f t="shared" si="13"/>
        <v>44175</v>
      </c>
      <c r="L125" s="311">
        <f t="shared" si="13"/>
        <v>98634</v>
      </c>
      <c r="M125" s="311">
        <f t="shared" si="13"/>
        <v>0</v>
      </c>
      <c r="N125" s="311">
        <f t="shared" si="13"/>
        <v>1184</v>
      </c>
      <c r="O125" s="311">
        <f t="shared" si="13"/>
        <v>27094</v>
      </c>
      <c r="P125" s="311">
        <f t="shared" si="13"/>
        <v>591618</v>
      </c>
      <c r="Q125" s="311">
        <f t="shared" si="13"/>
        <v>2591119</v>
      </c>
      <c r="R125" s="312">
        <f t="shared" si="13"/>
        <v>1141747</v>
      </c>
    </row>
    <row r="126" spans="1:19" s="276" customFormat="1" ht="18" customHeight="1" x14ac:dyDescent="0.3">
      <c r="A126" s="233">
        <v>118</v>
      </c>
      <c r="B126" s="332"/>
      <c r="C126" s="257"/>
      <c r="D126" s="258"/>
      <c r="E126" s="270" t="s">
        <v>232</v>
      </c>
      <c r="F126" s="260"/>
      <c r="G126" s="260"/>
      <c r="H126" s="261"/>
      <c r="I126" s="271">
        <f>SUM(J126:Q126)</f>
        <v>71092</v>
      </c>
      <c r="J126" s="272">
        <f t="shared" ref="J126:R126" si="14">J121+J112+J102+J95+J89+J103+J80+J104+J81+J96+J113+J82</f>
        <v>45339</v>
      </c>
      <c r="K126" s="272">
        <f t="shared" si="14"/>
        <v>24106</v>
      </c>
      <c r="L126" s="272">
        <f t="shared" si="14"/>
        <v>6214</v>
      </c>
      <c r="M126" s="272">
        <f t="shared" si="14"/>
        <v>197</v>
      </c>
      <c r="N126" s="272">
        <f t="shared" si="14"/>
        <v>0</v>
      </c>
      <c r="O126" s="272">
        <f t="shared" si="14"/>
        <v>-198</v>
      </c>
      <c r="P126" s="272">
        <f t="shared" si="14"/>
        <v>0</v>
      </c>
      <c r="Q126" s="272">
        <f t="shared" si="14"/>
        <v>-4566</v>
      </c>
      <c r="R126" s="255">
        <f t="shared" si="14"/>
        <v>0</v>
      </c>
    </row>
    <row r="127" spans="1:19" s="276" customFormat="1" ht="18" customHeight="1" x14ac:dyDescent="0.3">
      <c r="A127" s="233">
        <v>119</v>
      </c>
      <c r="B127" s="332"/>
      <c r="C127" s="296"/>
      <c r="D127" s="354"/>
      <c r="E127" s="336" t="s">
        <v>233</v>
      </c>
      <c r="F127" s="337"/>
      <c r="G127" s="337"/>
      <c r="H127" s="338"/>
      <c r="I127" s="318">
        <f>SUM(J127:Q127)</f>
        <v>4166057</v>
      </c>
      <c r="J127" s="339">
        <f t="shared" ref="J127:R127" si="15">SUM(J125:J126)</f>
        <v>786480</v>
      </c>
      <c r="K127" s="339">
        <f t="shared" si="15"/>
        <v>68281</v>
      </c>
      <c r="L127" s="339">
        <f t="shared" si="15"/>
        <v>104848</v>
      </c>
      <c r="M127" s="339">
        <f t="shared" si="15"/>
        <v>197</v>
      </c>
      <c r="N127" s="339">
        <f t="shared" si="15"/>
        <v>1184</v>
      </c>
      <c r="O127" s="339">
        <f t="shared" si="15"/>
        <v>26896</v>
      </c>
      <c r="P127" s="339">
        <f t="shared" si="15"/>
        <v>591618</v>
      </c>
      <c r="Q127" s="339">
        <f t="shared" si="15"/>
        <v>2586553</v>
      </c>
      <c r="R127" s="340">
        <f t="shared" si="15"/>
        <v>1141747</v>
      </c>
    </row>
    <row r="128" spans="1:19" ht="22.5" customHeight="1" x14ac:dyDescent="0.3">
      <c r="A128" s="233">
        <v>120</v>
      </c>
      <c r="B128" s="240">
        <v>16</v>
      </c>
      <c r="C128" s="241"/>
      <c r="D128" s="341" t="s">
        <v>55</v>
      </c>
      <c r="E128" s="341"/>
      <c r="F128" s="244">
        <v>1598773</v>
      </c>
      <c r="G128" s="244">
        <v>1425063</v>
      </c>
      <c r="H128" s="245">
        <v>1728283</v>
      </c>
      <c r="I128" s="246"/>
      <c r="J128" s="244"/>
      <c r="K128" s="244"/>
      <c r="L128" s="244"/>
      <c r="M128" s="244"/>
      <c r="N128" s="244"/>
      <c r="O128" s="244"/>
      <c r="P128" s="244"/>
      <c r="Q128" s="244"/>
      <c r="R128" s="247"/>
      <c r="S128" s="236"/>
    </row>
    <row r="129" spans="1:19" s="356" customFormat="1" ht="18" customHeight="1" x14ac:dyDescent="0.3">
      <c r="A129" s="233">
        <v>121</v>
      </c>
      <c r="B129" s="256"/>
      <c r="C129" s="257"/>
      <c r="D129" s="257"/>
      <c r="E129" s="259" t="s">
        <v>230</v>
      </c>
      <c r="F129" s="260"/>
      <c r="G129" s="260"/>
      <c r="H129" s="261"/>
      <c r="I129" s="262">
        <f>SUM(J129:Q129)</f>
        <v>1824602</v>
      </c>
      <c r="J129" s="260">
        <v>425293</v>
      </c>
      <c r="K129" s="260"/>
      <c r="L129" s="260"/>
      <c r="M129" s="260"/>
      <c r="N129" s="260"/>
      <c r="O129" s="260"/>
      <c r="P129" s="260">
        <v>76231</v>
      </c>
      <c r="Q129" s="260">
        <v>1323078</v>
      </c>
      <c r="R129" s="263">
        <v>594122</v>
      </c>
      <c r="S129" s="355"/>
    </row>
    <row r="130" spans="1:19" s="356" customFormat="1" ht="18" customHeight="1" x14ac:dyDescent="0.3">
      <c r="A130" s="233">
        <v>122</v>
      </c>
      <c r="B130" s="256"/>
      <c r="C130" s="257"/>
      <c r="D130" s="257"/>
      <c r="E130" s="266" t="s">
        <v>231</v>
      </c>
      <c r="F130" s="260"/>
      <c r="G130" s="260"/>
      <c r="H130" s="261"/>
      <c r="I130" s="267">
        <f>SUM(J130:Q130)</f>
        <v>2068755</v>
      </c>
      <c r="J130" s="268">
        <v>425293</v>
      </c>
      <c r="K130" s="268"/>
      <c r="L130" s="268"/>
      <c r="M130" s="268"/>
      <c r="N130" s="268"/>
      <c r="O130" s="268"/>
      <c r="P130" s="268">
        <v>317907</v>
      </c>
      <c r="Q130" s="268">
        <v>1325555</v>
      </c>
      <c r="R130" s="269">
        <v>596090</v>
      </c>
      <c r="S130" s="355"/>
    </row>
    <row r="131" spans="1:19" s="356" customFormat="1" ht="18" customHeight="1" x14ac:dyDescent="0.3">
      <c r="A131" s="233">
        <v>123</v>
      </c>
      <c r="B131" s="256"/>
      <c r="C131" s="257"/>
      <c r="D131" s="257"/>
      <c r="E131" s="270" t="s">
        <v>232</v>
      </c>
      <c r="F131" s="260"/>
      <c r="G131" s="260"/>
      <c r="H131" s="261"/>
      <c r="I131" s="271">
        <f>SUM(J131:Q131)</f>
        <v>0</v>
      </c>
      <c r="J131" s="260"/>
      <c r="K131" s="260"/>
      <c r="L131" s="260"/>
      <c r="M131" s="260"/>
      <c r="N131" s="260"/>
      <c r="O131" s="260"/>
      <c r="P131" s="272"/>
      <c r="Q131" s="272"/>
      <c r="R131" s="255"/>
      <c r="S131" s="355"/>
    </row>
    <row r="132" spans="1:19" s="356" customFormat="1" ht="18" customHeight="1" x14ac:dyDescent="0.3">
      <c r="A132" s="233">
        <v>124</v>
      </c>
      <c r="B132" s="357"/>
      <c r="C132" s="358"/>
      <c r="D132" s="358"/>
      <c r="E132" s="266" t="s">
        <v>233</v>
      </c>
      <c r="F132" s="349"/>
      <c r="G132" s="349"/>
      <c r="H132" s="350"/>
      <c r="I132" s="359">
        <f>SUM(J132:Q132)</f>
        <v>2068755</v>
      </c>
      <c r="J132" s="352">
        <f>SUM(J130:J131)</f>
        <v>425293</v>
      </c>
      <c r="K132" s="352"/>
      <c r="L132" s="352"/>
      <c r="M132" s="352"/>
      <c r="N132" s="352"/>
      <c r="O132" s="352"/>
      <c r="P132" s="352">
        <f>SUM(P130:P131)</f>
        <v>317907</v>
      </c>
      <c r="Q132" s="352">
        <f>SUM(Q130:Q131)</f>
        <v>1325555</v>
      </c>
      <c r="R132" s="353">
        <f>SUM(R130:R131)</f>
        <v>596090</v>
      </c>
      <c r="S132" s="355"/>
    </row>
    <row r="133" spans="1:19" s="232" customFormat="1" ht="24" customHeight="1" x14ac:dyDescent="0.3">
      <c r="A133" s="233">
        <v>125</v>
      </c>
      <c r="B133" s="1931" t="s">
        <v>275</v>
      </c>
      <c r="C133" s="1931"/>
      <c r="D133" s="1931"/>
      <c r="E133" s="1931"/>
      <c r="F133" s="360">
        <f>SUM(F128,F123,F72,F45)</f>
        <v>9649881</v>
      </c>
      <c r="G133" s="360">
        <f>SUM(G128,G123,G72,G45)</f>
        <v>9477637</v>
      </c>
      <c r="H133" s="361">
        <f>SUM(H128,H123,H72,H45)</f>
        <v>11476755</v>
      </c>
      <c r="I133" s="246"/>
      <c r="J133" s="362"/>
      <c r="K133" s="362"/>
      <c r="L133" s="362"/>
      <c r="M133" s="362"/>
      <c r="N133" s="362"/>
      <c r="O133" s="362"/>
      <c r="P133" s="362"/>
      <c r="Q133" s="362"/>
      <c r="R133" s="363"/>
      <c r="S133" s="237"/>
    </row>
    <row r="134" spans="1:19" s="356" customFormat="1" ht="18" customHeight="1" x14ac:dyDescent="0.3">
      <c r="A134" s="233">
        <v>126</v>
      </c>
      <c r="B134" s="256"/>
      <c r="C134" s="257"/>
      <c r="D134" s="258"/>
      <c r="E134" s="259" t="s">
        <v>230</v>
      </c>
      <c r="F134" s="260"/>
      <c r="G134" s="260"/>
      <c r="H134" s="261"/>
      <c r="I134" s="262">
        <f t="shared" ref="I134:R134" si="16">SUM(I129,I124,I73,I46)</f>
        <v>10526892</v>
      </c>
      <c r="J134" s="260">
        <f t="shared" si="16"/>
        <v>1092969</v>
      </c>
      <c r="K134" s="260">
        <f t="shared" si="16"/>
        <v>32938</v>
      </c>
      <c r="L134" s="260">
        <f t="shared" si="16"/>
        <v>42983</v>
      </c>
      <c r="M134" s="260">
        <f t="shared" si="16"/>
        <v>0</v>
      </c>
      <c r="N134" s="260">
        <f t="shared" si="16"/>
        <v>0</v>
      </c>
      <c r="O134" s="260">
        <f t="shared" si="16"/>
        <v>23994</v>
      </c>
      <c r="P134" s="260">
        <f t="shared" si="16"/>
        <v>430762</v>
      </c>
      <c r="Q134" s="260">
        <f t="shared" si="16"/>
        <v>8903246</v>
      </c>
      <c r="R134" s="263">
        <f t="shared" si="16"/>
        <v>5475996</v>
      </c>
      <c r="S134" s="355"/>
    </row>
    <row r="135" spans="1:19" s="356" customFormat="1" ht="18" customHeight="1" x14ac:dyDescent="0.3">
      <c r="A135" s="233">
        <v>127</v>
      </c>
      <c r="B135" s="256"/>
      <c r="C135" s="257"/>
      <c r="D135" s="258"/>
      <c r="E135" s="266" t="s">
        <v>231</v>
      </c>
      <c r="F135" s="260"/>
      <c r="G135" s="260"/>
      <c r="H135" s="261"/>
      <c r="I135" s="267">
        <f t="shared" ref="I135:R135" si="17">SUM(I130,I125,I74,I47)</f>
        <v>12190324</v>
      </c>
      <c r="J135" s="268">
        <f t="shared" si="17"/>
        <v>1331432</v>
      </c>
      <c r="K135" s="268">
        <f t="shared" si="17"/>
        <v>87892</v>
      </c>
      <c r="L135" s="268">
        <f t="shared" si="17"/>
        <v>98634</v>
      </c>
      <c r="M135" s="268">
        <f t="shared" si="17"/>
        <v>0</v>
      </c>
      <c r="N135" s="268">
        <f t="shared" si="17"/>
        <v>1184</v>
      </c>
      <c r="O135" s="268">
        <f t="shared" si="17"/>
        <v>27094</v>
      </c>
      <c r="P135" s="268">
        <f t="shared" si="17"/>
        <v>1260530</v>
      </c>
      <c r="Q135" s="268">
        <f t="shared" si="17"/>
        <v>9383558</v>
      </c>
      <c r="R135" s="273">
        <f t="shared" si="17"/>
        <v>5682766</v>
      </c>
      <c r="S135" s="355"/>
    </row>
    <row r="136" spans="1:19" s="356" customFormat="1" ht="18" customHeight="1" x14ac:dyDescent="0.3">
      <c r="A136" s="233">
        <v>128</v>
      </c>
      <c r="B136" s="256"/>
      <c r="C136" s="257"/>
      <c r="D136" s="258"/>
      <c r="E136" s="270" t="s">
        <v>245</v>
      </c>
      <c r="F136" s="260"/>
      <c r="G136" s="260"/>
      <c r="H136" s="261"/>
      <c r="I136" s="271">
        <f>SUM(J136:Q136)</f>
        <v>98716</v>
      </c>
      <c r="J136" s="272">
        <f t="shared" ref="J136:R136" si="18">J131+J126+J75+J48</f>
        <v>49668</v>
      </c>
      <c r="K136" s="272">
        <f t="shared" si="18"/>
        <v>30284</v>
      </c>
      <c r="L136" s="272">
        <f t="shared" si="18"/>
        <v>6214</v>
      </c>
      <c r="M136" s="272">
        <f t="shared" si="18"/>
        <v>197</v>
      </c>
      <c r="N136" s="272">
        <f t="shared" si="18"/>
        <v>0</v>
      </c>
      <c r="O136" s="272">
        <f t="shared" si="18"/>
        <v>-198</v>
      </c>
      <c r="P136" s="272">
        <f t="shared" si="18"/>
        <v>0</v>
      </c>
      <c r="Q136" s="272">
        <f t="shared" si="18"/>
        <v>12551</v>
      </c>
      <c r="R136" s="324">
        <f t="shared" si="18"/>
        <v>8782</v>
      </c>
      <c r="S136" s="355"/>
    </row>
    <row r="137" spans="1:19" s="356" customFormat="1" ht="18" customHeight="1" x14ac:dyDescent="0.3">
      <c r="A137" s="233">
        <v>129</v>
      </c>
      <c r="B137" s="364"/>
      <c r="C137" s="365"/>
      <c r="D137" s="348"/>
      <c r="E137" s="266" t="s">
        <v>233</v>
      </c>
      <c r="F137" s="349"/>
      <c r="G137" s="349"/>
      <c r="H137" s="350"/>
      <c r="I137" s="359">
        <f>SUM(J137:Q137)</f>
        <v>12289040</v>
      </c>
      <c r="J137" s="366">
        <f t="shared" ref="J137:R137" si="19">SUM(J135:J136)</f>
        <v>1381100</v>
      </c>
      <c r="K137" s="366">
        <f t="shared" si="19"/>
        <v>118176</v>
      </c>
      <c r="L137" s="366">
        <f t="shared" si="19"/>
        <v>104848</v>
      </c>
      <c r="M137" s="366">
        <f t="shared" si="19"/>
        <v>197</v>
      </c>
      <c r="N137" s="366">
        <f t="shared" si="19"/>
        <v>1184</v>
      </c>
      <c r="O137" s="366">
        <f t="shared" si="19"/>
        <v>26896</v>
      </c>
      <c r="P137" s="366">
        <f t="shared" si="19"/>
        <v>1260530</v>
      </c>
      <c r="Q137" s="366">
        <f t="shared" si="19"/>
        <v>9396109</v>
      </c>
      <c r="R137" s="367">
        <f t="shared" si="19"/>
        <v>5691548</v>
      </c>
      <c r="S137" s="355"/>
    </row>
    <row r="138" spans="1:19" ht="30" customHeight="1" x14ac:dyDescent="0.3">
      <c r="A138" s="233">
        <v>130</v>
      </c>
      <c r="B138" s="368">
        <v>17</v>
      </c>
      <c r="C138" s="369"/>
      <c r="D138" s="1932" t="s">
        <v>276</v>
      </c>
      <c r="E138" s="1932"/>
      <c r="F138" s="370">
        <v>2581389</v>
      </c>
      <c r="G138" s="370">
        <v>2293390</v>
      </c>
      <c r="H138" s="371">
        <v>2865198</v>
      </c>
      <c r="I138" s="372"/>
      <c r="J138" s="372"/>
      <c r="K138" s="373"/>
      <c r="L138" s="362"/>
      <c r="M138" s="362"/>
      <c r="N138" s="362"/>
      <c r="O138" s="362"/>
      <c r="P138" s="362"/>
      <c r="Q138" s="362"/>
      <c r="R138" s="363"/>
      <c r="S138" s="236"/>
    </row>
    <row r="139" spans="1:19" s="356" customFormat="1" ht="18" customHeight="1" x14ac:dyDescent="0.3">
      <c r="A139" s="233">
        <v>131</v>
      </c>
      <c r="B139" s="374"/>
      <c r="C139" s="302"/>
      <c r="D139" s="302"/>
      <c r="E139" s="375" t="s">
        <v>230</v>
      </c>
      <c r="F139" s="305"/>
      <c r="G139" s="305"/>
      <c r="H139" s="306"/>
      <c r="I139" s="307">
        <f>SUM(J139:Q139)</f>
        <v>2584822</v>
      </c>
      <c r="J139" s="305">
        <v>3000</v>
      </c>
      <c r="K139" s="305"/>
      <c r="L139" s="305"/>
      <c r="M139" s="305"/>
      <c r="N139" s="305"/>
      <c r="O139" s="305"/>
      <c r="P139" s="305">
        <v>10712</v>
      </c>
      <c r="Q139" s="305">
        <v>2571110</v>
      </c>
      <c r="R139" s="308">
        <v>913168</v>
      </c>
      <c r="S139" s="355"/>
    </row>
    <row r="140" spans="1:19" s="356" customFormat="1" ht="18" customHeight="1" x14ac:dyDescent="0.3">
      <c r="A140" s="233">
        <v>132</v>
      </c>
      <c r="B140" s="376"/>
      <c r="C140" s="302"/>
      <c r="D140" s="303"/>
      <c r="E140" s="266" t="s">
        <v>231</v>
      </c>
      <c r="F140" s="305"/>
      <c r="G140" s="305"/>
      <c r="H140" s="306"/>
      <c r="I140" s="310">
        <f>SUM(J140:Q140)</f>
        <v>3433721</v>
      </c>
      <c r="J140" s="311">
        <v>7970</v>
      </c>
      <c r="K140" s="311">
        <v>39173</v>
      </c>
      <c r="L140" s="311"/>
      <c r="M140" s="311">
        <v>30</v>
      </c>
      <c r="N140" s="311"/>
      <c r="O140" s="311"/>
      <c r="P140" s="311">
        <v>700703</v>
      </c>
      <c r="Q140" s="311">
        <v>2685845</v>
      </c>
      <c r="R140" s="312">
        <v>913168</v>
      </c>
      <c r="S140" s="355"/>
    </row>
    <row r="141" spans="1:19" s="356" customFormat="1" ht="18" customHeight="1" x14ac:dyDescent="0.3">
      <c r="A141" s="233">
        <v>133</v>
      </c>
      <c r="B141" s="377"/>
      <c r="C141" s="257"/>
      <c r="D141" s="258"/>
      <c r="E141" s="378" t="s">
        <v>277</v>
      </c>
      <c r="F141" s="343"/>
      <c r="G141" s="260"/>
      <c r="H141" s="261"/>
      <c r="I141" s="271">
        <f>SUM(J141:Q141)</f>
        <v>5000</v>
      </c>
      <c r="J141" s="272"/>
      <c r="K141" s="272"/>
      <c r="L141" s="272"/>
      <c r="M141" s="272"/>
      <c r="N141" s="260"/>
      <c r="O141" s="260"/>
      <c r="P141" s="272"/>
      <c r="Q141" s="272">
        <v>5000</v>
      </c>
      <c r="R141" s="263"/>
      <c r="S141" s="355"/>
    </row>
    <row r="142" spans="1:19" s="356" customFormat="1" ht="18" customHeight="1" x14ac:dyDescent="0.3">
      <c r="A142" s="233">
        <v>134</v>
      </c>
      <c r="B142" s="357"/>
      <c r="C142" s="379"/>
      <c r="D142" s="348"/>
      <c r="E142" s="266" t="s">
        <v>233</v>
      </c>
      <c r="F142" s="349"/>
      <c r="G142" s="349"/>
      <c r="H142" s="350"/>
      <c r="I142" s="380">
        <f>SUM(J142:Q142)</f>
        <v>3438721</v>
      </c>
      <c r="J142" s="352">
        <f>SUM(J140:J141)</f>
        <v>7970</v>
      </c>
      <c r="K142" s="352">
        <f>SUM(K140:K141)</f>
        <v>39173</v>
      </c>
      <c r="L142" s="352"/>
      <c r="M142" s="352">
        <f>SUM(M140:M141)</f>
        <v>30</v>
      </c>
      <c r="N142" s="352"/>
      <c r="O142" s="352"/>
      <c r="P142" s="352">
        <f>SUM(P140:P141)</f>
        <v>700703</v>
      </c>
      <c r="Q142" s="352">
        <f>SUM(Q140:Q141)</f>
        <v>2690845</v>
      </c>
      <c r="R142" s="353">
        <f>SUM(R140:R141)</f>
        <v>913168</v>
      </c>
      <c r="S142" s="355"/>
    </row>
    <row r="143" spans="1:19" s="232" customFormat="1" ht="26.25" customHeight="1" x14ac:dyDescent="0.3">
      <c r="A143" s="233">
        <v>135</v>
      </c>
      <c r="B143" s="1933" t="s">
        <v>278</v>
      </c>
      <c r="C143" s="1933"/>
      <c r="D143" s="1933"/>
      <c r="E143" s="1933"/>
      <c r="F143" s="360">
        <f>SUM(F133:F139)</f>
        <v>12231270</v>
      </c>
      <c r="G143" s="360">
        <f>SUM(G133:G139)</f>
        <v>11771027</v>
      </c>
      <c r="H143" s="361">
        <f>SUM(H133:H139)</f>
        <v>14341953</v>
      </c>
      <c r="I143" s="381"/>
      <c r="J143" s="360"/>
      <c r="K143" s="360"/>
      <c r="L143" s="360"/>
      <c r="M143" s="360"/>
      <c r="N143" s="360"/>
      <c r="O143" s="360"/>
      <c r="P143" s="360"/>
      <c r="Q143" s="360"/>
      <c r="R143" s="382"/>
      <c r="S143" s="237"/>
    </row>
    <row r="144" spans="1:19" s="356" customFormat="1" ht="18" customHeight="1" x14ac:dyDescent="0.3">
      <c r="A144" s="233">
        <v>136</v>
      </c>
      <c r="B144" s="374"/>
      <c r="C144" s="302"/>
      <c r="D144" s="302"/>
      <c r="E144" s="383" t="s">
        <v>230</v>
      </c>
      <c r="F144" s="305"/>
      <c r="G144" s="305"/>
      <c r="H144" s="306"/>
      <c r="I144" s="307">
        <f t="shared" ref="I144:R144" si="20">SUM(I134,I139)</f>
        <v>13111714</v>
      </c>
      <c r="J144" s="305">
        <f t="shared" si="20"/>
        <v>1095969</v>
      </c>
      <c r="K144" s="305">
        <f t="shared" si="20"/>
        <v>32938</v>
      </c>
      <c r="L144" s="305">
        <f t="shared" si="20"/>
        <v>42983</v>
      </c>
      <c r="M144" s="305">
        <f t="shared" si="20"/>
        <v>0</v>
      </c>
      <c r="N144" s="305">
        <f t="shared" si="20"/>
        <v>0</v>
      </c>
      <c r="O144" s="305">
        <f t="shared" si="20"/>
        <v>23994</v>
      </c>
      <c r="P144" s="305">
        <f t="shared" si="20"/>
        <v>441474</v>
      </c>
      <c r="Q144" s="305">
        <f t="shared" si="20"/>
        <v>11474356</v>
      </c>
      <c r="R144" s="308">
        <f t="shared" si="20"/>
        <v>6389164</v>
      </c>
      <c r="S144" s="355"/>
    </row>
    <row r="145" spans="1:19" s="356" customFormat="1" ht="18" customHeight="1" x14ac:dyDescent="0.3">
      <c r="A145" s="233">
        <v>137</v>
      </c>
      <c r="B145" s="374"/>
      <c r="C145" s="302"/>
      <c r="D145" s="302"/>
      <c r="E145" s="384" t="s">
        <v>231</v>
      </c>
      <c r="F145" s="305"/>
      <c r="G145" s="305"/>
      <c r="H145" s="306"/>
      <c r="I145" s="310">
        <f t="shared" ref="I145:R145" si="21">SUM(I135,I140)</f>
        <v>15624045</v>
      </c>
      <c r="J145" s="311">
        <f t="shared" si="21"/>
        <v>1339402</v>
      </c>
      <c r="K145" s="311">
        <f t="shared" si="21"/>
        <v>127065</v>
      </c>
      <c r="L145" s="311">
        <f t="shared" si="21"/>
        <v>98634</v>
      </c>
      <c r="M145" s="311">
        <f t="shared" si="21"/>
        <v>30</v>
      </c>
      <c r="N145" s="311">
        <f t="shared" si="21"/>
        <v>1184</v>
      </c>
      <c r="O145" s="311">
        <f t="shared" si="21"/>
        <v>27094</v>
      </c>
      <c r="P145" s="311">
        <f t="shared" si="21"/>
        <v>1961233</v>
      </c>
      <c r="Q145" s="311">
        <f t="shared" si="21"/>
        <v>12069403</v>
      </c>
      <c r="R145" s="385">
        <f t="shared" si="21"/>
        <v>6595934</v>
      </c>
      <c r="S145" s="355"/>
    </row>
    <row r="146" spans="1:19" ht="18" customHeight="1" x14ac:dyDescent="0.3">
      <c r="A146" s="233">
        <v>138</v>
      </c>
      <c r="B146" s="386"/>
      <c r="C146" s="280"/>
      <c r="D146" s="280"/>
      <c r="E146" s="270" t="s">
        <v>245</v>
      </c>
      <c r="F146" s="387"/>
      <c r="G146" s="387"/>
      <c r="H146" s="388"/>
      <c r="I146" s="271">
        <f>SUM(J146:Q146)</f>
        <v>103716</v>
      </c>
      <c r="J146" s="272">
        <f t="shared" ref="J146:R146" si="22">J141+J136</f>
        <v>49668</v>
      </c>
      <c r="K146" s="272">
        <f t="shared" si="22"/>
        <v>30284</v>
      </c>
      <c r="L146" s="272">
        <f t="shared" si="22"/>
        <v>6214</v>
      </c>
      <c r="M146" s="272">
        <f t="shared" si="22"/>
        <v>197</v>
      </c>
      <c r="N146" s="272">
        <f t="shared" si="22"/>
        <v>0</v>
      </c>
      <c r="O146" s="272">
        <f t="shared" si="22"/>
        <v>-198</v>
      </c>
      <c r="P146" s="272">
        <f t="shared" si="22"/>
        <v>0</v>
      </c>
      <c r="Q146" s="272">
        <f t="shared" si="22"/>
        <v>17551</v>
      </c>
      <c r="R146" s="255">
        <f t="shared" si="22"/>
        <v>8782</v>
      </c>
    </row>
    <row r="147" spans="1:19" ht="18" customHeight="1" x14ac:dyDescent="0.3">
      <c r="A147" s="233">
        <v>139</v>
      </c>
      <c r="B147" s="389"/>
      <c r="C147" s="390"/>
      <c r="D147" s="390"/>
      <c r="E147" s="391" t="s">
        <v>233</v>
      </c>
      <c r="F147" s="390"/>
      <c r="G147" s="390"/>
      <c r="H147" s="390"/>
      <c r="I147" s="380">
        <f>SUM(J147:Q147)</f>
        <v>15727761</v>
      </c>
      <c r="J147" s="392">
        <f t="shared" ref="J147:R147" si="23">SUM(J145:J146)</f>
        <v>1389070</v>
      </c>
      <c r="K147" s="392">
        <f t="shared" si="23"/>
        <v>157349</v>
      </c>
      <c r="L147" s="392">
        <f t="shared" si="23"/>
        <v>104848</v>
      </c>
      <c r="M147" s="392">
        <f t="shared" si="23"/>
        <v>227</v>
      </c>
      <c r="N147" s="392">
        <f t="shared" si="23"/>
        <v>1184</v>
      </c>
      <c r="O147" s="392">
        <f t="shared" si="23"/>
        <v>26896</v>
      </c>
      <c r="P147" s="392">
        <f t="shared" si="23"/>
        <v>1961233</v>
      </c>
      <c r="Q147" s="392">
        <f t="shared" si="23"/>
        <v>12086954</v>
      </c>
      <c r="R147" s="393">
        <f t="shared" si="23"/>
        <v>6604716</v>
      </c>
    </row>
  </sheetData>
  <mergeCells count="29">
    <mergeCell ref="B2:E2"/>
    <mergeCell ref="B3:R3"/>
    <mergeCell ref="B4:R4"/>
    <mergeCell ref="D6:E6"/>
    <mergeCell ref="B7:B8"/>
    <mergeCell ref="C7:C8"/>
    <mergeCell ref="D7:E8"/>
    <mergeCell ref="F7:F8"/>
    <mergeCell ref="G7:G8"/>
    <mergeCell ref="H7:H8"/>
    <mergeCell ref="I7:I8"/>
    <mergeCell ref="J7:L7"/>
    <mergeCell ref="M7:O7"/>
    <mergeCell ref="P7:P8"/>
    <mergeCell ref="Q7:R7"/>
    <mergeCell ref="C45:E45"/>
    <mergeCell ref="D50:E50"/>
    <mergeCell ref="D71:E71"/>
    <mergeCell ref="C72:E72"/>
    <mergeCell ref="D84:E84"/>
    <mergeCell ref="C123:E123"/>
    <mergeCell ref="B133:E133"/>
    <mergeCell ref="D138:E138"/>
    <mergeCell ref="B143:E143"/>
    <mergeCell ref="D85:E85"/>
    <mergeCell ref="D98:E98"/>
    <mergeCell ref="D107:E107"/>
    <mergeCell ref="D108:E108"/>
    <mergeCell ref="D117:E117"/>
  </mergeCells>
  <printOptions horizontalCentered="1"/>
  <pageMargins left="0.196527777777778" right="0.196527777777778" top="0.59027777777777801" bottom="0.59097222222222201" header="0.511811023622047" footer="0.31527777777777799"/>
  <pageSetup paperSize="9" scale="64" fitToHeight="0" orientation="landscape" horizontalDpi="300" verticalDpi="300" r:id="rId1"/>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07"/>
  <sheetViews>
    <sheetView view="pageBreakPreview" zoomScaleNormal="100" zoomScaleSheetLayoutView="100" zoomScalePageLayoutView="75" workbookViewId="0">
      <selection activeCell="B1" sqref="B1"/>
    </sheetView>
  </sheetViews>
  <sheetFormatPr defaultColWidth="9.28515625" defaultRowHeight="15" x14ac:dyDescent="0.3"/>
  <cols>
    <col min="1" max="1" width="3.7109375" style="233" customWidth="1"/>
    <col min="2" max="2" width="5.5703125" style="394" customWidth="1"/>
    <col min="3" max="3" width="5.7109375" style="394" customWidth="1"/>
    <col min="4" max="4" width="4.7109375" style="394" customWidth="1"/>
    <col min="5" max="5" width="60.7109375" style="30" customWidth="1"/>
    <col min="6" max="6" width="6.7109375" style="29" customWidth="1"/>
    <col min="7" max="7" width="10.7109375" style="395" customWidth="1"/>
    <col min="8" max="8" width="12.28515625" style="395" customWidth="1"/>
    <col min="9" max="9" width="10.7109375" style="395" customWidth="1"/>
    <col min="10" max="10" width="13.7109375" style="396" customWidth="1"/>
    <col min="11" max="18" width="14.7109375" style="395" customWidth="1"/>
    <col min="19" max="19" width="9.5703125" style="395" customWidth="1"/>
    <col min="20" max="31" width="9.28515625" style="395"/>
    <col min="32" max="16384" width="9.28515625" style="30"/>
  </cols>
  <sheetData>
    <row r="1" spans="1:31" ht="16.5" x14ac:dyDescent="0.3">
      <c r="B1" s="79" t="s">
        <v>1104</v>
      </c>
    </row>
    <row r="2" spans="1:31" s="79" customFormat="1" ht="18" customHeight="1" x14ac:dyDescent="0.2">
      <c r="A2" s="233"/>
      <c r="B2" s="1937" t="s">
        <v>279</v>
      </c>
      <c r="C2" s="1937"/>
      <c r="D2" s="1937"/>
      <c r="E2" s="1937"/>
      <c r="F2" s="1937"/>
      <c r="G2" s="1937"/>
      <c r="H2" s="81"/>
      <c r="I2" s="81"/>
      <c r="J2" s="144"/>
      <c r="K2" s="81"/>
      <c r="L2" s="81"/>
      <c r="M2" s="81"/>
      <c r="N2" s="81"/>
      <c r="O2" s="81"/>
      <c r="P2" s="81"/>
      <c r="Q2" s="81"/>
      <c r="R2" s="81"/>
      <c r="S2" s="81"/>
      <c r="T2" s="81"/>
      <c r="U2" s="81"/>
      <c r="V2" s="81"/>
      <c r="W2" s="81"/>
      <c r="X2" s="81"/>
      <c r="Y2" s="81"/>
      <c r="Z2" s="81"/>
      <c r="AA2" s="81"/>
      <c r="AB2" s="81"/>
      <c r="AC2" s="81"/>
      <c r="AD2" s="81"/>
      <c r="AE2" s="81"/>
    </row>
    <row r="3" spans="1:31" s="79" customFormat="1" ht="24.75" customHeight="1" x14ac:dyDescent="0.2">
      <c r="A3" s="233"/>
      <c r="B3" s="1938" t="s">
        <v>214</v>
      </c>
      <c r="C3" s="1938"/>
      <c r="D3" s="1938"/>
      <c r="E3" s="1938"/>
      <c r="F3" s="1938"/>
      <c r="G3" s="1938"/>
      <c r="H3" s="1938"/>
      <c r="I3" s="1938"/>
      <c r="J3" s="1938"/>
      <c r="K3" s="1938"/>
      <c r="L3" s="1938"/>
      <c r="M3" s="1938"/>
      <c r="N3" s="1938"/>
      <c r="O3" s="1938"/>
      <c r="P3" s="1938"/>
      <c r="Q3" s="1938"/>
      <c r="R3" s="1938"/>
      <c r="S3" s="81"/>
      <c r="T3" s="81"/>
      <c r="U3" s="81"/>
      <c r="V3" s="81"/>
      <c r="W3" s="81"/>
      <c r="X3" s="81"/>
      <c r="Y3" s="81"/>
      <c r="Z3" s="81"/>
      <c r="AA3" s="81"/>
      <c r="AB3" s="81"/>
      <c r="AC3" s="81"/>
      <c r="AD3" s="81"/>
      <c r="AE3" s="81"/>
    </row>
    <row r="4" spans="1:31" s="79" customFormat="1" ht="24.75" customHeight="1" x14ac:dyDescent="0.2">
      <c r="A4" s="233"/>
      <c r="B4" s="1938" t="s">
        <v>183</v>
      </c>
      <c r="C4" s="1938"/>
      <c r="D4" s="1938"/>
      <c r="E4" s="1938"/>
      <c r="F4" s="1938"/>
      <c r="G4" s="1938"/>
      <c r="H4" s="1938"/>
      <c r="I4" s="1938"/>
      <c r="J4" s="1938"/>
      <c r="K4" s="1938"/>
      <c r="L4" s="1938"/>
      <c r="M4" s="1938"/>
      <c r="N4" s="1938"/>
      <c r="O4" s="1938"/>
      <c r="P4" s="1938"/>
      <c r="Q4" s="1938"/>
      <c r="R4" s="1938"/>
      <c r="S4" s="81"/>
      <c r="T4" s="81"/>
      <c r="U4" s="81"/>
      <c r="V4" s="81"/>
      <c r="W4" s="81"/>
      <c r="X4" s="81"/>
      <c r="Y4" s="81"/>
      <c r="Z4" s="81"/>
      <c r="AA4" s="81"/>
      <c r="AB4" s="81"/>
      <c r="AC4" s="81"/>
      <c r="AD4" s="81"/>
      <c r="AE4" s="81"/>
    </row>
    <row r="5" spans="1:31" ht="18" customHeight="1" x14ac:dyDescent="0.3">
      <c r="Q5" s="1963" t="s">
        <v>0</v>
      </c>
      <c r="R5" s="1963"/>
    </row>
    <row r="6" spans="1:31" s="233" customFormat="1" ht="18" customHeight="1" x14ac:dyDescent="0.2">
      <c r="B6" s="233" t="s">
        <v>1</v>
      </c>
      <c r="C6" s="233" t="s">
        <v>2</v>
      </c>
      <c r="D6" s="1939" t="s">
        <v>98</v>
      </c>
      <c r="E6" s="1939"/>
      <c r="F6" s="233" t="s">
        <v>99</v>
      </c>
      <c r="G6" s="233" t="s">
        <v>100</v>
      </c>
      <c r="H6" s="233" t="s">
        <v>101</v>
      </c>
      <c r="I6" s="233" t="s">
        <v>102</v>
      </c>
      <c r="J6" s="233" t="s">
        <v>103</v>
      </c>
      <c r="K6" s="233" t="s">
        <v>104</v>
      </c>
      <c r="L6" s="233" t="s">
        <v>105</v>
      </c>
      <c r="M6" s="233" t="s">
        <v>106</v>
      </c>
      <c r="N6" s="233" t="s">
        <v>107</v>
      </c>
      <c r="O6" s="233" t="s">
        <v>215</v>
      </c>
      <c r="P6" s="233" t="s">
        <v>216</v>
      </c>
      <c r="Q6" s="233" t="s">
        <v>217</v>
      </c>
      <c r="R6" s="233" t="s">
        <v>218</v>
      </c>
    </row>
    <row r="7" spans="1:31" s="29" customFormat="1" ht="30" customHeight="1" x14ac:dyDescent="0.3">
      <c r="A7" s="233"/>
      <c r="B7" s="1940" t="s">
        <v>108</v>
      </c>
      <c r="C7" s="1960" t="s">
        <v>109</v>
      </c>
      <c r="D7" s="1961" t="s">
        <v>3</v>
      </c>
      <c r="E7" s="1961"/>
      <c r="F7" s="1962" t="s">
        <v>280</v>
      </c>
      <c r="G7" s="1943" t="s">
        <v>219</v>
      </c>
      <c r="H7" s="1943" t="s">
        <v>113</v>
      </c>
      <c r="I7" s="1944" t="s">
        <v>114</v>
      </c>
      <c r="J7" s="1958" t="s">
        <v>281</v>
      </c>
      <c r="K7" s="1946" t="s">
        <v>40</v>
      </c>
      <c r="L7" s="1946"/>
      <c r="M7" s="1946"/>
      <c r="N7" s="1946"/>
      <c r="O7" s="1946"/>
      <c r="P7" s="1959" t="s">
        <v>187</v>
      </c>
      <c r="Q7" s="1959"/>
      <c r="R7" s="1959"/>
    </row>
    <row r="8" spans="1:31" s="29" customFormat="1" ht="60.75" customHeight="1" x14ac:dyDescent="0.3">
      <c r="A8" s="233"/>
      <c r="B8" s="1940"/>
      <c r="C8" s="1960"/>
      <c r="D8" s="1961"/>
      <c r="E8" s="1961"/>
      <c r="F8" s="1962"/>
      <c r="G8" s="1943"/>
      <c r="H8" s="1943"/>
      <c r="I8" s="1944"/>
      <c r="J8" s="1958"/>
      <c r="K8" s="238" t="s">
        <v>282</v>
      </c>
      <c r="L8" s="238" t="s">
        <v>283</v>
      </c>
      <c r="M8" s="238" t="s">
        <v>284</v>
      </c>
      <c r="N8" s="238" t="s">
        <v>285</v>
      </c>
      <c r="O8" s="238" t="s">
        <v>286</v>
      </c>
      <c r="P8" s="397" t="s">
        <v>56</v>
      </c>
      <c r="Q8" s="238" t="s">
        <v>189</v>
      </c>
      <c r="R8" s="238" t="s">
        <v>188</v>
      </c>
    </row>
    <row r="9" spans="1:31" ht="22.5" customHeight="1" x14ac:dyDescent="0.3">
      <c r="A9" s="233">
        <v>1</v>
      </c>
      <c r="B9" s="240">
        <v>1</v>
      </c>
      <c r="C9" s="398"/>
      <c r="D9" s="399" t="s">
        <v>41</v>
      </c>
      <c r="E9" s="399"/>
      <c r="F9" s="400" t="s">
        <v>106</v>
      </c>
      <c r="G9" s="244">
        <v>248778</v>
      </c>
      <c r="H9" s="244">
        <v>302590</v>
      </c>
      <c r="I9" s="401">
        <v>309916</v>
      </c>
      <c r="J9" s="402"/>
      <c r="K9" s="244"/>
      <c r="L9" s="244"/>
      <c r="M9" s="244"/>
      <c r="N9" s="244"/>
      <c r="O9" s="244"/>
      <c r="P9" s="244"/>
      <c r="Q9" s="244"/>
      <c r="R9" s="403"/>
    </row>
    <row r="10" spans="1:31" ht="18" customHeight="1" x14ac:dyDescent="0.3">
      <c r="A10" s="233">
        <v>2</v>
      </c>
      <c r="B10" s="248"/>
      <c r="C10" s="404"/>
      <c r="D10" s="405" t="s">
        <v>229</v>
      </c>
      <c r="E10" s="405"/>
      <c r="F10" s="252"/>
      <c r="G10" s="252"/>
      <c r="H10" s="252"/>
      <c r="I10" s="406"/>
      <c r="J10" s="407"/>
      <c r="K10" s="252"/>
      <c r="L10" s="252"/>
      <c r="M10" s="252"/>
      <c r="N10" s="252"/>
      <c r="O10" s="252"/>
      <c r="P10" s="252"/>
      <c r="Q10" s="252"/>
      <c r="R10" s="408"/>
    </row>
    <row r="11" spans="1:31" s="264" customFormat="1" ht="18" customHeight="1" x14ac:dyDescent="0.3">
      <c r="A11" s="233">
        <v>3</v>
      </c>
      <c r="B11" s="256"/>
      <c r="C11" s="409"/>
      <c r="D11" s="409"/>
      <c r="E11" s="259" t="s">
        <v>230</v>
      </c>
      <c r="F11" s="410"/>
      <c r="G11" s="410"/>
      <c r="H11" s="410"/>
      <c r="I11" s="411"/>
      <c r="J11" s="412">
        <f>SUM(K11:R11)</f>
        <v>373089</v>
      </c>
      <c r="K11" s="413">
        <v>235491</v>
      </c>
      <c r="L11" s="413">
        <v>36087</v>
      </c>
      <c r="M11" s="413">
        <v>100611</v>
      </c>
      <c r="N11" s="413"/>
      <c r="O11" s="413"/>
      <c r="P11" s="413">
        <v>900</v>
      </c>
      <c r="Q11" s="413"/>
      <c r="R11" s="414"/>
      <c r="S11" s="415"/>
      <c r="T11" s="415"/>
      <c r="U11" s="415"/>
      <c r="V11" s="415"/>
      <c r="W11" s="415"/>
      <c r="X11" s="415"/>
      <c r="Y11" s="415"/>
      <c r="Z11" s="415"/>
      <c r="AA11" s="415"/>
      <c r="AB11" s="415"/>
      <c r="AC11" s="415"/>
      <c r="AD11" s="415"/>
      <c r="AE11" s="415"/>
    </row>
    <row r="12" spans="1:31" s="264" customFormat="1" ht="18" customHeight="1" x14ac:dyDescent="0.3">
      <c r="A12" s="233">
        <v>4</v>
      </c>
      <c r="B12" s="256"/>
      <c r="C12" s="409"/>
      <c r="D12" s="409"/>
      <c r="E12" s="266" t="s">
        <v>231</v>
      </c>
      <c r="F12" s="410"/>
      <c r="G12" s="410"/>
      <c r="H12" s="410"/>
      <c r="I12" s="411"/>
      <c r="J12" s="407">
        <f>SUM(K12:R12)</f>
        <v>407007</v>
      </c>
      <c r="K12" s="416">
        <v>246232</v>
      </c>
      <c r="L12" s="416">
        <v>37832</v>
      </c>
      <c r="M12" s="416">
        <v>112402</v>
      </c>
      <c r="N12" s="416"/>
      <c r="O12" s="416"/>
      <c r="P12" s="416">
        <v>10541</v>
      </c>
      <c r="Q12" s="413"/>
      <c r="R12" s="414"/>
      <c r="S12" s="415"/>
      <c r="T12" s="415"/>
      <c r="U12" s="415"/>
      <c r="V12" s="415"/>
      <c r="W12" s="415"/>
      <c r="X12" s="415"/>
      <c r="Y12" s="415"/>
      <c r="Z12" s="415"/>
      <c r="AA12" s="415"/>
      <c r="AB12" s="415"/>
      <c r="AC12" s="415"/>
      <c r="AD12" s="415"/>
      <c r="AE12" s="415"/>
    </row>
    <row r="13" spans="1:31" s="264" customFormat="1" ht="18" customHeight="1" x14ac:dyDescent="0.3">
      <c r="A13" s="233">
        <v>5</v>
      </c>
      <c r="B13" s="256"/>
      <c r="C13" s="409"/>
      <c r="D13" s="409"/>
      <c r="E13" s="270" t="s">
        <v>287</v>
      </c>
      <c r="F13" s="410"/>
      <c r="G13" s="410"/>
      <c r="H13" s="410"/>
      <c r="I13" s="417"/>
      <c r="J13" s="271">
        <f>SUM(K13:R13)</f>
        <v>0</v>
      </c>
      <c r="K13" s="418">
        <v>310</v>
      </c>
      <c r="L13" s="418">
        <v>40</v>
      </c>
      <c r="M13" s="418">
        <v>-350</v>
      </c>
      <c r="N13" s="416"/>
      <c r="O13" s="413"/>
      <c r="P13" s="418"/>
      <c r="Q13" s="413"/>
      <c r="R13" s="414"/>
      <c r="S13" s="415"/>
      <c r="T13" s="415"/>
      <c r="U13" s="415"/>
      <c r="V13" s="415"/>
      <c r="W13" s="415"/>
      <c r="X13" s="415"/>
      <c r="Y13" s="415"/>
      <c r="Z13" s="415"/>
      <c r="AA13" s="415"/>
      <c r="AB13" s="415"/>
      <c r="AC13" s="415"/>
      <c r="AD13" s="415"/>
      <c r="AE13" s="415"/>
    </row>
    <row r="14" spans="1:31" s="264" customFormat="1" ht="18" customHeight="1" x14ac:dyDescent="0.3">
      <c r="A14" s="233">
        <v>6</v>
      </c>
      <c r="B14" s="256"/>
      <c r="C14" s="409"/>
      <c r="D14" s="409"/>
      <c r="E14" s="266" t="s">
        <v>233</v>
      </c>
      <c r="F14" s="410"/>
      <c r="G14" s="410"/>
      <c r="H14" s="410"/>
      <c r="I14" s="417"/>
      <c r="J14" s="267">
        <f>SUM(K14:R14)</f>
        <v>407007</v>
      </c>
      <c r="K14" s="416">
        <f>SUM(K12:K13)</f>
        <v>246542</v>
      </c>
      <c r="L14" s="416">
        <f>SUM(L12:L13)</f>
        <v>37872</v>
      </c>
      <c r="M14" s="416">
        <f>SUM(M12:M13)</f>
        <v>112052</v>
      </c>
      <c r="N14" s="416"/>
      <c r="O14" s="416"/>
      <c r="P14" s="416">
        <f>SUM(P12:P13)</f>
        <v>10541</v>
      </c>
      <c r="Q14" s="416"/>
      <c r="R14" s="419"/>
      <c r="S14" s="415"/>
      <c r="T14" s="415"/>
      <c r="U14" s="415"/>
      <c r="V14" s="415"/>
      <c r="W14" s="415"/>
      <c r="X14" s="415"/>
      <c r="Y14" s="415"/>
      <c r="Z14" s="415"/>
      <c r="AA14" s="415"/>
      <c r="AB14" s="415"/>
      <c r="AC14" s="415"/>
      <c r="AD14" s="415"/>
      <c r="AE14" s="415"/>
    </row>
    <row r="15" spans="1:31" s="330" customFormat="1" ht="22.5" customHeight="1" x14ac:dyDescent="0.3">
      <c r="A15" s="233">
        <v>7</v>
      </c>
      <c r="B15" s="248">
        <v>2</v>
      </c>
      <c r="C15" s="404"/>
      <c r="D15" s="420" t="s">
        <v>42</v>
      </c>
      <c r="E15" s="420"/>
      <c r="F15" s="421" t="s">
        <v>106</v>
      </c>
      <c r="G15" s="252">
        <v>403341</v>
      </c>
      <c r="H15" s="252">
        <v>500303</v>
      </c>
      <c r="I15" s="406">
        <v>507890</v>
      </c>
      <c r="J15" s="407"/>
      <c r="K15" s="252"/>
      <c r="L15" s="252"/>
      <c r="M15" s="252"/>
      <c r="N15" s="252"/>
      <c r="O15" s="252"/>
      <c r="P15" s="252"/>
      <c r="Q15" s="252"/>
      <c r="R15" s="408"/>
      <c r="S15" s="422"/>
      <c r="T15" s="422"/>
      <c r="U15" s="422"/>
      <c r="V15" s="422"/>
      <c r="W15" s="422"/>
      <c r="X15" s="422"/>
      <c r="Y15" s="422"/>
      <c r="Z15" s="422"/>
      <c r="AA15" s="422"/>
      <c r="AB15" s="422"/>
      <c r="AC15" s="422"/>
      <c r="AD15" s="422"/>
      <c r="AE15" s="422"/>
    </row>
    <row r="16" spans="1:31" ht="18" customHeight="1" x14ac:dyDescent="0.3">
      <c r="A16" s="233">
        <v>8</v>
      </c>
      <c r="B16" s="248"/>
      <c r="C16" s="404"/>
      <c r="D16" s="405" t="s">
        <v>235</v>
      </c>
      <c r="E16" s="405"/>
      <c r="F16" s="252"/>
      <c r="G16" s="252"/>
      <c r="H16" s="252"/>
      <c r="I16" s="253"/>
      <c r="J16" s="267"/>
      <c r="K16" s="252"/>
      <c r="L16" s="252"/>
      <c r="M16" s="252"/>
      <c r="N16" s="252"/>
      <c r="O16" s="252"/>
      <c r="P16" s="252"/>
      <c r="Q16" s="252"/>
      <c r="R16" s="408"/>
    </row>
    <row r="17" spans="1:31" s="286" customFormat="1" ht="18" customHeight="1" x14ac:dyDescent="0.3">
      <c r="A17" s="233">
        <v>9</v>
      </c>
      <c r="B17" s="256"/>
      <c r="C17" s="409"/>
      <c r="D17" s="409"/>
      <c r="E17" s="259" t="s">
        <v>230</v>
      </c>
      <c r="F17" s="410"/>
      <c r="G17" s="410"/>
      <c r="H17" s="410"/>
      <c r="I17" s="417"/>
      <c r="J17" s="262">
        <f>SUM(K17:R17)</f>
        <v>612920</v>
      </c>
      <c r="K17" s="413">
        <v>413725</v>
      </c>
      <c r="L17" s="413">
        <v>65131</v>
      </c>
      <c r="M17" s="413">
        <v>132364</v>
      </c>
      <c r="N17" s="413"/>
      <c r="O17" s="413"/>
      <c r="P17" s="413">
        <v>1700</v>
      </c>
      <c r="Q17" s="413"/>
      <c r="R17" s="414"/>
      <c r="S17" s="423"/>
      <c r="T17" s="423"/>
      <c r="U17" s="423"/>
      <c r="V17" s="423"/>
      <c r="W17" s="423"/>
      <c r="X17" s="423"/>
      <c r="Y17" s="423"/>
      <c r="Z17" s="423"/>
      <c r="AA17" s="423"/>
      <c r="AB17" s="423"/>
      <c r="AC17" s="423"/>
      <c r="AD17" s="423"/>
      <c r="AE17" s="423"/>
    </row>
    <row r="18" spans="1:31" s="286" customFormat="1" ht="18" customHeight="1" x14ac:dyDescent="0.3">
      <c r="A18" s="233">
        <v>10</v>
      </c>
      <c r="B18" s="256"/>
      <c r="C18" s="409"/>
      <c r="D18" s="409"/>
      <c r="E18" s="266" t="s">
        <v>231</v>
      </c>
      <c r="F18" s="410"/>
      <c r="G18" s="410"/>
      <c r="H18" s="410"/>
      <c r="I18" s="417"/>
      <c r="J18" s="267">
        <f>SUM(K18:R18)</f>
        <v>648477</v>
      </c>
      <c r="K18" s="416">
        <v>431386</v>
      </c>
      <c r="L18" s="416">
        <v>68607</v>
      </c>
      <c r="M18" s="416">
        <v>139884</v>
      </c>
      <c r="N18" s="416"/>
      <c r="O18" s="416"/>
      <c r="P18" s="416">
        <v>8600</v>
      </c>
      <c r="Q18" s="413"/>
      <c r="R18" s="414"/>
      <c r="S18" s="423"/>
      <c r="T18" s="423"/>
      <c r="U18" s="423"/>
      <c r="V18" s="423"/>
      <c r="W18" s="423"/>
      <c r="X18" s="423"/>
      <c r="Y18" s="423"/>
      <c r="Z18" s="423"/>
      <c r="AA18" s="423"/>
      <c r="AB18" s="423"/>
      <c r="AC18" s="423"/>
      <c r="AD18" s="423"/>
      <c r="AE18" s="423"/>
    </row>
    <row r="19" spans="1:31" s="286" customFormat="1" ht="18" customHeight="1" x14ac:dyDescent="0.3">
      <c r="A19" s="233">
        <v>11</v>
      </c>
      <c r="B19" s="256"/>
      <c r="C19" s="409"/>
      <c r="D19" s="409"/>
      <c r="E19" s="270" t="s">
        <v>287</v>
      </c>
      <c r="F19" s="410"/>
      <c r="G19" s="410"/>
      <c r="H19" s="410"/>
      <c r="I19" s="417"/>
      <c r="J19" s="271">
        <f>SUM(K19:R19)</f>
        <v>0</v>
      </c>
      <c r="K19" s="418"/>
      <c r="L19" s="418"/>
      <c r="M19" s="418">
        <v>-3000</v>
      </c>
      <c r="N19" s="418"/>
      <c r="O19" s="418"/>
      <c r="P19" s="418">
        <v>3000</v>
      </c>
      <c r="Q19" s="413"/>
      <c r="R19" s="414"/>
      <c r="S19" s="423"/>
      <c r="T19" s="423"/>
      <c r="U19" s="423"/>
      <c r="V19" s="423"/>
      <c r="W19" s="423"/>
      <c r="X19" s="423"/>
      <c r="Y19" s="423"/>
      <c r="Z19" s="423"/>
      <c r="AA19" s="423"/>
      <c r="AB19" s="423"/>
      <c r="AC19" s="423"/>
      <c r="AD19" s="423"/>
      <c r="AE19" s="423"/>
    </row>
    <row r="20" spans="1:31" s="286" customFormat="1" ht="18" customHeight="1" x14ac:dyDescent="0.3">
      <c r="A20" s="233">
        <v>12</v>
      </c>
      <c r="B20" s="256"/>
      <c r="C20" s="409"/>
      <c r="D20" s="409"/>
      <c r="E20" s="266" t="s">
        <v>233</v>
      </c>
      <c r="F20" s="410"/>
      <c r="G20" s="410"/>
      <c r="H20" s="410"/>
      <c r="I20" s="417"/>
      <c r="J20" s="267">
        <f>SUM(K20:R20)</f>
        <v>648477</v>
      </c>
      <c r="K20" s="416">
        <f>SUM(K18:K19)</f>
        <v>431386</v>
      </c>
      <c r="L20" s="416">
        <f>SUM(L18:L19)</f>
        <v>68607</v>
      </c>
      <c r="M20" s="416">
        <f>SUM(M18:M19)</f>
        <v>136884</v>
      </c>
      <c r="N20" s="416"/>
      <c r="O20" s="416"/>
      <c r="P20" s="416">
        <f>SUM(P18:P19)</f>
        <v>11600</v>
      </c>
      <c r="Q20" s="413"/>
      <c r="R20" s="414"/>
      <c r="S20" s="423"/>
      <c r="T20" s="423"/>
      <c r="U20" s="423"/>
      <c r="V20" s="423"/>
      <c r="W20" s="423"/>
      <c r="X20" s="423"/>
      <c r="Y20" s="423"/>
      <c r="Z20" s="423"/>
      <c r="AA20" s="423"/>
      <c r="AB20" s="423"/>
      <c r="AC20" s="423"/>
      <c r="AD20" s="423"/>
      <c r="AE20" s="423"/>
    </row>
    <row r="21" spans="1:31" ht="22.5" customHeight="1" x14ac:dyDescent="0.3">
      <c r="A21" s="233">
        <v>13</v>
      </c>
      <c r="B21" s="248">
        <v>3</v>
      </c>
      <c r="C21" s="404"/>
      <c r="D21" s="420" t="s">
        <v>44</v>
      </c>
      <c r="E21" s="420"/>
      <c r="F21" s="421" t="s">
        <v>106</v>
      </c>
      <c r="G21" s="252">
        <v>455779</v>
      </c>
      <c r="H21" s="252">
        <v>527697</v>
      </c>
      <c r="I21" s="253">
        <v>507514</v>
      </c>
      <c r="J21" s="267"/>
      <c r="K21" s="252"/>
      <c r="L21" s="252"/>
      <c r="M21" s="252"/>
      <c r="N21" s="252"/>
      <c r="O21" s="252"/>
      <c r="P21" s="252"/>
      <c r="Q21" s="252"/>
      <c r="R21" s="408"/>
    </row>
    <row r="22" spans="1:31" s="236" customFormat="1" ht="18" customHeight="1" x14ac:dyDescent="0.3">
      <c r="A22" s="233">
        <v>14</v>
      </c>
      <c r="B22" s="248"/>
      <c r="C22" s="404"/>
      <c r="D22" s="405" t="s">
        <v>236</v>
      </c>
      <c r="E22" s="405"/>
      <c r="F22" s="252"/>
      <c r="G22" s="252"/>
      <c r="H22" s="252"/>
      <c r="I22" s="253"/>
      <c r="J22" s="267"/>
      <c r="K22" s="252"/>
      <c r="L22" s="252"/>
      <c r="M22" s="252"/>
      <c r="N22" s="252"/>
      <c r="O22" s="252"/>
      <c r="P22" s="252"/>
      <c r="Q22" s="252"/>
      <c r="R22" s="408"/>
      <c r="S22" s="424"/>
      <c r="T22" s="424"/>
      <c r="U22" s="424"/>
      <c r="V22" s="424"/>
      <c r="W22" s="424"/>
      <c r="X22" s="424"/>
      <c r="Y22" s="424"/>
      <c r="Z22" s="424"/>
      <c r="AA22" s="424"/>
      <c r="AB22" s="424"/>
      <c r="AC22" s="424"/>
      <c r="AD22" s="424"/>
      <c r="AE22" s="424"/>
    </row>
    <row r="23" spans="1:31" s="264" customFormat="1" ht="18" customHeight="1" x14ac:dyDescent="0.3">
      <c r="A23" s="233">
        <v>15</v>
      </c>
      <c r="B23" s="256"/>
      <c r="C23" s="409"/>
      <c r="D23" s="409"/>
      <c r="E23" s="259" t="s">
        <v>230</v>
      </c>
      <c r="F23" s="410"/>
      <c r="G23" s="410"/>
      <c r="H23" s="410"/>
      <c r="I23" s="417"/>
      <c r="J23" s="262">
        <f>SUM(K23:R23)</f>
        <v>616909</v>
      </c>
      <c r="K23" s="413">
        <v>432805</v>
      </c>
      <c r="L23" s="413">
        <v>65693</v>
      </c>
      <c r="M23" s="413">
        <v>116411</v>
      </c>
      <c r="N23" s="413"/>
      <c r="O23" s="413"/>
      <c r="P23" s="413">
        <v>2000</v>
      </c>
      <c r="Q23" s="413"/>
      <c r="R23" s="414"/>
      <c r="S23" s="415"/>
      <c r="T23" s="415"/>
      <c r="U23" s="415"/>
      <c r="V23" s="415"/>
      <c r="W23" s="415"/>
      <c r="X23" s="415"/>
      <c r="Y23" s="415"/>
      <c r="Z23" s="415"/>
      <c r="AA23" s="415"/>
      <c r="AB23" s="415"/>
      <c r="AC23" s="415"/>
      <c r="AD23" s="415"/>
      <c r="AE23" s="415"/>
    </row>
    <row r="24" spans="1:31" s="264" customFormat="1" ht="18" customHeight="1" x14ac:dyDescent="0.3">
      <c r="A24" s="233">
        <v>16</v>
      </c>
      <c r="B24" s="256"/>
      <c r="C24" s="409"/>
      <c r="D24" s="409"/>
      <c r="E24" s="266" t="s">
        <v>231</v>
      </c>
      <c r="F24" s="410"/>
      <c r="G24" s="410"/>
      <c r="H24" s="410"/>
      <c r="I24" s="417"/>
      <c r="J24" s="267">
        <f>SUM(K24:R24)</f>
        <v>657897</v>
      </c>
      <c r="K24" s="416">
        <v>460851</v>
      </c>
      <c r="L24" s="416">
        <v>69259</v>
      </c>
      <c r="M24" s="416">
        <v>120176</v>
      </c>
      <c r="N24" s="416"/>
      <c r="O24" s="416"/>
      <c r="P24" s="416">
        <v>7611</v>
      </c>
      <c r="Q24" s="416"/>
      <c r="R24" s="419"/>
      <c r="S24" s="415"/>
      <c r="T24" s="415"/>
      <c r="U24" s="415"/>
      <c r="V24" s="415"/>
      <c r="W24" s="415"/>
      <c r="X24" s="415"/>
      <c r="Y24" s="415"/>
      <c r="Z24" s="415"/>
      <c r="AA24" s="415"/>
      <c r="AB24" s="415"/>
      <c r="AC24" s="415"/>
      <c r="AD24" s="415"/>
      <c r="AE24" s="415"/>
    </row>
    <row r="25" spans="1:31" s="264" customFormat="1" ht="18" customHeight="1" x14ac:dyDescent="0.3">
      <c r="A25" s="233">
        <v>17</v>
      </c>
      <c r="B25" s="256"/>
      <c r="C25" s="409"/>
      <c r="D25" s="409"/>
      <c r="E25" s="270" t="s">
        <v>287</v>
      </c>
      <c r="F25" s="410"/>
      <c r="G25" s="410"/>
      <c r="H25" s="410"/>
      <c r="I25" s="417"/>
      <c r="J25" s="271">
        <f>SUM(K25:R25)</f>
        <v>0</v>
      </c>
      <c r="K25" s="418"/>
      <c r="L25" s="418"/>
      <c r="M25" s="418">
        <v>-250</v>
      </c>
      <c r="N25" s="413"/>
      <c r="O25" s="413"/>
      <c r="P25" s="418">
        <v>250</v>
      </c>
      <c r="Q25" s="413"/>
      <c r="R25" s="414"/>
      <c r="S25" s="415"/>
      <c r="T25" s="415"/>
      <c r="U25" s="415"/>
      <c r="V25" s="415"/>
      <c r="W25" s="415"/>
      <c r="X25" s="415"/>
      <c r="Y25" s="415"/>
      <c r="Z25" s="415"/>
      <c r="AA25" s="415"/>
      <c r="AB25" s="415"/>
      <c r="AC25" s="415"/>
      <c r="AD25" s="415"/>
      <c r="AE25" s="415"/>
    </row>
    <row r="26" spans="1:31" s="264" customFormat="1" ht="18" customHeight="1" x14ac:dyDescent="0.3">
      <c r="A26" s="233">
        <v>18</v>
      </c>
      <c r="B26" s="256"/>
      <c r="C26" s="409"/>
      <c r="D26" s="409"/>
      <c r="E26" s="284" t="s">
        <v>57</v>
      </c>
      <c r="F26" s="410"/>
      <c r="G26" s="410"/>
      <c r="H26" s="410"/>
      <c r="I26" s="417"/>
      <c r="J26" s="271">
        <f>SUM(K26:R26)</f>
        <v>-4000</v>
      </c>
      <c r="K26" s="418"/>
      <c r="L26" s="418"/>
      <c r="M26" s="418"/>
      <c r="N26" s="413"/>
      <c r="O26" s="413"/>
      <c r="P26" s="418">
        <v>-4000</v>
      </c>
      <c r="Q26" s="413"/>
      <c r="R26" s="414"/>
      <c r="S26" s="415"/>
      <c r="T26" s="415"/>
      <c r="U26" s="415"/>
      <c r="V26" s="415"/>
      <c r="W26" s="415"/>
      <c r="X26" s="415"/>
      <c r="Y26" s="415"/>
      <c r="Z26" s="415"/>
      <c r="AA26" s="415"/>
      <c r="AB26" s="415"/>
      <c r="AC26" s="415"/>
      <c r="AD26" s="415"/>
      <c r="AE26" s="415"/>
    </row>
    <row r="27" spans="1:31" s="264" customFormat="1" ht="18" customHeight="1" x14ac:dyDescent="0.3">
      <c r="A27" s="233">
        <v>19</v>
      </c>
      <c r="B27" s="256"/>
      <c r="C27" s="409"/>
      <c r="D27" s="409"/>
      <c r="E27" s="266" t="s">
        <v>233</v>
      </c>
      <c r="F27" s="410"/>
      <c r="G27" s="410"/>
      <c r="H27" s="410"/>
      <c r="I27" s="417"/>
      <c r="J27" s="267">
        <f>SUM(K27:R27)</f>
        <v>653897</v>
      </c>
      <c r="K27" s="416">
        <f>SUM(K24:K26)</f>
        <v>460851</v>
      </c>
      <c r="L27" s="416">
        <f>SUM(L24:L26)</f>
        <v>69259</v>
      </c>
      <c r="M27" s="416">
        <f>SUM(M24:M26)</f>
        <v>119926</v>
      </c>
      <c r="N27" s="416"/>
      <c r="O27" s="416"/>
      <c r="P27" s="416">
        <f>SUM(P24:P26)</f>
        <v>3861</v>
      </c>
      <c r="Q27" s="413"/>
      <c r="R27" s="414"/>
      <c r="S27" s="415"/>
      <c r="T27" s="415"/>
      <c r="U27" s="415"/>
      <c r="V27" s="415"/>
      <c r="W27" s="415"/>
      <c r="X27" s="415"/>
      <c r="Y27" s="415"/>
      <c r="Z27" s="415"/>
      <c r="AA27" s="415"/>
      <c r="AB27" s="415"/>
      <c r="AC27" s="415"/>
      <c r="AD27" s="415"/>
      <c r="AE27" s="415"/>
    </row>
    <row r="28" spans="1:31" ht="22.5" customHeight="1" x14ac:dyDescent="0.3">
      <c r="A28" s="233">
        <v>20</v>
      </c>
      <c r="B28" s="248">
        <v>4</v>
      </c>
      <c r="C28" s="404"/>
      <c r="D28" s="420" t="s">
        <v>238</v>
      </c>
      <c r="E28" s="420"/>
      <c r="F28" s="421" t="s">
        <v>106</v>
      </c>
      <c r="G28" s="252">
        <v>384695</v>
      </c>
      <c r="H28" s="252">
        <v>441720</v>
      </c>
      <c r="I28" s="253">
        <v>457384</v>
      </c>
      <c r="J28" s="267"/>
      <c r="K28" s="252"/>
      <c r="L28" s="252"/>
      <c r="M28" s="252"/>
      <c r="N28" s="252"/>
      <c r="O28" s="252"/>
      <c r="P28" s="252"/>
      <c r="Q28" s="252"/>
      <c r="R28" s="408"/>
    </row>
    <row r="29" spans="1:31" ht="18" customHeight="1" x14ac:dyDescent="0.3">
      <c r="A29" s="233">
        <v>21</v>
      </c>
      <c r="B29" s="248"/>
      <c r="C29" s="404"/>
      <c r="D29" s="405" t="s">
        <v>239</v>
      </c>
      <c r="E29" s="405"/>
      <c r="F29" s="252"/>
      <c r="G29" s="252"/>
      <c r="H29" s="252"/>
      <c r="I29" s="253"/>
      <c r="J29" s="267"/>
      <c r="K29" s="252"/>
      <c r="L29" s="252"/>
      <c r="M29" s="252"/>
      <c r="N29" s="252"/>
      <c r="O29" s="252"/>
      <c r="P29" s="252"/>
      <c r="Q29" s="252"/>
      <c r="R29" s="408"/>
    </row>
    <row r="30" spans="1:31" s="264" customFormat="1" ht="18" customHeight="1" x14ac:dyDescent="0.3">
      <c r="A30" s="233">
        <v>22</v>
      </c>
      <c r="B30" s="256"/>
      <c r="C30" s="409"/>
      <c r="D30" s="409"/>
      <c r="E30" s="259" t="s">
        <v>230</v>
      </c>
      <c r="F30" s="410"/>
      <c r="G30" s="410"/>
      <c r="H30" s="410"/>
      <c r="I30" s="417"/>
      <c r="J30" s="262">
        <f>SUM(K30:R30)</f>
        <v>539457</v>
      </c>
      <c r="K30" s="413">
        <v>373199</v>
      </c>
      <c r="L30" s="413">
        <v>57099</v>
      </c>
      <c r="M30" s="413">
        <v>107759</v>
      </c>
      <c r="N30" s="413"/>
      <c r="O30" s="413"/>
      <c r="P30" s="413">
        <v>1400</v>
      </c>
      <c r="Q30" s="413"/>
      <c r="R30" s="414"/>
      <c r="S30" s="415"/>
      <c r="T30" s="415"/>
      <c r="U30" s="415"/>
      <c r="V30" s="415"/>
      <c r="W30" s="415"/>
      <c r="X30" s="415"/>
      <c r="Y30" s="415"/>
      <c r="Z30" s="415"/>
      <c r="AA30" s="415"/>
      <c r="AB30" s="415"/>
      <c r="AC30" s="415"/>
      <c r="AD30" s="415"/>
      <c r="AE30" s="415"/>
    </row>
    <row r="31" spans="1:31" s="264" customFormat="1" ht="18" customHeight="1" x14ac:dyDescent="0.3">
      <c r="A31" s="233">
        <v>23</v>
      </c>
      <c r="B31" s="256"/>
      <c r="C31" s="409"/>
      <c r="D31" s="409"/>
      <c r="E31" s="266" t="s">
        <v>231</v>
      </c>
      <c r="F31" s="410"/>
      <c r="G31" s="410"/>
      <c r="H31" s="410"/>
      <c r="I31" s="417"/>
      <c r="J31" s="267">
        <f>SUM(K31:R31)</f>
        <v>578475</v>
      </c>
      <c r="K31" s="416">
        <v>396035</v>
      </c>
      <c r="L31" s="416">
        <v>60481</v>
      </c>
      <c r="M31" s="416">
        <v>115939</v>
      </c>
      <c r="N31" s="416"/>
      <c r="O31" s="416"/>
      <c r="P31" s="416">
        <v>6020</v>
      </c>
      <c r="Q31" s="413"/>
      <c r="R31" s="414"/>
      <c r="S31" s="415"/>
      <c r="T31" s="415"/>
      <c r="U31" s="415"/>
      <c r="V31" s="415"/>
      <c r="W31" s="415"/>
      <c r="X31" s="415"/>
      <c r="Y31" s="415"/>
      <c r="Z31" s="415"/>
      <c r="AA31" s="415"/>
      <c r="AB31" s="415"/>
      <c r="AC31" s="415"/>
      <c r="AD31" s="415"/>
      <c r="AE31" s="415"/>
    </row>
    <row r="32" spans="1:31" s="264" customFormat="1" ht="18" customHeight="1" x14ac:dyDescent="0.3">
      <c r="A32" s="233">
        <v>24</v>
      </c>
      <c r="B32" s="256"/>
      <c r="C32" s="409"/>
      <c r="D32" s="409"/>
      <c r="E32" s="270" t="s">
        <v>288</v>
      </c>
      <c r="F32" s="410"/>
      <c r="G32" s="410"/>
      <c r="H32" s="410"/>
      <c r="I32" s="417"/>
      <c r="J32" s="271">
        <f>SUM(K32:R32)</f>
        <v>200</v>
      </c>
      <c r="K32" s="418">
        <v>2500</v>
      </c>
      <c r="L32" s="418">
        <v>500</v>
      </c>
      <c r="M32" s="418">
        <v>-2800</v>
      </c>
      <c r="N32" s="418"/>
      <c r="O32" s="418"/>
      <c r="P32" s="418"/>
      <c r="Q32" s="413"/>
      <c r="R32" s="414"/>
      <c r="S32" s="415"/>
      <c r="T32" s="415"/>
      <c r="U32" s="415"/>
      <c r="V32" s="415"/>
      <c r="W32" s="415"/>
      <c r="X32" s="415"/>
      <c r="Y32" s="415"/>
      <c r="Z32" s="415"/>
      <c r="AA32" s="415"/>
      <c r="AB32" s="415"/>
      <c r="AC32" s="415"/>
      <c r="AD32" s="415"/>
      <c r="AE32" s="415"/>
    </row>
    <row r="33" spans="1:31" s="264" customFormat="1" ht="18" customHeight="1" x14ac:dyDescent="0.3">
      <c r="A33" s="233">
        <v>25</v>
      </c>
      <c r="B33" s="256"/>
      <c r="C33" s="409"/>
      <c r="D33" s="409"/>
      <c r="E33" s="266" t="s">
        <v>233</v>
      </c>
      <c r="F33" s="410"/>
      <c r="G33" s="410"/>
      <c r="H33" s="410"/>
      <c r="I33" s="417"/>
      <c r="J33" s="267">
        <f>SUM(K33:R33)</f>
        <v>578675</v>
      </c>
      <c r="K33" s="416">
        <f>SUM(K31:K32)</f>
        <v>398535</v>
      </c>
      <c r="L33" s="416">
        <f>SUM(L31:L32)</f>
        <v>60981</v>
      </c>
      <c r="M33" s="416">
        <f>SUM(M31:M32)</f>
        <v>113139</v>
      </c>
      <c r="N33" s="416"/>
      <c r="O33" s="416"/>
      <c r="P33" s="416">
        <f>SUM(P31:P32)</f>
        <v>6020</v>
      </c>
      <c r="Q33" s="413"/>
      <c r="R33" s="414"/>
      <c r="S33" s="415"/>
      <c r="T33" s="415"/>
      <c r="U33" s="415"/>
      <c r="V33" s="415"/>
      <c r="W33" s="415"/>
      <c r="X33" s="415"/>
      <c r="Y33" s="415"/>
      <c r="Z33" s="415"/>
      <c r="AA33" s="415"/>
      <c r="AB33" s="415"/>
      <c r="AC33" s="415"/>
      <c r="AD33" s="415"/>
      <c r="AE33" s="415"/>
    </row>
    <row r="34" spans="1:31" s="330" customFormat="1" ht="22.5" customHeight="1" x14ac:dyDescent="0.3">
      <c r="A34" s="233">
        <v>26</v>
      </c>
      <c r="B34" s="248">
        <v>5</v>
      </c>
      <c r="C34" s="404"/>
      <c r="D34" s="420" t="s">
        <v>241</v>
      </c>
      <c r="E34" s="420"/>
      <c r="F34" s="421" t="s">
        <v>106</v>
      </c>
      <c r="G34" s="252">
        <v>407579</v>
      </c>
      <c r="H34" s="252">
        <v>444365</v>
      </c>
      <c r="I34" s="253">
        <v>452652</v>
      </c>
      <c r="J34" s="267"/>
      <c r="K34" s="252"/>
      <c r="L34" s="252"/>
      <c r="M34" s="252"/>
      <c r="N34" s="425"/>
      <c r="O34" s="425"/>
      <c r="P34" s="425"/>
      <c r="Q34" s="425"/>
      <c r="R34" s="426"/>
      <c r="S34" s="422"/>
      <c r="T34" s="422"/>
      <c r="U34" s="422"/>
      <c r="V34" s="422"/>
      <c r="W34" s="422"/>
      <c r="X34" s="422"/>
      <c r="Y34" s="422"/>
      <c r="Z34" s="422"/>
      <c r="AA34" s="422"/>
      <c r="AB34" s="422"/>
      <c r="AC34" s="422"/>
      <c r="AD34" s="422"/>
      <c r="AE34" s="422"/>
    </row>
    <row r="35" spans="1:31" ht="18" customHeight="1" x14ac:dyDescent="0.3">
      <c r="A35" s="233">
        <v>27</v>
      </c>
      <c r="B35" s="248"/>
      <c r="C35" s="404"/>
      <c r="D35" s="405" t="s">
        <v>242</v>
      </c>
      <c r="E35" s="405"/>
      <c r="F35" s="252"/>
      <c r="G35" s="252"/>
      <c r="H35" s="252"/>
      <c r="I35" s="253"/>
      <c r="J35" s="267"/>
      <c r="K35" s="252"/>
      <c r="L35" s="252"/>
      <c r="M35" s="252"/>
      <c r="N35" s="425"/>
      <c r="O35" s="425"/>
      <c r="P35" s="425"/>
      <c r="Q35" s="425"/>
      <c r="R35" s="426"/>
    </row>
    <row r="36" spans="1:31" s="286" customFormat="1" ht="18" customHeight="1" x14ac:dyDescent="0.3">
      <c r="A36" s="233">
        <v>28</v>
      </c>
      <c r="B36" s="256"/>
      <c r="C36" s="409"/>
      <c r="D36" s="409"/>
      <c r="E36" s="259" t="s">
        <v>230</v>
      </c>
      <c r="F36" s="410"/>
      <c r="G36" s="410"/>
      <c r="H36" s="410"/>
      <c r="I36" s="417"/>
      <c r="J36" s="262">
        <f>SUM(K36:R36)</f>
        <v>579932</v>
      </c>
      <c r="K36" s="413">
        <v>372806</v>
      </c>
      <c r="L36" s="413">
        <v>56014</v>
      </c>
      <c r="M36" s="413">
        <v>149512</v>
      </c>
      <c r="N36" s="413"/>
      <c r="O36" s="413"/>
      <c r="P36" s="413">
        <v>1600</v>
      </c>
      <c r="Q36" s="413"/>
      <c r="R36" s="414"/>
      <c r="S36" s="423"/>
      <c r="T36" s="423"/>
      <c r="U36" s="423"/>
      <c r="V36" s="423"/>
      <c r="W36" s="423"/>
      <c r="X36" s="423"/>
      <c r="Y36" s="423"/>
      <c r="Z36" s="423"/>
      <c r="AA36" s="423"/>
      <c r="AB36" s="423"/>
      <c r="AC36" s="423"/>
      <c r="AD36" s="423"/>
      <c r="AE36" s="423"/>
    </row>
    <row r="37" spans="1:31" s="286" customFormat="1" ht="18" customHeight="1" x14ac:dyDescent="0.3">
      <c r="A37" s="233">
        <v>29</v>
      </c>
      <c r="B37" s="256"/>
      <c r="C37" s="409"/>
      <c r="D37" s="409"/>
      <c r="E37" s="266" t="s">
        <v>231</v>
      </c>
      <c r="F37" s="410"/>
      <c r="G37" s="410"/>
      <c r="H37" s="410"/>
      <c r="I37" s="417"/>
      <c r="J37" s="267">
        <f>SUM(K37:R37)</f>
        <v>619399</v>
      </c>
      <c r="K37" s="416">
        <v>385757</v>
      </c>
      <c r="L37" s="416">
        <v>60092</v>
      </c>
      <c r="M37" s="416">
        <v>165177</v>
      </c>
      <c r="N37" s="416"/>
      <c r="O37" s="416"/>
      <c r="P37" s="416">
        <v>8373</v>
      </c>
      <c r="Q37" s="413"/>
      <c r="R37" s="414"/>
      <c r="S37" s="423"/>
      <c r="T37" s="423"/>
      <c r="U37" s="423"/>
      <c r="V37" s="423"/>
      <c r="W37" s="423"/>
      <c r="X37" s="423"/>
      <c r="Y37" s="423"/>
      <c r="Z37" s="423"/>
      <c r="AA37" s="423"/>
      <c r="AB37" s="423"/>
      <c r="AC37" s="423"/>
      <c r="AD37" s="423"/>
      <c r="AE37" s="423"/>
    </row>
    <row r="38" spans="1:31" s="286" customFormat="1" ht="18" customHeight="1" x14ac:dyDescent="0.3">
      <c r="A38" s="233">
        <v>30</v>
      </c>
      <c r="B38" s="256"/>
      <c r="C38" s="409"/>
      <c r="D38" s="409"/>
      <c r="E38" s="270" t="s">
        <v>287</v>
      </c>
      <c r="F38" s="410"/>
      <c r="G38" s="410"/>
      <c r="H38" s="410"/>
      <c r="I38" s="417"/>
      <c r="J38" s="271">
        <f>SUM(K38:R38)</f>
        <v>0</v>
      </c>
      <c r="K38" s="418">
        <v>-1300</v>
      </c>
      <c r="L38" s="418">
        <v>1300</v>
      </c>
      <c r="M38" s="418"/>
      <c r="N38" s="418"/>
      <c r="O38" s="418"/>
      <c r="P38" s="418"/>
      <c r="Q38" s="413"/>
      <c r="R38" s="414"/>
      <c r="S38" s="423"/>
      <c r="T38" s="423"/>
      <c r="U38" s="423"/>
      <c r="V38" s="423"/>
      <c r="W38" s="423"/>
      <c r="X38" s="423"/>
      <c r="Y38" s="423"/>
      <c r="Z38" s="423"/>
      <c r="AA38" s="423"/>
      <c r="AB38" s="423"/>
      <c r="AC38" s="423"/>
      <c r="AD38" s="423"/>
      <c r="AE38" s="423"/>
    </row>
    <row r="39" spans="1:31" s="286" customFormat="1" ht="18" customHeight="1" x14ac:dyDescent="0.3">
      <c r="A39" s="233">
        <v>31</v>
      </c>
      <c r="B39" s="256"/>
      <c r="C39" s="409"/>
      <c r="D39" s="409"/>
      <c r="E39" s="284" t="s">
        <v>57</v>
      </c>
      <c r="F39" s="410"/>
      <c r="G39" s="410"/>
      <c r="H39" s="410"/>
      <c r="I39" s="417"/>
      <c r="J39" s="271">
        <f>SUM(K39:R39)</f>
        <v>-1200</v>
      </c>
      <c r="K39" s="418"/>
      <c r="L39" s="418"/>
      <c r="M39" s="418"/>
      <c r="N39" s="418"/>
      <c r="O39" s="418"/>
      <c r="P39" s="418">
        <v>-1200</v>
      </c>
      <c r="Q39" s="413"/>
      <c r="R39" s="414"/>
      <c r="S39" s="423"/>
      <c r="T39" s="423"/>
      <c r="U39" s="423"/>
      <c r="V39" s="423"/>
      <c r="W39" s="423"/>
      <c r="X39" s="423"/>
      <c r="Y39" s="423"/>
      <c r="Z39" s="423"/>
      <c r="AA39" s="423"/>
      <c r="AB39" s="423"/>
      <c r="AC39" s="423"/>
      <c r="AD39" s="423"/>
      <c r="AE39" s="423"/>
    </row>
    <row r="40" spans="1:31" s="286" customFormat="1" ht="18" customHeight="1" x14ac:dyDescent="0.3">
      <c r="A40" s="233">
        <v>32</v>
      </c>
      <c r="B40" s="256"/>
      <c r="C40" s="409"/>
      <c r="D40" s="409"/>
      <c r="E40" s="266" t="s">
        <v>233</v>
      </c>
      <c r="F40" s="410"/>
      <c r="G40" s="410"/>
      <c r="H40" s="410"/>
      <c r="I40" s="417"/>
      <c r="J40" s="267">
        <f>SUM(K40:R40)</f>
        <v>618199</v>
      </c>
      <c r="K40" s="416">
        <f>SUM(K37:K39)</f>
        <v>384457</v>
      </c>
      <c r="L40" s="416">
        <f>SUM(L37:L39)</f>
        <v>61392</v>
      </c>
      <c r="M40" s="416">
        <f>SUM(M37:M39)</f>
        <v>165177</v>
      </c>
      <c r="N40" s="416"/>
      <c r="O40" s="416"/>
      <c r="P40" s="416">
        <f>SUM(P37:P39)</f>
        <v>7173</v>
      </c>
      <c r="Q40" s="416"/>
      <c r="R40" s="419"/>
      <c r="S40" s="423"/>
      <c r="T40" s="423"/>
      <c r="U40" s="423"/>
      <c r="V40" s="423"/>
      <c r="W40" s="423"/>
      <c r="X40" s="423"/>
      <c r="Y40" s="423"/>
      <c r="Z40" s="423"/>
      <c r="AA40" s="423"/>
      <c r="AB40" s="423"/>
      <c r="AC40" s="423"/>
      <c r="AD40" s="423"/>
      <c r="AE40" s="423"/>
    </row>
    <row r="41" spans="1:31" s="237" customFormat="1" ht="22.5" customHeight="1" x14ac:dyDescent="0.3">
      <c r="A41" s="233">
        <v>33</v>
      </c>
      <c r="B41" s="248">
        <v>6</v>
      </c>
      <c r="C41" s="404"/>
      <c r="D41" s="420" t="s">
        <v>45</v>
      </c>
      <c r="E41" s="420"/>
      <c r="F41" s="421" t="s">
        <v>106</v>
      </c>
      <c r="G41" s="252">
        <v>228097</v>
      </c>
      <c r="H41" s="252">
        <v>270159</v>
      </c>
      <c r="I41" s="253">
        <v>269715</v>
      </c>
      <c r="J41" s="267"/>
      <c r="K41" s="252"/>
      <c r="L41" s="252"/>
      <c r="M41" s="252"/>
      <c r="N41" s="425"/>
      <c r="O41" s="425"/>
      <c r="P41" s="425"/>
      <c r="Q41" s="425"/>
      <c r="R41" s="426"/>
      <c r="S41" s="427"/>
      <c r="T41" s="427"/>
      <c r="U41" s="427"/>
      <c r="V41" s="427"/>
      <c r="W41" s="427"/>
      <c r="X41" s="427"/>
      <c r="Y41" s="427"/>
      <c r="Z41" s="427"/>
      <c r="AA41" s="427"/>
      <c r="AB41" s="427"/>
      <c r="AC41" s="427"/>
      <c r="AD41" s="427"/>
      <c r="AE41" s="427"/>
    </row>
    <row r="42" spans="1:31" s="330" customFormat="1" ht="18" customHeight="1" x14ac:dyDescent="0.3">
      <c r="A42" s="233">
        <v>34</v>
      </c>
      <c r="B42" s="248"/>
      <c r="C42" s="404"/>
      <c r="D42" s="405" t="s">
        <v>243</v>
      </c>
      <c r="E42" s="405"/>
      <c r="F42" s="252"/>
      <c r="G42" s="252"/>
      <c r="H42" s="252"/>
      <c r="I42" s="253"/>
      <c r="J42" s="267"/>
      <c r="K42" s="252"/>
      <c r="L42" s="252"/>
      <c r="M42" s="252"/>
      <c r="N42" s="425"/>
      <c r="O42" s="425"/>
      <c r="P42" s="425"/>
      <c r="Q42" s="425"/>
      <c r="R42" s="426"/>
      <c r="S42" s="422"/>
      <c r="T42" s="422"/>
      <c r="U42" s="422"/>
      <c r="V42" s="422"/>
      <c r="W42" s="422"/>
      <c r="X42" s="422"/>
      <c r="Y42" s="422"/>
      <c r="Z42" s="422"/>
      <c r="AA42" s="422"/>
      <c r="AB42" s="422"/>
      <c r="AC42" s="422"/>
      <c r="AD42" s="422"/>
      <c r="AE42" s="422"/>
    </row>
    <row r="43" spans="1:31" s="286" customFormat="1" ht="18" customHeight="1" x14ac:dyDescent="0.3">
      <c r="A43" s="233">
        <v>35</v>
      </c>
      <c r="B43" s="256"/>
      <c r="C43" s="409"/>
      <c r="D43" s="409"/>
      <c r="E43" s="259" t="s">
        <v>230</v>
      </c>
      <c r="F43" s="410"/>
      <c r="G43" s="410"/>
      <c r="H43" s="410"/>
      <c r="I43" s="417"/>
      <c r="J43" s="262">
        <f>SUM(K43:R43)</f>
        <v>339398</v>
      </c>
      <c r="K43" s="413">
        <v>216724</v>
      </c>
      <c r="L43" s="413">
        <v>33439</v>
      </c>
      <c r="M43" s="413">
        <v>88535</v>
      </c>
      <c r="N43" s="413"/>
      <c r="O43" s="413"/>
      <c r="P43" s="413">
        <v>700</v>
      </c>
      <c r="Q43" s="413"/>
      <c r="R43" s="414"/>
      <c r="S43" s="423"/>
      <c r="T43" s="423"/>
      <c r="U43" s="423"/>
      <c r="V43" s="423"/>
      <c r="W43" s="423"/>
      <c r="X43" s="423"/>
      <c r="Y43" s="423"/>
      <c r="Z43" s="423"/>
      <c r="AA43" s="423"/>
      <c r="AB43" s="423"/>
      <c r="AC43" s="423"/>
      <c r="AD43" s="423"/>
      <c r="AE43" s="423"/>
    </row>
    <row r="44" spans="1:31" s="286" customFormat="1" ht="18" customHeight="1" x14ac:dyDescent="0.3">
      <c r="A44" s="233">
        <v>36</v>
      </c>
      <c r="B44" s="256"/>
      <c r="C44" s="428"/>
      <c r="D44" s="409"/>
      <c r="E44" s="266" t="s">
        <v>231</v>
      </c>
      <c r="F44" s="410"/>
      <c r="G44" s="410"/>
      <c r="H44" s="410"/>
      <c r="I44" s="417"/>
      <c r="J44" s="267">
        <f>SUM(K44:R44)</f>
        <v>366113</v>
      </c>
      <c r="K44" s="416">
        <v>231389</v>
      </c>
      <c r="L44" s="416">
        <v>37436</v>
      </c>
      <c r="M44" s="416">
        <v>92450</v>
      </c>
      <c r="N44" s="416"/>
      <c r="O44" s="416"/>
      <c r="P44" s="416">
        <v>4838</v>
      </c>
      <c r="Q44" s="413"/>
      <c r="R44" s="414"/>
      <c r="S44" s="423"/>
      <c r="T44" s="423"/>
      <c r="U44" s="423"/>
      <c r="V44" s="423"/>
      <c r="W44" s="423"/>
      <c r="X44" s="423"/>
      <c r="Y44" s="423"/>
      <c r="Z44" s="423"/>
      <c r="AA44" s="423"/>
      <c r="AB44" s="423"/>
      <c r="AC44" s="423"/>
      <c r="AD44" s="423"/>
      <c r="AE44" s="423"/>
    </row>
    <row r="45" spans="1:31" s="286" customFormat="1" ht="18" customHeight="1" x14ac:dyDescent="0.3">
      <c r="A45" s="233">
        <v>37</v>
      </c>
      <c r="B45" s="256"/>
      <c r="C45" s="429"/>
      <c r="D45" s="430"/>
      <c r="E45" s="270" t="s">
        <v>287</v>
      </c>
      <c r="F45" s="410"/>
      <c r="G45" s="410"/>
      <c r="H45" s="410"/>
      <c r="I45" s="417"/>
      <c r="J45" s="271">
        <f>SUM(K45:R45)</f>
        <v>0</v>
      </c>
      <c r="K45" s="418"/>
      <c r="L45" s="418">
        <v>2000</v>
      </c>
      <c r="M45" s="418">
        <v>-2000</v>
      </c>
      <c r="N45" s="418"/>
      <c r="O45" s="418"/>
      <c r="P45" s="418"/>
      <c r="Q45" s="413"/>
      <c r="R45" s="414"/>
      <c r="S45" s="423"/>
      <c r="T45" s="423"/>
      <c r="U45" s="423"/>
      <c r="V45" s="423"/>
      <c r="W45" s="423"/>
      <c r="X45" s="423"/>
      <c r="Y45" s="423"/>
      <c r="Z45" s="423"/>
      <c r="AA45" s="423"/>
      <c r="AB45" s="423"/>
      <c r="AC45" s="423"/>
      <c r="AD45" s="423"/>
      <c r="AE45" s="423"/>
    </row>
    <row r="46" spans="1:31" s="286" customFormat="1" ht="18" customHeight="1" x14ac:dyDescent="0.3">
      <c r="A46" s="233">
        <v>38</v>
      </c>
      <c r="B46" s="256"/>
      <c r="C46" s="431"/>
      <c r="D46" s="432"/>
      <c r="E46" s="266" t="s">
        <v>233</v>
      </c>
      <c r="F46" s="433"/>
      <c r="G46" s="433"/>
      <c r="H46" s="433"/>
      <c r="I46" s="434"/>
      <c r="J46" s="267">
        <f>SUM(K46:R46)</f>
        <v>366113</v>
      </c>
      <c r="K46" s="435">
        <f>SUM(K44:K45)</f>
        <v>231389</v>
      </c>
      <c r="L46" s="435">
        <f>SUM(L44:L45)</f>
        <v>39436</v>
      </c>
      <c r="M46" s="435">
        <f>SUM(M44:M45)</f>
        <v>90450</v>
      </c>
      <c r="N46" s="435"/>
      <c r="O46" s="435"/>
      <c r="P46" s="435">
        <f>SUM(P44:P45)</f>
        <v>4838</v>
      </c>
      <c r="Q46" s="435"/>
      <c r="R46" s="436"/>
      <c r="S46" s="423"/>
      <c r="T46" s="423"/>
      <c r="U46" s="423"/>
      <c r="V46" s="423"/>
      <c r="W46" s="423"/>
      <c r="X46" s="423"/>
      <c r="Y46" s="423"/>
      <c r="Z46" s="423"/>
      <c r="AA46" s="423"/>
      <c r="AB46" s="423"/>
      <c r="AC46" s="423"/>
      <c r="AD46" s="423"/>
      <c r="AE46" s="423"/>
    </row>
    <row r="47" spans="1:31" s="443" customFormat="1" ht="22.5" customHeight="1" x14ac:dyDescent="0.2">
      <c r="A47" s="233">
        <v>39</v>
      </c>
      <c r="B47" s="437"/>
      <c r="C47" s="1930" t="s">
        <v>244</v>
      </c>
      <c r="D47" s="1930"/>
      <c r="E47" s="1930"/>
      <c r="F47" s="438"/>
      <c r="G47" s="438">
        <f>SUM(G9:G43)</f>
        <v>2128269</v>
      </c>
      <c r="H47" s="438">
        <f>SUM(H9:H43)</f>
        <v>2486834</v>
      </c>
      <c r="I47" s="439">
        <f>SUM(I9:I43)</f>
        <v>2505071</v>
      </c>
      <c r="J47" s="440"/>
      <c r="K47" s="438"/>
      <c r="L47" s="438"/>
      <c r="M47" s="438"/>
      <c r="N47" s="438"/>
      <c r="O47" s="438"/>
      <c r="P47" s="438"/>
      <c r="Q47" s="438"/>
      <c r="R47" s="441"/>
      <c r="S47" s="442"/>
      <c r="T47" s="442"/>
      <c r="U47" s="442"/>
      <c r="V47" s="442"/>
      <c r="W47" s="442"/>
      <c r="X47" s="442"/>
      <c r="Y47" s="442"/>
      <c r="Z47" s="442"/>
      <c r="AA47" s="442"/>
      <c r="AB47" s="442"/>
      <c r="AC47" s="442"/>
      <c r="AD47" s="442"/>
      <c r="AE47" s="442"/>
    </row>
    <row r="48" spans="1:31" s="264" customFormat="1" ht="18" customHeight="1" x14ac:dyDescent="0.3">
      <c r="A48" s="233">
        <v>40</v>
      </c>
      <c r="B48" s="256"/>
      <c r="C48" s="444"/>
      <c r="D48" s="445"/>
      <c r="E48" s="383" t="s">
        <v>230</v>
      </c>
      <c r="F48" s="446"/>
      <c r="G48" s="446"/>
      <c r="H48" s="446"/>
      <c r="I48" s="447"/>
      <c r="J48" s="448">
        <f>SUM(K48:R48)</f>
        <v>3061705</v>
      </c>
      <c r="K48" s="449">
        <f t="shared" ref="K48:R49" si="0">SUM(K11,K17,K23,K30,K36,K43)</f>
        <v>2044750</v>
      </c>
      <c r="L48" s="449">
        <f t="shared" si="0"/>
        <v>313463</v>
      </c>
      <c r="M48" s="449">
        <f t="shared" si="0"/>
        <v>695192</v>
      </c>
      <c r="N48" s="449">
        <f t="shared" si="0"/>
        <v>0</v>
      </c>
      <c r="O48" s="449">
        <f t="shared" si="0"/>
        <v>0</v>
      </c>
      <c r="P48" s="449">
        <f t="shared" si="0"/>
        <v>8300</v>
      </c>
      <c r="Q48" s="449">
        <f t="shared" si="0"/>
        <v>0</v>
      </c>
      <c r="R48" s="450">
        <f t="shared" si="0"/>
        <v>0</v>
      </c>
      <c r="S48" s="415"/>
      <c r="T48" s="415"/>
      <c r="U48" s="415"/>
      <c r="V48" s="415"/>
      <c r="W48" s="415"/>
      <c r="X48" s="415"/>
      <c r="Y48" s="415"/>
      <c r="Z48" s="415"/>
      <c r="AA48" s="415"/>
      <c r="AB48" s="415"/>
      <c r="AC48" s="415"/>
      <c r="AD48" s="415"/>
      <c r="AE48" s="415"/>
    </row>
    <row r="49" spans="1:31" s="264" customFormat="1" ht="18" customHeight="1" x14ac:dyDescent="0.3">
      <c r="A49" s="233">
        <v>41</v>
      </c>
      <c r="B49" s="256"/>
      <c r="C49" s="444"/>
      <c r="D49" s="445"/>
      <c r="E49" s="266" t="s">
        <v>231</v>
      </c>
      <c r="F49" s="446"/>
      <c r="G49" s="446"/>
      <c r="H49" s="446"/>
      <c r="I49" s="447"/>
      <c r="J49" s="451">
        <f>SUM(K49:R49)</f>
        <v>3277368</v>
      </c>
      <c r="K49" s="452">
        <f t="shared" si="0"/>
        <v>2151650</v>
      </c>
      <c r="L49" s="452">
        <f t="shared" si="0"/>
        <v>333707</v>
      </c>
      <c r="M49" s="452">
        <f t="shared" si="0"/>
        <v>746028</v>
      </c>
      <c r="N49" s="452">
        <f t="shared" si="0"/>
        <v>0</v>
      </c>
      <c r="O49" s="452">
        <f t="shared" si="0"/>
        <v>0</v>
      </c>
      <c r="P49" s="452">
        <f t="shared" si="0"/>
        <v>45983</v>
      </c>
      <c r="Q49" s="452">
        <f t="shared" si="0"/>
        <v>0</v>
      </c>
      <c r="R49" s="453">
        <f t="shared" si="0"/>
        <v>0</v>
      </c>
      <c r="S49" s="415"/>
      <c r="T49" s="415"/>
      <c r="U49" s="415"/>
      <c r="V49" s="415"/>
      <c r="W49" s="415"/>
      <c r="X49" s="415"/>
      <c r="Y49" s="415"/>
      <c r="Z49" s="415"/>
      <c r="AA49" s="415"/>
      <c r="AB49" s="415"/>
      <c r="AC49" s="415"/>
      <c r="AD49" s="415"/>
      <c r="AE49" s="415"/>
    </row>
    <row r="50" spans="1:31" s="264" customFormat="1" ht="18" customHeight="1" x14ac:dyDescent="0.3">
      <c r="A50" s="233">
        <v>42</v>
      </c>
      <c r="B50" s="256"/>
      <c r="C50" s="430"/>
      <c r="D50" s="409"/>
      <c r="E50" s="270" t="s">
        <v>245</v>
      </c>
      <c r="F50" s="410"/>
      <c r="G50" s="410"/>
      <c r="H50" s="410"/>
      <c r="I50" s="417"/>
      <c r="J50" s="271">
        <f>SUM(K50:R50)</f>
        <v>-5000</v>
      </c>
      <c r="K50" s="418">
        <f t="shared" ref="K50:R50" si="1">K45+K38+K32+K25+K19+K13+K39+K26</f>
        <v>1510</v>
      </c>
      <c r="L50" s="418">
        <f t="shared" si="1"/>
        <v>3840</v>
      </c>
      <c r="M50" s="418">
        <f t="shared" si="1"/>
        <v>-8400</v>
      </c>
      <c r="N50" s="418">
        <f t="shared" si="1"/>
        <v>0</v>
      </c>
      <c r="O50" s="418">
        <f t="shared" si="1"/>
        <v>0</v>
      </c>
      <c r="P50" s="418">
        <f t="shared" si="1"/>
        <v>-1950</v>
      </c>
      <c r="Q50" s="418">
        <f t="shared" si="1"/>
        <v>0</v>
      </c>
      <c r="R50" s="454">
        <f t="shared" si="1"/>
        <v>0</v>
      </c>
      <c r="S50" s="415"/>
      <c r="T50" s="415"/>
      <c r="U50" s="415"/>
      <c r="V50" s="415"/>
      <c r="W50" s="415"/>
      <c r="X50" s="415"/>
      <c r="Y50" s="415"/>
      <c r="Z50" s="415"/>
      <c r="AA50" s="415"/>
      <c r="AB50" s="415"/>
      <c r="AC50" s="415"/>
      <c r="AD50" s="415"/>
      <c r="AE50" s="415"/>
    </row>
    <row r="51" spans="1:31" s="264" customFormat="1" ht="18" customHeight="1" x14ac:dyDescent="0.3">
      <c r="A51" s="233">
        <v>43</v>
      </c>
      <c r="B51" s="256"/>
      <c r="C51" s="455"/>
      <c r="D51" s="456"/>
      <c r="E51" s="336" t="s">
        <v>233</v>
      </c>
      <c r="F51" s="457"/>
      <c r="G51" s="457"/>
      <c r="H51" s="457"/>
      <c r="I51" s="434"/>
      <c r="J51" s="458">
        <f>SUM(K51:R51)</f>
        <v>3272368</v>
      </c>
      <c r="K51" s="459">
        <f t="shared" ref="K51:R51" si="2">SUM(K49:K50)</f>
        <v>2153160</v>
      </c>
      <c r="L51" s="459">
        <f t="shared" si="2"/>
        <v>337547</v>
      </c>
      <c r="M51" s="459">
        <f t="shared" si="2"/>
        <v>737628</v>
      </c>
      <c r="N51" s="459">
        <f t="shared" si="2"/>
        <v>0</v>
      </c>
      <c r="O51" s="459">
        <f t="shared" si="2"/>
        <v>0</v>
      </c>
      <c r="P51" s="459">
        <f t="shared" si="2"/>
        <v>44033</v>
      </c>
      <c r="Q51" s="459">
        <f t="shared" si="2"/>
        <v>0</v>
      </c>
      <c r="R51" s="460">
        <f t="shared" si="2"/>
        <v>0</v>
      </c>
      <c r="S51" s="415"/>
      <c r="T51" s="415"/>
      <c r="U51" s="415"/>
      <c r="V51" s="415"/>
      <c r="W51" s="415"/>
      <c r="X51" s="415"/>
      <c r="Y51" s="415"/>
      <c r="Z51" s="415"/>
      <c r="AA51" s="415"/>
      <c r="AB51" s="415"/>
      <c r="AC51" s="415"/>
      <c r="AD51" s="415"/>
      <c r="AE51" s="415"/>
    </row>
    <row r="52" spans="1:31" s="237" customFormat="1" ht="22.5" customHeight="1" x14ac:dyDescent="0.3">
      <c r="A52" s="233">
        <v>44</v>
      </c>
      <c r="B52" s="240">
        <v>7</v>
      </c>
      <c r="C52" s="398"/>
      <c r="D52" s="399" t="s">
        <v>46</v>
      </c>
      <c r="E52" s="461"/>
      <c r="F52" s="400" t="s">
        <v>106</v>
      </c>
      <c r="G52" s="244">
        <v>1435465</v>
      </c>
      <c r="H52" s="244">
        <v>1651476</v>
      </c>
      <c r="I52" s="462">
        <v>1703488</v>
      </c>
      <c r="J52" s="463"/>
      <c r="K52" s="244"/>
      <c r="L52" s="244"/>
      <c r="M52" s="244"/>
      <c r="N52" s="244"/>
      <c r="O52" s="244"/>
      <c r="P52" s="244"/>
      <c r="Q52" s="244"/>
      <c r="R52" s="403"/>
      <c r="S52" s="427"/>
      <c r="T52" s="427"/>
      <c r="U52" s="427"/>
      <c r="V52" s="427"/>
      <c r="W52" s="427"/>
      <c r="X52" s="427"/>
      <c r="Y52" s="427"/>
      <c r="Z52" s="427"/>
      <c r="AA52" s="427"/>
      <c r="AB52" s="427"/>
      <c r="AC52" s="427"/>
      <c r="AD52" s="427"/>
      <c r="AE52" s="427"/>
    </row>
    <row r="53" spans="1:31" s="264" customFormat="1" ht="18" customHeight="1" x14ac:dyDescent="0.3">
      <c r="A53" s="233">
        <v>45</v>
      </c>
      <c r="B53" s="256"/>
      <c r="C53" s="409"/>
      <c r="D53" s="409"/>
      <c r="E53" s="259" t="s">
        <v>230</v>
      </c>
      <c r="F53" s="410"/>
      <c r="G53" s="410"/>
      <c r="H53" s="410"/>
      <c r="I53" s="417"/>
      <c r="J53" s="262">
        <f>SUM(K53:R53)</f>
        <v>1825483</v>
      </c>
      <c r="K53" s="413">
        <v>1335279</v>
      </c>
      <c r="L53" s="413">
        <v>199391</v>
      </c>
      <c r="M53" s="413">
        <v>282484</v>
      </c>
      <c r="N53" s="413"/>
      <c r="O53" s="413"/>
      <c r="P53" s="413">
        <v>8329</v>
      </c>
      <c r="Q53" s="413"/>
      <c r="R53" s="414"/>
      <c r="S53" s="415"/>
      <c r="T53" s="415"/>
      <c r="U53" s="415"/>
      <c r="V53" s="415"/>
      <c r="W53" s="415"/>
      <c r="X53" s="415"/>
      <c r="Y53" s="415"/>
      <c r="Z53" s="415"/>
      <c r="AA53" s="415"/>
      <c r="AB53" s="415"/>
      <c r="AC53" s="415"/>
      <c r="AD53" s="415"/>
      <c r="AE53" s="415"/>
    </row>
    <row r="54" spans="1:31" s="264" customFormat="1" ht="18" customHeight="1" x14ac:dyDescent="0.3">
      <c r="A54" s="233">
        <v>46</v>
      </c>
      <c r="B54" s="256"/>
      <c r="C54" s="409"/>
      <c r="D54" s="409"/>
      <c r="E54" s="266" t="s">
        <v>231</v>
      </c>
      <c r="F54" s="410"/>
      <c r="G54" s="410"/>
      <c r="H54" s="410"/>
      <c r="I54" s="417"/>
      <c r="J54" s="267">
        <f>SUM(K54:R54)</f>
        <v>2037894</v>
      </c>
      <c r="K54" s="416">
        <v>1466990</v>
      </c>
      <c r="L54" s="416">
        <v>216626</v>
      </c>
      <c r="M54" s="416">
        <v>326314</v>
      </c>
      <c r="N54" s="416"/>
      <c r="O54" s="416"/>
      <c r="P54" s="416">
        <v>27964</v>
      </c>
      <c r="Q54" s="413"/>
      <c r="R54" s="414"/>
      <c r="S54" s="415"/>
      <c r="T54" s="415"/>
      <c r="U54" s="415"/>
      <c r="V54" s="415"/>
      <c r="W54" s="415"/>
      <c r="X54" s="415"/>
      <c r="Y54" s="415"/>
      <c r="Z54" s="415"/>
      <c r="AA54" s="415"/>
      <c r="AB54" s="415"/>
      <c r="AC54" s="415"/>
      <c r="AD54" s="415"/>
      <c r="AE54" s="415"/>
    </row>
    <row r="55" spans="1:31" s="264" customFormat="1" ht="18" customHeight="1" x14ac:dyDescent="0.3">
      <c r="A55" s="233">
        <v>47</v>
      </c>
      <c r="B55" s="256"/>
      <c r="C55" s="409"/>
      <c r="D55" s="409"/>
      <c r="E55" s="270" t="s">
        <v>246</v>
      </c>
      <c r="F55" s="410"/>
      <c r="G55" s="410"/>
      <c r="H55" s="410"/>
      <c r="I55" s="417"/>
      <c r="J55" s="271">
        <f>SUM(K55:R55)</f>
        <v>2772</v>
      </c>
      <c r="K55" s="418">
        <v>2453</v>
      </c>
      <c r="L55" s="418">
        <v>319</v>
      </c>
      <c r="M55" s="418"/>
      <c r="N55" s="418"/>
      <c r="O55" s="418"/>
      <c r="P55" s="418"/>
      <c r="Q55" s="413"/>
      <c r="R55" s="414"/>
      <c r="S55" s="415"/>
      <c r="T55" s="415"/>
      <c r="U55" s="415"/>
      <c r="V55" s="415"/>
      <c r="W55" s="415"/>
      <c r="X55" s="415"/>
      <c r="Y55" s="415"/>
      <c r="Z55" s="415"/>
      <c r="AA55" s="415"/>
      <c r="AB55" s="415"/>
      <c r="AC55" s="415"/>
      <c r="AD55" s="415"/>
      <c r="AE55" s="415"/>
    </row>
    <row r="56" spans="1:31" s="264" customFormat="1" ht="18" customHeight="1" x14ac:dyDescent="0.3">
      <c r="A56" s="233">
        <v>48</v>
      </c>
      <c r="B56" s="256"/>
      <c r="C56" s="409"/>
      <c r="D56" s="409"/>
      <c r="E56" s="322" t="s">
        <v>289</v>
      </c>
      <c r="F56" s="410"/>
      <c r="G56" s="410"/>
      <c r="H56" s="410"/>
      <c r="I56" s="417"/>
      <c r="J56" s="464">
        <f>SUM(K56:R56)</f>
        <v>7827</v>
      </c>
      <c r="K56" s="418">
        <v>-10000</v>
      </c>
      <c r="L56" s="418">
        <v>-1300</v>
      </c>
      <c r="M56" s="418">
        <v>19127</v>
      </c>
      <c r="N56" s="413"/>
      <c r="O56" s="413"/>
      <c r="P56" s="465"/>
      <c r="Q56" s="413"/>
      <c r="R56" s="414"/>
      <c r="S56" s="415"/>
      <c r="T56" s="415"/>
      <c r="U56" s="415"/>
      <c r="V56" s="415"/>
      <c r="W56" s="415"/>
      <c r="X56" s="415"/>
      <c r="Y56" s="415"/>
      <c r="Z56" s="415"/>
      <c r="AA56" s="415"/>
      <c r="AB56" s="415"/>
      <c r="AC56" s="415"/>
      <c r="AD56" s="415"/>
      <c r="AE56" s="415"/>
    </row>
    <row r="57" spans="1:31" s="264" customFormat="1" ht="18" customHeight="1" x14ac:dyDescent="0.3">
      <c r="A57" s="233">
        <v>49</v>
      </c>
      <c r="B57" s="256"/>
      <c r="C57" s="409"/>
      <c r="D57" s="409"/>
      <c r="E57" s="266" t="s">
        <v>233</v>
      </c>
      <c r="F57" s="410"/>
      <c r="G57" s="410"/>
      <c r="H57" s="410"/>
      <c r="I57" s="417"/>
      <c r="J57" s="267">
        <f>SUM(K57:R57)</f>
        <v>2048493</v>
      </c>
      <c r="K57" s="416">
        <f>SUM(K54:K56)</f>
        <v>1459443</v>
      </c>
      <c r="L57" s="416">
        <f>SUM(L54:L56)</f>
        <v>215645</v>
      </c>
      <c r="M57" s="416">
        <f>SUM(M54:M56)</f>
        <v>345441</v>
      </c>
      <c r="N57" s="416"/>
      <c r="O57" s="416"/>
      <c r="P57" s="416">
        <f>SUM(P54:P56)</f>
        <v>27964</v>
      </c>
      <c r="Q57" s="416"/>
      <c r="R57" s="414"/>
      <c r="S57" s="415"/>
      <c r="T57" s="415"/>
      <c r="U57" s="415"/>
      <c r="V57" s="415"/>
      <c r="W57" s="415"/>
      <c r="X57" s="415"/>
      <c r="Y57" s="415"/>
      <c r="Z57" s="415"/>
      <c r="AA57" s="415"/>
      <c r="AB57" s="415"/>
      <c r="AC57" s="415"/>
      <c r="AD57" s="415"/>
      <c r="AE57" s="415"/>
    </row>
    <row r="58" spans="1:31" s="330" customFormat="1" ht="22.5" customHeight="1" x14ac:dyDescent="0.3">
      <c r="A58" s="233">
        <v>50</v>
      </c>
      <c r="B58" s="248">
        <v>8</v>
      </c>
      <c r="C58" s="404"/>
      <c r="D58" s="420" t="s">
        <v>47</v>
      </c>
      <c r="E58" s="420"/>
      <c r="F58" s="421" t="s">
        <v>106</v>
      </c>
      <c r="G58" s="252">
        <v>105788</v>
      </c>
      <c r="H58" s="252">
        <v>96614</v>
      </c>
      <c r="I58" s="253">
        <v>123896</v>
      </c>
      <c r="J58" s="466"/>
      <c r="K58" s="252"/>
      <c r="L58" s="252"/>
      <c r="M58" s="252"/>
      <c r="N58" s="252"/>
      <c r="O58" s="252"/>
      <c r="P58" s="252"/>
      <c r="Q58" s="252"/>
      <c r="R58" s="408"/>
      <c r="S58" s="422"/>
      <c r="T58" s="422"/>
      <c r="U58" s="422"/>
      <c r="V58" s="422"/>
      <c r="W58" s="422"/>
      <c r="X58" s="422"/>
      <c r="Y58" s="422"/>
      <c r="Z58" s="422"/>
      <c r="AA58" s="422"/>
      <c r="AB58" s="422"/>
      <c r="AC58" s="422"/>
      <c r="AD58" s="422"/>
      <c r="AE58" s="422"/>
    </row>
    <row r="59" spans="1:31" s="286" customFormat="1" ht="18" customHeight="1" x14ac:dyDescent="0.3">
      <c r="A59" s="233">
        <v>51</v>
      </c>
      <c r="B59" s="467"/>
      <c r="C59" s="468"/>
      <c r="D59" s="468"/>
      <c r="E59" s="259" t="s">
        <v>230</v>
      </c>
      <c r="F59" s="469"/>
      <c r="G59" s="469"/>
      <c r="H59" s="469"/>
      <c r="I59" s="417"/>
      <c r="J59" s="262">
        <f t="shared" ref="J59:J64" si="3">SUM(K59:R59)</f>
        <v>123176</v>
      </c>
      <c r="K59" s="413">
        <v>68672</v>
      </c>
      <c r="L59" s="413">
        <v>9339</v>
      </c>
      <c r="M59" s="413">
        <v>44665</v>
      </c>
      <c r="N59" s="413"/>
      <c r="O59" s="413"/>
      <c r="P59" s="413">
        <v>500</v>
      </c>
      <c r="Q59" s="413"/>
      <c r="R59" s="414"/>
      <c r="S59" s="423"/>
      <c r="T59" s="423"/>
      <c r="U59" s="423"/>
      <c r="V59" s="423"/>
      <c r="W59" s="423"/>
      <c r="X59" s="423"/>
      <c r="Y59" s="423"/>
      <c r="Z59" s="423"/>
      <c r="AA59" s="423"/>
      <c r="AB59" s="423"/>
      <c r="AC59" s="423"/>
      <c r="AD59" s="423"/>
      <c r="AE59" s="423"/>
    </row>
    <row r="60" spans="1:31" s="286" customFormat="1" ht="18" customHeight="1" x14ac:dyDescent="0.3">
      <c r="A60" s="233">
        <v>52</v>
      </c>
      <c r="B60" s="467"/>
      <c r="C60" s="468"/>
      <c r="D60" s="468"/>
      <c r="E60" s="266" t="s">
        <v>231</v>
      </c>
      <c r="F60" s="469"/>
      <c r="G60" s="469"/>
      <c r="H60" s="469"/>
      <c r="I60" s="417"/>
      <c r="J60" s="267">
        <f t="shared" si="3"/>
        <v>167766</v>
      </c>
      <c r="K60" s="416">
        <v>97469</v>
      </c>
      <c r="L60" s="416">
        <v>11958</v>
      </c>
      <c r="M60" s="416">
        <v>57239</v>
      </c>
      <c r="N60" s="416"/>
      <c r="O60" s="416"/>
      <c r="P60" s="416">
        <v>1100</v>
      </c>
      <c r="Q60" s="413"/>
      <c r="R60" s="414"/>
      <c r="S60" s="423"/>
      <c r="T60" s="423"/>
      <c r="U60" s="423"/>
      <c r="V60" s="423"/>
      <c r="W60" s="423"/>
      <c r="X60" s="423"/>
      <c r="Y60" s="423"/>
      <c r="Z60" s="423"/>
      <c r="AA60" s="423"/>
      <c r="AB60" s="423"/>
      <c r="AC60" s="423"/>
      <c r="AD60" s="423"/>
      <c r="AE60" s="423"/>
    </row>
    <row r="61" spans="1:31" s="286" customFormat="1" ht="18" customHeight="1" x14ac:dyDescent="0.3">
      <c r="A61" s="233">
        <v>53</v>
      </c>
      <c r="B61" s="467"/>
      <c r="C61" s="468"/>
      <c r="D61" s="468"/>
      <c r="E61" s="270" t="s">
        <v>246</v>
      </c>
      <c r="F61" s="469"/>
      <c r="G61" s="469"/>
      <c r="H61" s="469"/>
      <c r="I61" s="417"/>
      <c r="J61" s="271">
        <f t="shared" si="3"/>
        <v>2373</v>
      </c>
      <c r="K61" s="418">
        <v>2100</v>
      </c>
      <c r="L61" s="418">
        <v>273</v>
      </c>
      <c r="M61" s="418"/>
      <c r="N61" s="418"/>
      <c r="O61" s="418"/>
      <c r="P61" s="418"/>
      <c r="Q61" s="413"/>
      <c r="R61" s="414"/>
      <c r="S61" s="423"/>
      <c r="T61" s="423"/>
      <c r="U61" s="423"/>
      <c r="V61" s="423"/>
      <c r="W61" s="423"/>
      <c r="X61" s="423"/>
      <c r="Y61" s="423"/>
      <c r="Z61" s="423"/>
      <c r="AA61" s="423"/>
      <c r="AB61" s="423"/>
      <c r="AC61" s="423"/>
      <c r="AD61" s="423"/>
      <c r="AE61" s="423"/>
    </row>
    <row r="62" spans="1:31" s="286" customFormat="1" ht="18" customHeight="1" x14ac:dyDescent="0.3">
      <c r="A62" s="233">
        <v>54</v>
      </c>
      <c r="B62" s="467"/>
      <c r="C62" s="468"/>
      <c r="D62" s="468"/>
      <c r="E62" s="284" t="s">
        <v>290</v>
      </c>
      <c r="F62" s="469"/>
      <c r="G62" s="469"/>
      <c r="H62" s="469"/>
      <c r="I62" s="417"/>
      <c r="J62" s="271">
        <f t="shared" si="3"/>
        <v>0</v>
      </c>
      <c r="K62" s="418">
        <v>6000</v>
      </c>
      <c r="L62" s="418">
        <v>780</v>
      </c>
      <c r="M62" s="418">
        <v>-6780</v>
      </c>
      <c r="N62" s="418"/>
      <c r="O62" s="418"/>
      <c r="P62" s="418"/>
      <c r="Q62" s="413"/>
      <c r="R62" s="414"/>
      <c r="S62" s="423"/>
      <c r="T62" s="423"/>
      <c r="U62" s="423"/>
      <c r="V62" s="423"/>
      <c r="W62" s="423"/>
      <c r="X62" s="423"/>
      <c r="Y62" s="423"/>
      <c r="Z62" s="423"/>
      <c r="AA62" s="423"/>
      <c r="AB62" s="423"/>
      <c r="AC62" s="423"/>
      <c r="AD62" s="423"/>
      <c r="AE62" s="423"/>
    </row>
    <row r="63" spans="1:31" s="286" customFormat="1" ht="18" customHeight="1" x14ac:dyDescent="0.3">
      <c r="A63" s="233">
        <v>55</v>
      </c>
      <c r="B63" s="467"/>
      <c r="C63" s="468"/>
      <c r="D63" s="468"/>
      <c r="E63" s="284" t="s">
        <v>250</v>
      </c>
      <c r="F63" s="469"/>
      <c r="G63" s="469"/>
      <c r="H63" s="469"/>
      <c r="I63" s="417"/>
      <c r="J63" s="271">
        <f t="shared" si="3"/>
        <v>288</v>
      </c>
      <c r="K63" s="418">
        <v>288</v>
      </c>
      <c r="L63" s="418"/>
      <c r="M63" s="418"/>
      <c r="N63" s="418"/>
      <c r="O63" s="418"/>
      <c r="P63" s="418"/>
      <c r="Q63" s="413"/>
      <c r="R63" s="414"/>
      <c r="S63" s="423"/>
      <c r="T63" s="423"/>
      <c r="U63" s="423"/>
      <c r="V63" s="423"/>
      <c r="W63" s="423"/>
      <c r="X63" s="423"/>
      <c r="Y63" s="423"/>
      <c r="Z63" s="423"/>
      <c r="AA63" s="423"/>
      <c r="AB63" s="423"/>
      <c r="AC63" s="423"/>
      <c r="AD63" s="423"/>
      <c r="AE63" s="423"/>
    </row>
    <row r="64" spans="1:31" s="286" customFormat="1" ht="18" customHeight="1" x14ac:dyDescent="0.3">
      <c r="A64" s="233">
        <v>56</v>
      </c>
      <c r="B64" s="467"/>
      <c r="C64" s="468"/>
      <c r="D64" s="468"/>
      <c r="E64" s="266" t="s">
        <v>233</v>
      </c>
      <c r="F64" s="469"/>
      <c r="G64" s="469"/>
      <c r="H64" s="469"/>
      <c r="I64" s="417"/>
      <c r="J64" s="267">
        <f t="shared" si="3"/>
        <v>170427</v>
      </c>
      <c r="K64" s="416">
        <f>SUM(K60:K63)</f>
        <v>105857</v>
      </c>
      <c r="L64" s="416">
        <f>SUM(L60:L63)</f>
        <v>13011</v>
      </c>
      <c r="M64" s="416">
        <f>SUM(M60:M63)</f>
        <v>50459</v>
      </c>
      <c r="N64" s="416"/>
      <c r="O64" s="416"/>
      <c r="P64" s="416">
        <f>SUM(P60:P63)</f>
        <v>1100</v>
      </c>
      <c r="Q64" s="413"/>
      <c r="R64" s="414"/>
      <c r="S64" s="423"/>
      <c r="T64" s="423"/>
      <c r="U64" s="423"/>
      <c r="V64" s="423"/>
      <c r="W64" s="423"/>
      <c r="X64" s="423"/>
      <c r="Y64" s="423"/>
      <c r="Z64" s="423"/>
      <c r="AA64" s="423"/>
      <c r="AB64" s="423"/>
      <c r="AC64" s="423"/>
      <c r="AD64" s="423"/>
      <c r="AE64" s="423"/>
    </row>
    <row r="65" spans="1:31" s="330" customFormat="1" ht="22.5" customHeight="1" x14ac:dyDescent="0.3">
      <c r="A65" s="233">
        <v>57</v>
      </c>
      <c r="B65" s="248">
        <v>9</v>
      </c>
      <c r="C65" s="404"/>
      <c r="D65" s="420" t="s">
        <v>48</v>
      </c>
      <c r="E65" s="420"/>
      <c r="F65" s="421" t="s">
        <v>106</v>
      </c>
      <c r="G65" s="252">
        <v>387908</v>
      </c>
      <c r="H65" s="252">
        <v>335111</v>
      </c>
      <c r="I65" s="253">
        <v>433330</v>
      </c>
      <c r="J65" s="466"/>
      <c r="K65" s="252"/>
      <c r="L65" s="252"/>
      <c r="M65" s="252"/>
      <c r="N65" s="252"/>
      <c r="O65" s="252"/>
      <c r="P65" s="252"/>
      <c r="Q65" s="252"/>
      <c r="R65" s="408"/>
      <c r="S65" s="422"/>
      <c r="T65" s="422"/>
      <c r="U65" s="422"/>
      <c r="V65" s="422"/>
      <c r="W65" s="422"/>
      <c r="X65" s="422"/>
      <c r="Y65" s="422"/>
      <c r="Z65" s="422"/>
      <c r="AA65" s="422"/>
      <c r="AB65" s="422"/>
      <c r="AC65" s="422"/>
      <c r="AD65" s="422"/>
      <c r="AE65" s="422"/>
    </row>
    <row r="66" spans="1:31" s="286" customFormat="1" ht="18" customHeight="1" x14ac:dyDescent="0.3">
      <c r="A66" s="233">
        <v>58</v>
      </c>
      <c r="B66" s="467"/>
      <c r="C66" s="470"/>
      <c r="D66" s="470"/>
      <c r="E66" s="259" t="s">
        <v>230</v>
      </c>
      <c r="F66" s="471"/>
      <c r="G66" s="471"/>
      <c r="H66" s="471"/>
      <c r="I66" s="472"/>
      <c r="J66" s="307">
        <f>SUM(K66:R66)</f>
        <v>411647</v>
      </c>
      <c r="K66" s="449">
        <v>317261</v>
      </c>
      <c r="L66" s="449">
        <v>48944</v>
      </c>
      <c r="M66" s="449">
        <v>44942</v>
      </c>
      <c r="N66" s="449"/>
      <c r="O66" s="449"/>
      <c r="P66" s="449">
        <v>500</v>
      </c>
      <c r="Q66" s="449"/>
      <c r="R66" s="450"/>
      <c r="S66" s="423"/>
      <c r="T66" s="423"/>
      <c r="U66" s="423"/>
      <c r="V66" s="423"/>
      <c r="W66" s="423"/>
      <c r="X66" s="423"/>
      <c r="Y66" s="423"/>
      <c r="Z66" s="423"/>
      <c r="AA66" s="423"/>
      <c r="AB66" s="423"/>
      <c r="AC66" s="423"/>
      <c r="AD66" s="423"/>
      <c r="AE66" s="423"/>
    </row>
    <row r="67" spans="1:31" s="286" customFormat="1" ht="18" customHeight="1" x14ac:dyDescent="0.3">
      <c r="A67" s="233">
        <v>59</v>
      </c>
      <c r="B67" s="467"/>
      <c r="C67" s="470"/>
      <c r="D67" s="470"/>
      <c r="E67" s="266" t="s">
        <v>231</v>
      </c>
      <c r="F67" s="471"/>
      <c r="G67" s="471"/>
      <c r="H67" s="471"/>
      <c r="I67" s="472"/>
      <c r="J67" s="310">
        <f>SUM(K67:R67)</f>
        <v>528628</v>
      </c>
      <c r="K67" s="452">
        <v>404753</v>
      </c>
      <c r="L67" s="452">
        <v>64904</v>
      </c>
      <c r="M67" s="452">
        <v>54921</v>
      </c>
      <c r="N67" s="452"/>
      <c r="O67" s="452"/>
      <c r="P67" s="452">
        <v>4050</v>
      </c>
      <c r="Q67" s="449"/>
      <c r="R67" s="450"/>
      <c r="S67" s="423"/>
      <c r="T67" s="423"/>
      <c r="U67" s="423"/>
      <c r="V67" s="423"/>
      <c r="W67" s="423"/>
      <c r="X67" s="423"/>
      <c r="Y67" s="423"/>
      <c r="Z67" s="423"/>
      <c r="AA67" s="423"/>
      <c r="AB67" s="423"/>
      <c r="AC67" s="423"/>
      <c r="AD67" s="423"/>
      <c r="AE67" s="423"/>
    </row>
    <row r="68" spans="1:31" s="286" customFormat="1" ht="18" customHeight="1" x14ac:dyDescent="0.3">
      <c r="A68" s="233">
        <v>60</v>
      </c>
      <c r="B68" s="467"/>
      <c r="C68" s="470"/>
      <c r="D68" s="470"/>
      <c r="E68" s="270" t="s">
        <v>246</v>
      </c>
      <c r="F68" s="471"/>
      <c r="G68" s="471"/>
      <c r="H68" s="471"/>
      <c r="I68" s="472"/>
      <c r="J68" s="271">
        <f>SUM(K68:R68)</f>
        <v>15864</v>
      </c>
      <c r="K68" s="473">
        <v>14039</v>
      </c>
      <c r="L68" s="473">
        <v>1825</v>
      </c>
      <c r="M68" s="473"/>
      <c r="N68" s="473"/>
      <c r="O68" s="473"/>
      <c r="P68" s="473"/>
      <c r="Q68" s="449"/>
      <c r="R68" s="450"/>
      <c r="S68" s="423"/>
      <c r="T68" s="423"/>
      <c r="U68" s="423"/>
      <c r="V68" s="423"/>
      <c r="W68" s="423"/>
      <c r="X68" s="423"/>
      <c r="Y68" s="423"/>
      <c r="Z68" s="423"/>
      <c r="AA68" s="423"/>
      <c r="AB68" s="423"/>
      <c r="AC68" s="423"/>
      <c r="AD68" s="423"/>
      <c r="AE68" s="423"/>
    </row>
    <row r="69" spans="1:31" s="286" customFormat="1" ht="18" customHeight="1" x14ac:dyDescent="0.3">
      <c r="A69" s="233">
        <v>61</v>
      </c>
      <c r="B69" s="467"/>
      <c r="C69" s="470"/>
      <c r="D69" s="470"/>
      <c r="E69" s="284" t="s">
        <v>291</v>
      </c>
      <c r="F69" s="471"/>
      <c r="G69" s="471"/>
      <c r="H69" s="471"/>
      <c r="I69" s="472"/>
      <c r="J69" s="271">
        <f>SUM(K69:R69)</f>
        <v>2000</v>
      </c>
      <c r="K69" s="473"/>
      <c r="L69" s="473">
        <v>2000</v>
      </c>
      <c r="M69" s="449"/>
      <c r="N69" s="449"/>
      <c r="O69" s="449"/>
      <c r="P69" s="449"/>
      <c r="Q69" s="449"/>
      <c r="R69" s="450"/>
      <c r="S69" s="423"/>
      <c r="T69" s="423"/>
      <c r="U69" s="423"/>
      <c r="V69" s="423"/>
      <c r="W69" s="423"/>
      <c r="X69" s="423"/>
      <c r="Y69" s="423"/>
      <c r="Z69" s="423"/>
      <c r="AA69" s="423"/>
      <c r="AB69" s="423"/>
      <c r="AC69" s="423"/>
      <c r="AD69" s="423"/>
      <c r="AE69" s="423"/>
    </row>
    <row r="70" spans="1:31" s="286" customFormat="1" ht="18" customHeight="1" x14ac:dyDescent="0.3">
      <c r="A70" s="233">
        <v>62</v>
      </c>
      <c r="B70" s="467"/>
      <c r="C70" s="470"/>
      <c r="D70" s="470"/>
      <c r="E70" s="266" t="s">
        <v>233</v>
      </c>
      <c r="F70" s="471"/>
      <c r="G70" s="471"/>
      <c r="H70" s="471"/>
      <c r="I70" s="472"/>
      <c r="J70" s="267">
        <f>SUM(K70:R70)</f>
        <v>546492</v>
      </c>
      <c r="K70" s="452">
        <f>SUM(K67:K69)</f>
        <v>418792</v>
      </c>
      <c r="L70" s="452">
        <f>SUM(L67:L69)</f>
        <v>68729</v>
      </c>
      <c r="M70" s="452">
        <f>SUM(M67:M69)</f>
        <v>54921</v>
      </c>
      <c r="N70" s="452"/>
      <c r="O70" s="452"/>
      <c r="P70" s="452">
        <f>SUM(P67:P69)</f>
        <v>4050</v>
      </c>
      <c r="Q70" s="449"/>
      <c r="R70" s="450"/>
      <c r="S70" s="423"/>
      <c r="T70" s="423"/>
      <c r="U70" s="423"/>
      <c r="V70" s="423"/>
      <c r="W70" s="423"/>
      <c r="X70" s="423"/>
      <c r="Y70" s="423"/>
      <c r="Z70" s="423"/>
      <c r="AA70" s="423"/>
      <c r="AB70" s="423"/>
      <c r="AC70" s="423"/>
      <c r="AD70" s="423"/>
      <c r="AE70" s="423"/>
    </row>
    <row r="71" spans="1:31" s="330" customFormat="1" ht="22.5" customHeight="1" x14ac:dyDescent="0.3">
      <c r="A71" s="233">
        <v>63</v>
      </c>
      <c r="B71" s="347"/>
      <c r="C71" s="404">
        <v>2</v>
      </c>
      <c r="D71" s="474" t="s">
        <v>49</v>
      </c>
      <c r="E71" s="474"/>
      <c r="F71" s="475"/>
      <c r="G71" s="252">
        <v>16840</v>
      </c>
      <c r="H71" s="252">
        <v>10711</v>
      </c>
      <c r="I71" s="253">
        <v>21263</v>
      </c>
      <c r="J71" s="466"/>
      <c r="K71" s="425"/>
      <c r="L71" s="425"/>
      <c r="M71" s="425"/>
      <c r="N71" s="418"/>
      <c r="O71" s="418"/>
      <c r="P71" s="418"/>
      <c r="Q71" s="418"/>
      <c r="R71" s="454"/>
      <c r="S71" s="422"/>
      <c r="T71" s="422"/>
      <c r="U71" s="422"/>
      <c r="V71" s="422"/>
      <c r="W71" s="422"/>
      <c r="X71" s="422"/>
      <c r="Y71" s="422"/>
      <c r="Z71" s="422"/>
      <c r="AA71" s="422"/>
      <c r="AB71" s="422"/>
      <c r="AC71" s="422"/>
      <c r="AD71" s="422"/>
      <c r="AE71" s="422"/>
    </row>
    <row r="72" spans="1:31" s="330" customFormat="1" ht="18" customHeight="1" x14ac:dyDescent="0.3">
      <c r="A72" s="233">
        <v>64</v>
      </c>
      <c r="B72" s="347"/>
      <c r="C72" s="476"/>
      <c r="D72" s="477"/>
      <c r="E72" s="259" t="s">
        <v>230</v>
      </c>
      <c r="F72" s="478"/>
      <c r="G72" s="244"/>
      <c r="H72" s="244"/>
      <c r="I72" s="245"/>
      <c r="J72" s="307">
        <f>SUM(K72:R72)</f>
        <v>5948</v>
      </c>
      <c r="K72" s="449"/>
      <c r="L72" s="449"/>
      <c r="M72" s="449">
        <v>5948</v>
      </c>
      <c r="N72" s="449"/>
      <c r="O72" s="449"/>
      <c r="P72" s="449"/>
      <c r="Q72" s="449"/>
      <c r="R72" s="450"/>
      <c r="S72" s="422"/>
      <c r="T72" s="422"/>
      <c r="U72" s="422"/>
      <c r="V72" s="422"/>
      <c r="W72" s="422"/>
      <c r="X72" s="422"/>
      <c r="Y72" s="422"/>
      <c r="Z72" s="422"/>
      <c r="AA72" s="422"/>
      <c r="AB72" s="422"/>
      <c r="AC72" s="422"/>
      <c r="AD72" s="422"/>
      <c r="AE72" s="422"/>
    </row>
    <row r="73" spans="1:31" s="330" customFormat="1" ht="18" customHeight="1" x14ac:dyDescent="0.3">
      <c r="A73" s="233">
        <v>65</v>
      </c>
      <c r="B73" s="347"/>
      <c r="C73" s="476"/>
      <c r="D73" s="479"/>
      <c r="E73" s="266" t="s">
        <v>231</v>
      </c>
      <c r="F73" s="478"/>
      <c r="G73" s="244"/>
      <c r="H73" s="244"/>
      <c r="I73" s="245"/>
      <c r="J73" s="310">
        <f>SUM(K73:R73)</f>
        <v>14948</v>
      </c>
      <c r="K73" s="452"/>
      <c r="L73" s="452"/>
      <c r="M73" s="452">
        <v>14948</v>
      </c>
      <c r="N73" s="449"/>
      <c r="O73" s="449"/>
      <c r="P73" s="449"/>
      <c r="Q73" s="449"/>
      <c r="R73" s="450"/>
      <c r="S73" s="422"/>
      <c r="T73" s="422"/>
      <c r="U73" s="422"/>
      <c r="V73" s="422"/>
      <c r="W73" s="422"/>
      <c r="X73" s="422"/>
      <c r="Y73" s="422"/>
      <c r="Z73" s="422"/>
      <c r="AA73" s="422"/>
      <c r="AB73" s="422"/>
      <c r="AC73" s="422"/>
      <c r="AD73" s="422"/>
      <c r="AE73" s="422"/>
    </row>
    <row r="74" spans="1:31" s="330" customFormat="1" ht="18" customHeight="1" x14ac:dyDescent="0.3">
      <c r="A74" s="233">
        <v>66</v>
      </c>
      <c r="B74" s="347"/>
      <c r="C74" s="476"/>
      <c r="D74" s="479"/>
      <c r="E74" s="270" t="s">
        <v>287</v>
      </c>
      <c r="F74" s="478"/>
      <c r="G74" s="244"/>
      <c r="H74" s="244"/>
      <c r="I74" s="245"/>
      <c r="J74" s="271">
        <f>SUM(K74:R74)</f>
        <v>1500</v>
      </c>
      <c r="K74" s="449"/>
      <c r="L74" s="449"/>
      <c r="M74" s="473">
        <v>1500</v>
      </c>
      <c r="N74" s="449"/>
      <c r="O74" s="449"/>
      <c r="P74" s="449"/>
      <c r="Q74" s="449"/>
      <c r="R74" s="450"/>
      <c r="S74" s="422"/>
      <c r="T74" s="422"/>
      <c r="U74" s="422"/>
      <c r="V74" s="422"/>
      <c r="W74" s="422"/>
      <c r="X74" s="422"/>
      <c r="Y74" s="422"/>
      <c r="Z74" s="422"/>
      <c r="AA74" s="422"/>
      <c r="AB74" s="422"/>
      <c r="AC74" s="422"/>
      <c r="AD74" s="422"/>
      <c r="AE74" s="422"/>
    </row>
    <row r="75" spans="1:31" s="330" customFormat="1" ht="18" customHeight="1" x14ac:dyDescent="0.3">
      <c r="A75" s="233">
        <v>67</v>
      </c>
      <c r="B75" s="347"/>
      <c r="C75" s="476"/>
      <c r="D75" s="479"/>
      <c r="E75" s="266" t="s">
        <v>233</v>
      </c>
      <c r="F75" s="478"/>
      <c r="G75" s="244"/>
      <c r="H75" s="244"/>
      <c r="I75" s="245"/>
      <c r="J75" s="267">
        <f>SUM(K75:R75)</f>
        <v>16448</v>
      </c>
      <c r="K75" s="449"/>
      <c r="L75" s="449"/>
      <c r="M75" s="452">
        <f>SUM(M73:M74)</f>
        <v>16448</v>
      </c>
      <c r="N75" s="449"/>
      <c r="O75" s="449"/>
      <c r="P75" s="449"/>
      <c r="Q75" s="449"/>
      <c r="R75" s="450"/>
      <c r="S75" s="422"/>
      <c r="T75" s="422"/>
      <c r="U75" s="422"/>
      <c r="V75" s="422"/>
      <c r="W75" s="422"/>
      <c r="X75" s="422"/>
      <c r="Y75" s="422"/>
      <c r="Z75" s="422"/>
      <c r="AA75" s="422"/>
      <c r="AB75" s="422"/>
      <c r="AC75" s="422"/>
      <c r="AD75" s="422"/>
      <c r="AE75" s="422"/>
    </row>
    <row r="76" spans="1:31" s="330" customFormat="1" ht="29.25" customHeight="1" x14ac:dyDescent="0.3">
      <c r="A76" s="233">
        <v>68</v>
      </c>
      <c r="B76" s="347"/>
      <c r="C76" s="480">
        <v>1</v>
      </c>
      <c r="D76" s="1956" t="s">
        <v>292</v>
      </c>
      <c r="E76" s="1956"/>
      <c r="F76" s="346"/>
      <c r="G76" s="252">
        <v>5245</v>
      </c>
      <c r="H76" s="252"/>
      <c r="I76" s="406"/>
      <c r="J76" s="481"/>
      <c r="K76" s="425"/>
      <c r="L76" s="425"/>
      <c r="M76" s="425"/>
      <c r="N76" s="418"/>
      <c r="O76" s="418"/>
      <c r="P76" s="418"/>
      <c r="Q76" s="418"/>
      <c r="R76" s="454"/>
      <c r="S76" s="422"/>
      <c r="T76" s="422"/>
      <c r="U76" s="422"/>
      <c r="V76" s="422"/>
      <c r="W76" s="422"/>
      <c r="X76" s="422"/>
      <c r="Y76" s="422"/>
      <c r="Z76" s="422"/>
      <c r="AA76" s="422"/>
      <c r="AB76" s="422"/>
      <c r="AC76" s="422"/>
      <c r="AD76" s="422"/>
      <c r="AE76" s="422"/>
    </row>
    <row r="77" spans="1:31" s="486" customFormat="1" ht="22.5" customHeight="1" x14ac:dyDescent="0.2">
      <c r="A77" s="233">
        <v>69</v>
      </c>
      <c r="B77" s="437"/>
      <c r="C77" s="1930" t="s">
        <v>253</v>
      </c>
      <c r="D77" s="1930"/>
      <c r="E77" s="1930"/>
      <c r="F77" s="482"/>
      <c r="G77" s="438">
        <f>SUM(G52:G76)</f>
        <v>1951246</v>
      </c>
      <c r="H77" s="438">
        <f>SUM(H52:H76)</f>
        <v>2093912</v>
      </c>
      <c r="I77" s="439">
        <f>SUM(I52:I76)</f>
        <v>2281977</v>
      </c>
      <c r="J77" s="440"/>
      <c r="K77" s="483"/>
      <c r="L77" s="483"/>
      <c r="M77" s="483"/>
      <c r="N77" s="483"/>
      <c r="O77" s="483"/>
      <c r="P77" s="483"/>
      <c r="Q77" s="483"/>
      <c r="R77" s="484"/>
      <c r="S77" s="442"/>
      <c r="T77" s="485"/>
      <c r="U77" s="485"/>
      <c r="V77" s="485"/>
      <c r="W77" s="485"/>
      <c r="X77" s="485"/>
      <c r="Y77" s="485"/>
      <c r="Z77" s="485"/>
      <c r="AA77" s="485"/>
      <c r="AB77" s="485"/>
      <c r="AC77" s="485"/>
      <c r="AD77" s="485"/>
      <c r="AE77" s="485"/>
    </row>
    <row r="78" spans="1:31" s="286" customFormat="1" ht="18" customHeight="1" x14ac:dyDescent="0.3">
      <c r="A78" s="233">
        <v>70</v>
      </c>
      <c r="B78" s="467"/>
      <c r="C78" s="487"/>
      <c r="D78" s="470"/>
      <c r="E78" s="375" t="s">
        <v>230</v>
      </c>
      <c r="F78" s="471"/>
      <c r="G78" s="471"/>
      <c r="H78" s="471"/>
      <c r="I78" s="447"/>
      <c r="J78" s="448">
        <f>SUM(K78:R78)</f>
        <v>2366254</v>
      </c>
      <c r="K78" s="449">
        <f t="shared" ref="K78:R79" si="4">SUM(K53,K59,K66,K72)</f>
        <v>1721212</v>
      </c>
      <c r="L78" s="449">
        <f t="shared" si="4"/>
        <v>257674</v>
      </c>
      <c r="M78" s="449">
        <f t="shared" si="4"/>
        <v>378039</v>
      </c>
      <c r="N78" s="449">
        <f t="shared" si="4"/>
        <v>0</v>
      </c>
      <c r="O78" s="449">
        <f t="shared" si="4"/>
        <v>0</v>
      </c>
      <c r="P78" s="449">
        <f t="shared" si="4"/>
        <v>9329</v>
      </c>
      <c r="Q78" s="449">
        <f t="shared" si="4"/>
        <v>0</v>
      </c>
      <c r="R78" s="450">
        <f t="shared" si="4"/>
        <v>0</v>
      </c>
      <c r="S78" s="423"/>
      <c r="T78" s="423"/>
      <c r="U78" s="423"/>
      <c r="V78" s="423"/>
      <c r="W78" s="423"/>
      <c r="X78" s="423"/>
      <c r="Y78" s="423"/>
      <c r="Z78" s="423"/>
      <c r="AA78" s="423"/>
      <c r="AB78" s="423"/>
      <c r="AC78" s="423"/>
      <c r="AD78" s="423"/>
      <c r="AE78" s="423"/>
    </row>
    <row r="79" spans="1:31" s="286" customFormat="1" ht="18" customHeight="1" x14ac:dyDescent="0.3">
      <c r="A79" s="233">
        <v>71</v>
      </c>
      <c r="B79" s="488"/>
      <c r="C79" s="487"/>
      <c r="D79" s="470"/>
      <c r="E79" s="266" t="s">
        <v>231</v>
      </c>
      <c r="F79" s="471"/>
      <c r="G79" s="471"/>
      <c r="H79" s="471"/>
      <c r="I79" s="447"/>
      <c r="J79" s="451">
        <f>SUM(K79:R79)</f>
        <v>2749236</v>
      </c>
      <c r="K79" s="452">
        <f t="shared" si="4"/>
        <v>1969212</v>
      </c>
      <c r="L79" s="452">
        <f t="shared" si="4"/>
        <v>293488</v>
      </c>
      <c r="M79" s="452">
        <f t="shared" si="4"/>
        <v>453422</v>
      </c>
      <c r="N79" s="452">
        <f t="shared" si="4"/>
        <v>0</v>
      </c>
      <c r="O79" s="452">
        <f t="shared" si="4"/>
        <v>0</v>
      </c>
      <c r="P79" s="452">
        <f t="shared" si="4"/>
        <v>33114</v>
      </c>
      <c r="Q79" s="452">
        <f t="shared" si="4"/>
        <v>0</v>
      </c>
      <c r="R79" s="453">
        <f t="shared" si="4"/>
        <v>0</v>
      </c>
      <c r="S79" s="423"/>
      <c r="T79" s="423"/>
      <c r="U79" s="423"/>
      <c r="V79" s="423"/>
      <c r="W79" s="423"/>
      <c r="X79" s="423"/>
      <c r="Y79" s="423"/>
      <c r="Z79" s="423"/>
      <c r="AA79" s="423"/>
      <c r="AB79" s="423"/>
      <c r="AC79" s="423"/>
      <c r="AD79" s="423"/>
      <c r="AE79" s="423"/>
    </row>
    <row r="80" spans="1:31" s="286" customFormat="1" ht="18" customHeight="1" x14ac:dyDescent="0.3">
      <c r="A80" s="233">
        <v>72</v>
      </c>
      <c r="B80" s="488"/>
      <c r="C80" s="489"/>
      <c r="D80" s="468"/>
      <c r="E80" s="270" t="s">
        <v>245</v>
      </c>
      <c r="F80" s="469"/>
      <c r="G80" s="469"/>
      <c r="H80" s="469"/>
      <c r="I80" s="417"/>
      <c r="J80" s="271">
        <f>SUM(K80:R80)</f>
        <v>32624</v>
      </c>
      <c r="K80" s="418">
        <f t="shared" ref="K80:R80" si="5">K74+K68+K61+K55+K69+K56+K62+K63</f>
        <v>14880</v>
      </c>
      <c r="L80" s="418">
        <f t="shared" si="5"/>
        <v>3897</v>
      </c>
      <c r="M80" s="418">
        <f t="shared" si="5"/>
        <v>13847</v>
      </c>
      <c r="N80" s="418">
        <f t="shared" si="5"/>
        <v>0</v>
      </c>
      <c r="O80" s="418">
        <f t="shared" si="5"/>
        <v>0</v>
      </c>
      <c r="P80" s="418">
        <f t="shared" si="5"/>
        <v>0</v>
      </c>
      <c r="Q80" s="418">
        <f t="shared" si="5"/>
        <v>0</v>
      </c>
      <c r="R80" s="454">
        <f t="shared" si="5"/>
        <v>0</v>
      </c>
      <c r="S80" s="423"/>
      <c r="T80" s="423"/>
      <c r="U80" s="423"/>
      <c r="V80" s="423"/>
      <c r="W80" s="423"/>
      <c r="X80" s="423"/>
      <c r="Y80" s="423"/>
      <c r="Z80" s="423"/>
      <c r="AA80" s="423"/>
      <c r="AB80" s="423"/>
      <c r="AC80" s="423"/>
      <c r="AD80" s="423"/>
      <c r="AE80" s="423"/>
    </row>
    <row r="81" spans="1:31" s="286" customFormat="1" ht="18" customHeight="1" x14ac:dyDescent="0.3">
      <c r="A81" s="233">
        <v>73</v>
      </c>
      <c r="B81" s="488"/>
      <c r="C81" s="490"/>
      <c r="D81" s="491"/>
      <c r="E81" s="336" t="s">
        <v>233</v>
      </c>
      <c r="F81" s="492"/>
      <c r="G81" s="492"/>
      <c r="H81" s="492"/>
      <c r="I81" s="434"/>
      <c r="J81" s="493">
        <f>SUM(K81:R81)</f>
        <v>2781860</v>
      </c>
      <c r="K81" s="459">
        <f t="shared" ref="K81:R81" si="6">SUM(K79:K80)</f>
        <v>1984092</v>
      </c>
      <c r="L81" s="459">
        <f t="shared" si="6"/>
        <v>297385</v>
      </c>
      <c r="M81" s="459">
        <f t="shared" si="6"/>
        <v>467269</v>
      </c>
      <c r="N81" s="459">
        <f t="shared" si="6"/>
        <v>0</v>
      </c>
      <c r="O81" s="459">
        <f t="shared" si="6"/>
        <v>0</v>
      </c>
      <c r="P81" s="459">
        <f t="shared" si="6"/>
        <v>33114</v>
      </c>
      <c r="Q81" s="459">
        <f t="shared" si="6"/>
        <v>0</v>
      </c>
      <c r="R81" s="460">
        <f t="shared" si="6"/>
        <v>0</v>
      </c>
      <c r="S81" s="423"/>
      <c r="T81" s="423"/>
      <c r="U81" s="423"/>
      <c r="V81" s="423"/>
      <c r="W81" s="423"/>
      <c r="X81" s="423"/>
      <c r="Y81" s="423"/>
      <c r="Z81" s="423"/>
      <c r="AA81" s="423"/>
      <c r="AB81" s="423"/>
      <c r="AC81" s="423"/>
      <c r="AD81" s="423"/>
      <c r="AE81" s="423"/>
    </row>
    <row r="82" spans="1:31" s="236" customFormat="1" ht="22.5" customHeight="1" x14ac:dyDescent="0.3">
      <c r="A82" s="233">
        <v>74</v>
      </c>
      <c r="B82" s="240">
        <v>10</v>
      </c>
      <c r="C82" s="398"/>
      <c r="D82" s="399" t="s">
        <v>254</v>
      </c>
      <c r="E82" s="461"/>
      <c r="F82" s="400" t="s">
        <v>106</v>
      </c>
      <c r="G82" s="244">
        <v>347458</v>
      </c>
      <c r="H82" s="244">
        <v>493071</v>
      </c>
      <c r="I82" s="401">
        <v>499778</v>
      </c>
      <c r="J82" s="494"/>
      <c r="K82" s="244"/>
      <c r="L82" s="244"/>
      <c r="M82" s="244"/>
      <c r="N82" s="244"/>
      <c r="O82" s="244"/>
      <c r="P82" s="244"/>
      <c r="Q82" s="244"/>
      <c r="R82" s="403"/>
      <c r="S82" s="424"/>
      <c r="T82" s="424"/>
      <c r="U82" s="424"/>
      <c r="V82" s="424"/>
      <c r="W82" s="424"/>
      <c r="X82" s="424"/>
      <c r="Y82" s="424"/>
      <c r="Z82" s="424"/>
      <c r="AA82" s="424"/>
      <c r="AB82" s="424"/>
      <c r="AC82" s="424"/>
      <c r="AD82" s="424"/>
      <c r="AE82" s="424"/>
    </row>
    <row r="83" spans="1:31" s="286" customFormat="1" ht="18" customHeight="1" x14ac:dyDescent="0.3">
      <c r="A83" s="233">
        <v>75</v>
      </c>
      <c r="B83" s="467"/>
      <c r="C83" s="468"/>
      <c r="D83" s="468"/>
      <c r="E83" s="259" t="s">
        <v>230</v>
      </c>
      <c r="F83" s="469"/>
      <c r="G83" s="469"/>
      <c r="H83" s="469"/>
      <c r="I83" s="411"/>
      <c r="J83" s="412">
        <f>SUM(K83:R83)</f>
        <v>421845</v>
      </c>
      <c r="K83" s="413">
        <v>138265</v>
      </c>
      <c r="L83" s="413">
        <v>18954</v>
      </c>
      <c r="M83" s="413">
        <f>234528+5216</f>
        <v>239744</v>
      </c>
      <c r="N83" s="413"/>
      <c r="O83" s="413"/>
      <c r="P83" s="413">
        <f>4800+20000+82</f>
        <v>24882</v>
      </c>
      <c r="Q83" s="413"/>
      <c r="R83" s="414"/>
      <c r="S83" s="423"/>
      <c r="T83" s="423"/>
      <c r="U83" s="423"/>
      <c r="V83" s="423"/>
      <c r="W83" s="423"/>
      <c r="X83" s="423"/>
      <c r="Y83" s="423"/>
      <c r="Z83" s="423"/>
      <c r="AA83" s="423"/>
      <c r="AB83" s="423"/>
      <c r="AC83" s="423"/>
      <c r="AD83" s="423"/>
      <c r="AE83" s="423"/>
    </row>
    <row r="84" spans="1:31" s="286" customFormat="1" ht="18" customHeight="1" x14ac:dyDescent="0.3">
      <c r="A84" s="233">
        <v>76</v>
      </c>
      <c r="B84" s="467"/>
      <c r="C84" s="468"/>
      <c r="D84" s="495"/>
      <c r="E84" s="266" t="s">
        <v>231</v>
      </c>
      <c r="F84" s="469"/>
      <c r="G84" s="469"/>
      <c r="H84" s="469"/>
      <c r="I84" s="411"/>
      <c r="J84" s="407">
        <f>SUM(K84:R84)</f>
        <v>542429</v>
      </c>
      <c r="K84" s="416">
        <v>159360</v>
      </c>
      <c r="L84" s="416">
        <v>21658</v>
      </c>
      <c r="M84" s="416">
        <v>312479</v>
      </c>
      <c r="N84" s="416"/>
      <c r="O84" s="416"/>
      <c r="P84" s="416">
        <v>48932</v>
      </c>
      <c r="Q84" s="413"/>
      <c r="R84" s="414"/>
      <c r="S84" s="423"/>
      <c r="T84" s="423"/>
      <c r="U84" s="423"/>
      <c r="V84" s="423"/>
      <c r="W84" s="423"/>
      <c r="X84" s="423"/>
      <c r="Y84" s="423"/>
      <c r="Z84" s="423"/>
      <c r="AA84" s="423"/>
      <c r="AB84" s="423"/>
      <c r="AC84" s="423"/>
      <c r="AD84" s="423"/>
      <c r="AE84" s="423"/>
    </row>
    <row r="85" spans="1:31" s="286" customFormat="1" ht="18" customHeight="1" x14ac:dyDescent="0.3">
      <c r="A85" s="233">
        <v>77</v>
      </c>
      <c r="B85" s="467"/>
      <c r="C85" s="468"/>
      <c r="D85" s="495"/>
      <c r="E85" s="270" t="s">
        <v>293</v>
      </c>
      <c r="F85" s="469"/>
      <c r="G85" s="469"/>
      <c r="H85" s="469"/>
      <c r="I85" s="417"/>
      <c r="J85" s="271">
        <f>SUM(K85:R85)</f>
        <v>5992</v>
      </c>
      <c r="K85" s="418">
        <v>2500</v>
      </c>
      <c r="L85" s="418">
        <v>300</v>
      </c>
      <c r="M85" s="418">
        <f>9300-508</f>
        <v>8792</v>
      </c>
      <c r="N85" s="418"/>
      <c r="O85" s="418"/>
      <c r="P85" s="418">
        <f>508-6108</f>
        <v>-5600</v>
      </c>
      <c r="Q85" s="413"/>
      <c r="R85" s="414"/>
      <c r="S85" s="423"/>
      <c r="T85" s="423"/>
      <c r="U85" s="423"/>
      <c r="V85" s="423"/>
      <c r="W85" s="423"/>
      <c r="X85" s="423"/>
      <c r="Y85" s="423"/>
      <c r="Z85" s="423"/>
      <c r="AA85" s="423"/>
      <c r="AB85" s="423"/>
      <c r="AC85" s="423"/>
      <c r="AD85" s="423"/>
      <c r="AE85" s="423"/>
    </row>
    <row r="86" spans="1:31" s="286" customFormat="1" ht="18" customHeight="1" x14ac:dyDescent="0.3">
      <c r="A86" s="233">
        <v>78</v>
      </c>
      <c r="B86" s="467"/>
      <c r="C86" s="468"/>
      <c r="D86" s="495"/>
      <c r="E86" s="284" t="s">
        <v>15</v>
      </c>
      <c r="F86" s="469"/>
      <c r="G86" s="469"/>
      <c r="H86" s="469"/>
      <c r="I86" s="417"/>
      <c r="J86" s="271">
        <f>SUM(K86:R86)</f>
        <v>42</v>
      </c>
      <c r="K86" s="344"/>
      <c r="L86" s="344"/>
      <c r="M86" s="344">
        <v>42</v>
      </c>
      <c r="N86" s="344"/>
      <c r="O86" s="344"/>
      <c r="P86" s="344"/>
      <c r="Q86" s="496"/>
      <c r="R86" s="497"/>
      <c r="S86" s="423"/>
      <c r="T86" s="423"/>
      <c r="U86" s="423"/>
      <c r="V86" s="423"/>
      <c r="W86" s="423"/>
      <c r="X86" s="423"/>
      <c r="Y86" s="423"/>
      <c r="Z86" s="423"/>
      <c r="AA86" s="423"/>
      <c r="AB86" s="423"/>
      <c r="AC86" s="423"/>
      <c r="AD86" s="423"/>
      <c r="AE86" s="423"/>
    </row>
    <row r="87" spans="1:31" s="286" customFormat="1" ht="18" customHeight="1" x14ac:dyDescent="0.3">
      <c r="A87" s="233">
        <v>79</v>
      </c>
      <c r="B87" s="467"/>
      <c r="C87" s="468"/>
      <c r="D87" s="495"/>
      <c r="E87" s="266" t="s">
        <v>233</v>
      </c>
      <c r="F87" s="469"/>
      <c r="G87" s="469"/>
      <c r="H87" s="469"/>
      <c r="I87" s="417"/>
      <c r="J87" s="267">
        <f>SUM(K87:R87)</f>
        <v>548463</v>
      </c>
      <c r="K87" s="267">
        <f>SUM(K84:K86)</f>
        <v>161860</v>
      </c>
      <c r="L87" s="267">
        <f>SUM(L84:L86)</f>
        <v>21958</v>
      </c>
      <c r="M87" s="267">
        <f>SUM(M84:M86)</f>
        <v>321313</v>
      </c>
      <c r="N87" s="267"/>
      <c r="O87" s="267"/>
      <c r="P87" s="267">
        <f>SUM(P84:P86)</f>
        <v>43332</v>
      </c>
      <c r="Q87" s="267"/>
      <c r="R87" s="498"/>
      <c r="S87" s="423"/>
      <c r="T87" s="423"/>
      <c r="U87" s="423"/>
      <c r="V87" s="423"/>
      <c r="W87" s="423"/>
      <c r="X87" s="423"/>
      <c r="Y87" s="423"/>
      <c r="Z87" s="423"/>
      <c r="AA87" s="423"/>
      <c r="AB87" s="423"/>
      <c r="AC87" s="423"/>
      <c r="AD87" s="423"/>
      <c r="AE87" s="423"/>
    </row>
    <row r="88" spans="1:31" s="236" customFormat="1" ht="29.25" customHeight="1" x14ac:dyDescent="0.3">
      <c r="A88" s="233">
        <v>80</v>
      </c>
      <c r="B88" s="347"/>
      <c r="C88" s="480">
        <v>1</v>
      </c>
      <c r="D88" s="1934" t="s">
        <v>257</v>
      </c>
      <c r="E88" s="1934"/>
      <c r="F88" s="475"/>
      <c r="G88" s="252">
        <v>28148</v>
      </c>
      <c r="H88" s="252">
        <v>38386</v>
      </c>
      <c r="I88" s="406">
        <v>38465</v>
      </c>
      <c r="J88" s="481"/>
      <c r="K88" s="425"/>
      <c r="L88" s="425"/>
      <c r="M88" s="425"/>
      <c r="N88" s="418"/>
      <c r="O88" s="418"/>
      <c r="P88" s="418"/>
      <c r="Q88" s="418"/>
      <c r="R88" s="454"/>
      <c r="S88" s="424"/>
      <c r="T88" s="424"/>
      <c r="U88" s="424"/>
      <c r="V88" s="424"/>
      <c r="W88" s="424"/>
      <c r="X88" s="424"/>
      <c r="Y88" s="424"/>
      <c r="Z88" s="424"/>
      <c r="AA88" s="424"/>
      <c r="AB88" s="424"/>
      <c r="AC88" s="424"/>
      <c r="AD88" s="424"/>
      <c r="AE88" s="424"/>
    </row>
    <row r="89" spans="1:31" s="355" customFormat="1" ht="29.25" customHeight="1" x14ac:dyDescent="0.3">
      <c r="A89" s="233">
        <v>81</v>
      </c>
      <c r="B89" s="467"/>
      <c r="C89" s="480">
        <v>2</v>
      </c>
      <c r="D89" s="1957" t="s">
        <v>294</v>
      </c>
      <c r="E89" s="1957"/>
      <c r="F89" s="469"/>
      <c r="G89" s="499">
        <v>1050</v>
      </c>
      <c r="H89" s="500"/>
      <c r="I89" s="501"/>
      <c r="J89" s="412"/>
      <c r="K89" s="413"/>
      <c r="L89" s="413"/>
      <c r="M89" s="413"/>
      <c r="N89" s="413"/>
      <c r="O89" s="413"/>
      <c r="P89" s="413"/>
      <c r="Q89" s="413"/>
      <c r="R89" s="414"/>
      <c r="S89" s="502"/>
      <c r="T89" s="502"/>
      <c r="U89" s="502"/>
      <c r="V89" s="502"/>
      <c r="W89" s="502"/>
      <c r="X89" s="502"/>
      <c r="Y89" s="502"/>
      <c r="Z89" s="502"/>
      <c r="AA89" s="502"/>
      <c r="AB89" s="502"/>
      <c r="AC89" s="502"/>
      <c r="AD89" s="502"/>
      <c r="AE89" s="502"/>
    </row>
    <row r="90" spans="1:31" s="237" customFormat="1" ht="22.5" customHeight="1" x14ac:dyDescent="0.3">
      <c r="A90" s="233">
        <v>82</v>
      </c>
      <c r="B90" s="248">
        <v>11</v>
      </c>
      <c r="C90" s="404"/>
      <c r="D90" s="420" t="s">
        <v>51</v>
      </c>
      <c r="E90" s="420"/>
      <c r="F90" s="421" t="s">
        <v>106</v>
      </c>
      <c r="G90" s="252">
        <v>286925</v>
      </c>
      <c r="H90" s="252">
        <v>629204</v>
      </c>
      <c r="I90" s="406">
        <v>631182</v>
      </c>
      <c r="J90" s="481"/>
      <c r="K90" s="252"/>
      <c r="L90" s="252"/>
      <c r="M90" s="252"/>
      <c r="N90" s="252"/>
      <c r="O90" s="252"/>
      <c r="P90" s="252"/>
      <c r="Q90" s="252"/>
      <c r="R90" s="408"/>
      <c r="S90" s="427"/>
      <c r="T90" s="427"/>
      <c r="U90" s="427"/>
      <c r="V90" s="427"/>
      <c r="W90" s="427"/>
      <c r="X90" s="427"/>
      <c r="Y90" s="427"/>
      <c r="Z90" s="427"/>
      <c r="AA90" s="427"/>
      <c r="AB90" s="427"/>
      <c r="AC90" s="427"/>
      <c r="AD90" s="427"/>
      <c r="AE90" s="427"/>
    </row>
    <row r="91" spans="1:31" s="355" customFormat="1" ht="18" customHeight="1" x14ac:dyDescent="0.3">
      <c r="A91" s="233">
        <v>83</v>
      </c>
      <c r="B91" s="467"/>
      <c r="C91" s="468"/>
      <c r="D91" s="468"/>
      <c r="E91" s="259" t="s">
        <v>230</v>
      </c>
      <c r="F91" s="469"/>
      <c r="G91" s="469"/>
      <c r="H91" s="469"/>
      <c r="I91" s="411"/>
      <c r="J91" s="412">
        <f>SUM(K91:R91)</f>
        <v>275654</v>
      </c>
      <c r="K91" s="413">
        <f>124457+1000</f>
        <v>125457</v>
      </c>
      <c r="L91" s="413">
        <f>17213+117</f>
        <v>17330</v>
      </c>
      <c r="M91" s="413">
        <f>102189+15539</f>
        <v>117728</v>
      </c>
      <c r="N91" s="413"/>
      <c r="O91" s="413"/>
      <c r="P91" s="413">
        <f>6249+8890</f>
        <v>15139</v>
      </c>
      <c r="Q91" s="413"/>
      <c r="R91" s="414"/>
      <c r="S91" s="502"/>
      <c r="T91" s="502"/>
      <c r="U91" s="502"/>
      <c r="V91" s="502"/>
      <c r="W91" s="502"/>
      <c r="X91" s="502"/>
      <c r="Y91" s="502"/>
      <c r="Z91" s="502"/>
      <c r="AA91" s="502"/>
      <c r="AB91" s="502"/>
      <c r="AC91" s="502"/>
      <c r="AD91" s="502"/>
      <c r="AE91" s="502"/>
    </row>
    <row r="92" spans="1:31" s="355" customFormat="1" ht="18" customHeight="1" x14ac:dyDescent="0.3">
      <c r="A92" s="233">
        <v>84</v>
      </c>
      <c r="B92" s="467"/>
      <c r="C92" s="468"/>
      <c r="D92" s="468"/>
      <c r="E92" s="266" t="s">
        <v>231</v>
      </c>
      <c r="F92" s="469"/>
      <c r="G92" s="469"/>
      <c r="H92" s="469"/>
      <c r="I92" s="411"/>
      <c r="J92" s="407">
        <f>SUM(K92:R92)</f>
        <v>386250</v>
      </c>
      <c r="K92" s="416">
        <v>137482</v>
      </c>
      <c r="L92" s="416">
        <v>18930</v>
      </c>
      <c r="M92" s="416">
        <v>219136</v>
      </c>
      <c r="N92" s="416"/>
      <c r="O92" s="416">
        <v>3203</v>
      </c>
      <c r="P92" s="416">
        <v>7499</v>
      </c>
      <c r="Q92" s="413"/>
      <c r="R92" s="414"/>
      <c r="S92" s="502"/>
      <c r="T92" s="502"/>
      <c r="U92" s="502"/>
      <c r="V92" s="502"/>
      <c r="W92" s="502"/>
      <c r="X92" s="502"/>
      <c r="Y92" s="502"/>
      <c r="Z92" s="502"/>
      <c r="AA92" s="502"/>
      <c r="AB92" s="502"/>
      <c r="AC92" s="502"/>
      <c r="AD92" s="502"/>
      <c r="AE92" s="502"/>
    </row>
    <row r="93" spans="1:31" s="355" customFormat="1" ht="18" customHeight="1" x14ac:dyDescent="0.3">
      <c r="A93" s="233">
        <v>85</v>
      </c>
      <c r="B93" s="467"/>
      <c r="C93" s="468"/>
      <c r="D93" s="468"/>
      <c r="E93" s="270" t="s">
        <v>259</v>
      </c>
      <c r="F93" s="469"/>
      <c r="G93" s="469"/>
      <c r="H93" s="469"/>
      <c r="I93" s="417"/>
      <c r="J93" s="271">
        <f>SUM(K93:R93)</f>
        <v>2919</v>
      </c>
      <c r="K93" s="418"/>
      <c r="L93" s="418"/>
      <c r="M93" s="418">
        <v>2919</v>
      </c>
      <c r="N93" s="418"/>
      <c r="O93" s="418"/>
      <c r="P93" s="418"/>
      <c r="Q93" s="413"/>
      <c r="R93" s="414"/>
      <c r="S93" s="502"/>
      <c r="T93" s="502"/>
      <c r="U93" s="502"/>
      <c r="V93" s="502"/>
      <c r="W93" s="502"/>
      <c r="X93" s="502"/>
      <c r="Y93" s="502"/>
      <c r="Z93" s="502"/>
      <c r="AA93" s="502"/>
      <c r="AB93" s="502"/>
      <c r="AC93" s="502"/>
      <c r="AD93" s="502"/>
      <c r="AE93" s="502"/>
    </row>
    <row r="94" spans="1:31" s="355" customFormat="1" ht="18" customHeight="1" x14ac:dyDescent="0.3">
      <c r="A94" s="233">
        <v>86</v>
      </c>
      <c r="B94" s="467"/>
      <c r="C94" s="468"/>
      <c r="D94" s="468"/>
      <c r="E94" s="266" t="s">
        <v>233</v>
      </c>
      <c r="F94" s="469"/>
      <c r="G94" s="469"/>
      <c r="H94" s="469"/>
      <c r="I94" s="417"/>
      <c r="J94" s="267">
        <f>SUM(K94:R94)</f>
        <v>389169</v>
      </c>
      <c r="K94" s="416">
        <f>SUM(K92:K93)</f>
        <v>137482</v>
      </c>
      <c r="L94" s="416">
        <f>SUM(L92:L93)</f>
        <v>18930</v>
      </c>
      <c r="M94" s="416">
        <f>SUM(M92:M93)</f>
        <v>222055</v>
      </c>
      <c r="N94" s="416"/>
      <c r="O94" s="416">
        <f>SUM(O92:O93)</f>
        <v>3203</v>
      </c>
      <c r="P94" s="416">
        <f>SUM(P92:P93)</f>
        <v>7499</v>
      </c>
      <c r="Q94" s="413"/>
      <c r="R94" s="414"/>
      <c r="S94" s="502"/>
      <c r="T94" s="502"/>
      <c r="U94" s="502"/>
      <c r="V94" s="502"/>
      <c r="W94" s="502"/>
      <c r="X94" s="502"/>
      <c r="Y94" s="502"/>
      <c r="Z94" s="502"/>
      <c r="AA94" s="502"/>
      <c r="AB94" s="502"/>
      <c r="AC94" s="502"/>
      <c r="AD94" s="502"/>
      <c r="AE94" s="502"/>
    </row>
    <row r="95" spans="1:31" s="355" customFormat="1" ht="18" customHeight="1" x14ac:dyDescent="0.3">
      <c r="A95" s="233">
        <v>87</v>
      </c>
      <c r="B95" s="467"/>
      <c r="C95" s="503">
        <v>2</v>
      </c>
      <c r="D95" s="504" t="s">
        <v>260</v>
      </c>
      <c r="E95" s="304"/>
      <c r="F95" s="505"/>
      <c r="G95" s="500">
        <v>7900</v>
      </c>
      <c r="H95" s="500"/>
      <c r="I95" s="501"/>
      <c r="J95" s="412"/>
      <c r="K95" s="413"/>
      <c r="L95" s="413"/>
      <c r="M95" s="413"/>
      <c r="N95" s="413"/>
      <c r="O95" s="413"/>
      <c r="P95" s="413"/>
      <c r="Q95" s="413"/>
      <c r="R95" s="414"/>
      <c r="S95" s="502"/>
      <c r="T95" s="502"/>
      <c r="U95" s="502"/>
      <c r="V95" s="502"/>
      <c r="W95" s="502"/>
      <c r="X95" s="502"/>
      <c r="Y95" s="502"/>
      <c r="Z95" s="502"/>
      <c r="AA95" s="502"/>
      <c r="AB95" s="502"/>
      <c r="AC95" s="502"/>
      <c r="AD95" s="502"/>
      <c r="AE95" s="502"/>
    </row>
    <row r="96" spans="1:31" s="237" customFormat="1" ht="22.5" customHeight="1" x14ac:dyDescent="0.3">
      <c r="A96" s="233">
        <v>88</v>
      </c>
      <c r="B96" s="248">
        <v>12</v>
      </c>
      <c r="C96" s="404"/>
      <c r="D96" s="420" t="s">
        <v>10</v>
      </c>
      <c r="E96" s="420"/>
      <c r="F96" s="421" t="s">
        <v>106</v>
      </c>
      <c r="G96" s="252">
        <v>534134</v>
      </c>
      <c r="H96" s="252">
        <v>618266</v>
      </c>
      <c r="I96" s="406">
        <v>656144</v>
      </c>
      <c r="J96" s="481"/>
      <c r="K96" s="252"/>
      <c r="L96" s="252"/>
      <c r="M96" s="252"/>
      <c r="N96" s="252"/>
      <c r="O96" s="252"/>
      <c r="P96" s="252"/>
      <c r="Q96" s="252"/>
      <c r="R96" s="408"/>
      <c r="S96" s="427"/>
      <c r="T96" s="427"/>
      <c r="U96" s="427"/>
      <c r="V96" s="427"/>
      <c r="W96" s="427"/>
      <c r="X96" s="427"/>
      <c r="Y96" s="427"/>
      <c r="Z96" s="427"/>
      <c r="AA96" s="427"/>
      <c r="AB96" s="427"/>
      <c r="AC96" s="427"/>
      <c r="AD96" s="427"/>
      <c r="AE96" s="427"/>
    </row>
    <row r="97" spans="1:31" s="355" customFormat="1" ht="18" customHeight="1" x14ac:dyDescent="0.3">
      <c r="A97" s="233">
        <v>89</v>
      </c>
      <c r="B97" s="467"/>
      <c r="C97" s="468"/>
      <c r="D97" s="468"/>
      <c r="E97" s="259" t="s">
        <v>230</v>
      </c>
      <c r="F97" s="469"/>
      <c r="G97" s="469"/>
      <c r="H97" s="469"/>
      <c r="I97" s="411"/>
      <c r="J97" s="412">
        <f>SUM(K97:R97)</f>
        <v>671116</v>
      </c>
      <c r="K97" s="413">
        <f>285733+394</f>
        <v>286127</v>
      </c>
      <c r="L97" s="413">
        <f>42321+257</f>
        <v>42578</v>
      </c>
      <c r="M97" s="413">
        <f>256894+7136</f>
        <v>264030</v>
      </c>
      <c r="N97" s="413"/>
      <c r="O97" s="413"/>
      <c r="P97" s="413">
        <f>69720+8661</f>
        <v>78381</v>
      </c>
      <c r="Q97" s="413"/>
      <c r="R97" s="414"/>
      <c r="S97" s="502"/>
      <c r="T97" s="502"/>
      <c r="U97" s="502"/>
      <c r="V97" s="502"/>
      <c r="W97" s="502"/>
      <c r="X97" s="502"/>
      <c r="Y97" s="502"/>
      <c r="Z97" s="502"/>
      <c r="AA97" s="502"/>
      <c r="AB97" s="502"/>
      <c r="AC97" s="502"/>
      <c r="AD97" s="502"/>
      <c r="AE97" s="502"/>
    </row>
    <row r="98" spans="1:31" s="355" customFormat="1" ht="18" customHeight="1" x14ac:dyDescent="0.3">
      <c r="A98" s="233">
        <v>90</v>
      </c>
      <c r="B98" s="467"/>
      <c r="C98" s="468"/>
      <c r="D98" s="468"/>
      <c r="E98" s="266" t="s">
        <v>231</v>
      </c>
      <c r="F98" s="469"/>
      <c r="G98" s="469"/>
      <c r="H98" s="469"/>
      <c r="I98" s="411"/>
      <c r="J98" s="407">
        <f>SUM(K98:R98)</f>
        <v>741652</v>
      </c>
      <c r="K98" s="416">
        <v>310013</v>
      </c>
      <c r="L98" s="416">
        <v>47712</v>
      </c>
      <c r="M98" s="416">
        <v>294703</v>
      </c>
      <c r="N98" s="416"/>
      <c r="O98" s="416"/>
      <c r="P98" s="416">
        <v>89224</v>
      </c>
      <c r="Q98" s="413"/>
      <c r="R98" s="414"/>
      <c r="S98" s="502"/>
      <c r="T98" s="502"/>
      <c r="U98" s="502"/>
      <c r="V98" s="502"/>
      <c r="W98" s="502"/>
      <c r="X98" s="502"/>
      <c r="Y98" s="502"/>
      <c r="Z98" s="502"/>
      <c r="AA98" s="502"/>
      <c r="AB98" s="502"/>
      <c r="AC98" s="502"/>
      <c r="AD98" s="502"/>
      <c r="AE98" s="502"/>
    </row>
    <row r="99" spans="1:31" s="355" customFormat="1" ht="18" customHeight="1" x14ac:dyDescent="0.3">
      <c r="A99" s="233">
        <v>91</v>
      </c>
      <c r="B99" s="467"/>
      <c r="C99" s="468"/>
      <c r="D99" s="468"/>
      <c r="E99" s="270" t="s">
        <v>293</v>
      </c>
      <c r="F99" s="469"/>
      <c r="G99" s="469"/>
      <c r="H99" s="469"/>
      <c r="I99" s="417"/>
      <c r="J99" s="271">
        <f>SUM(K99:R99)</f>
        <v>6597</v>
      </c>
      <c r="K99" s="418">
        <v>3952</v>
      </c>
      <c r="L99" s="418">
        <v>1741</v>
      </c>
      <c r="M99" s="418">
        <v>-898</v>
      </c>
      <c r="N99" s="418"/>
      <c r="O99" s="418"/>
      <c r="P99" s="418">
        <v>1802</v>
      </c>
      <c r="Q99" s="413"/>
      <c r="R99" s="414"/>
      <c r="S99" s="502"/>
      <c r="T99" s="502"/>
      <c r="U99" s="502"/>
      <c r="V99" s="502"/>
      <c r="W99" s="502"/>
      <c r="X99" s="502"/>
      <c r="Y99" s="502"/>
      <c r="Z99" s="502"/>
      <c r="AA99" s="502"/>
      <c r="AB99" s="502"/>
      <c r="AC99" s="502"/>
      <c r="AD99" s="502"/>
      <c r="AE99" s="502"/>
    </row>
    <row r="100" spans="1:31" s="355" customFormat="1" ht="18" customHeight="1" x14ac:dyDescent="0.3">
      <c r="A100" s="233">
        <v>92</v>
      </c>
      <c r="B100" s="467"/>
      <c r="C100" s="468"/>
      <c r="D100" s="468"/>
      <c r="E100" s="266" t="s">
        <v>233</v>
      </c>
      <c r="F100" s="469"/>
      <c r="G100" s="469"/>
      <c r="H100" s="469"/>
      <c r="I100" s="417"/>
      <c r="J100" s="267">
        <f>SUM(K100:R100)</f>
        <v>748249</v>
      </c>
      <c r="K100" s="416">
        <f>SUM(K98:K99)</f>
        <v>313965</v>
      </c>
      <c r="L100" s="416">
        <f>SUM(L98:L99)</f>
        <v>49453</v>
      </c>
      <c r="M100" s="416">
        <f>SUM(M98:M99)</f>
        <v>293805</v>
      </c>
      <c r="N100" s="416"/>
      <c r="O100" s="416"/>
      <c r="P100" s="416">
        <f>SUM(P98:P99)</f>
        <v>91026</v>
      </c>
      <c r="Q100" s="413"/>
      <c r="R100" s="414"/>
      <c r="S100" s="502"/>
      <c r="T100" s="502"/>
      <c r="U100" s="502"/>
      <c r="V100" s="502"/>
      <c r="W100" s="502"/>
      <c r="X100" s="502"/>
      <c r="Y100" s="502"/>
      <c r="Z100" s="502"/>
      <c r="AA100" s="502"/>
      <c r="AB100" s="502"/>
      <c r="AC100" s="502"/>
      <c r="AD100" s="502"/>
      <c r="AE100" s="502"/>
    </row>
    <row r="101" spans="1:31" s="236" customFormat="1" ht="18" customHeight="1" x14ac:dyDescent="0.3">
      <c r="A101" s="233">
        <v>93</v>
      </c>
      <c r="B101" s="347"/>
      <c r="C101" s="404">
        <v>1</v>
      </c>
      <c r="D101" s="504" t="s">
        <v>257</v>
      </c>
      <c r="E101" s="474"/>
      <c r="F101" s="475"/>
      <c r="G101" s="252">
        <v>23205</v>
      </c>
      <c r="H101" s="252">
        <v>15126</v>
      </c>
      <c r="I101" s="406">
        <v>15125</v>
      </c>
      <c r="J101" s="481"/>
      <c r="K101" s="425"/>
      <c r="L101" s="425"/>
      <c r="M101" s="425"/>
      <c r="N101" s="418"/>
      <c r="O101" s="418"/>
      <c r="P101" s="418"/>
      <c r="Q101" s="418"/>
      <c r="R101" s="454"/>
      <c r="S101" s="424"/>
      <c r="T101" s="424"/>
      <c r="U101" s="424"/>
      <c r="V101" s="424"/>
      <c r="W101" s="424"/>
      <c r="X101" s="424"/>
      <c r="Y101" s="424"/>
      <c r="Z101" s="424"/>
      <c r="AA101" s="424"/>
      <c r="AB101" s="424"/>
      <c r="AC101" s="424"/>
      <c r="AD101" s="424"/>
      <c r="AE101" s="424"/>
    </row>
    <row r="102" spans="1:31" s="236" customFormat="1" ht="22.5" customHeight="1" x14ac:dyDescent="0.3">
      <c r="A102" s="233">
        <v>94</v>
      </c>
      <c r="B102" s="248">
        <v>13</v>
      </c>
      <c r="C102" s="404"/>
      <c r="D102" s="420" t="s">
        <v>52</v>
      </c>
      <c r="E102" s="420"/>
      <c r="F102" s="421" t="s">
        <v>106</v>
      </c>
      <c r="G102" s="252">
        <v>466464</v>
      </c>
      <c r="H102" s="252">
        <v>469102</v>
      </c>
      <c r="I102" s="406">
        <v>544167</v>
      </c>
      <c r="J102" s="481"/>
      <c r="K102" s="252"/>
      <c r="L102" s="252"/>
      <c r="M102" s="252"/>
      <c r="N102" s="252"/>
      <c r="O102" s="252"/>
      <c r="P102" s="252"/>
      <c r="Q102" s="252"/>
      <c r="R102" s="408"/>
      <c r="S102" s="424"/>
      <c r="T102" s="424"/>
      <c r="U102" s="424"/>
      <c r="V102" s="424"/>
      <c r="W102" s="424"/>
      <c r="X102" s="424"/>
      <c r="Y102" s="424"/>
      <c r="Z102" s="424"/>
      <c r="AA102" s="424"/>
      <c r="AB102" s="424"/>
      <c r="AC102" s="424"/>
      <c r="AD102" s="424"/>
      <c r="AE102" s="424"/>
    </row>
    <row r="103" spans="1:31" s="355" customFormat="1" ht="18" customHeight="1" x14ac:dyDescent="0.3">
      <c r="A103" s="233">
        <v>95</v>
      </c>
      <c r="B103" s="467"/>
      <c r="C103" s="468"/>
      <c r="D103" s="468"/>
      <c r="E103" s="259" t="s">
        <v>230</v>
      </c>
      <c r="F103" s="469"/>
      <c r="G103" s="469"/>
      <c r="H103" s="469"/>
      <c r="I103" s="411"/>
      <c r="J103" s="412">
        <f>SUM(K103:R103)</f>
        <v>689496</v>
      </c>
      <c r="K103" s="413">
        <f>272578+2293</f>
        <v>274871</v>
      </c>
      <c r="L103" s="413">
        <f>43583+217</f>
        <v>43800</v>
      </c>
      <c r="M103" s="413">
        <f>135194+107798-6754</f>
        <v>236238</v>
      </c>
      <c r="N103" s="413"/>
      <c r="O103" s="413">
        <v>6754</v>
      </c>
      <c r="P103" s="413">
        <f>4800+123033</f>
        <v>127833</v>
      </c>
      <c r="Q103" s="413"/>
      <c r="R103" s="414"/>
      <c r="S103" s="502"/>
      <c r="T103" s="502"/>
      <c r="U103" s="502"/>
      <c r="V103" s="502"/>
      <c r="W103" s="502"/>
      <c r="X103" s="502"/>
      <c r="Y103" s="502"/>
      <c r="Z103" s="502"/>
      <c r="AA103" s="502"/>
      <c r="AB103" s="502"/>
      <c r="AC103" s="502"/>
      <c r="AD103" s="502"/>
      <c r="AE103" s="502"/>
    </row>
    <row r="104" spans="1:31" s="355" customFormat="1" ht="18" customHeight="1" x14ac:dyDescent="0.3">
      <c r="A104" s="233">
        <v>96</v>
      </c>
      <c r="B104" s="467"/>
      <c r="C104" s="468"/>
      <c r="D104" s="468"/>
      <c r="E104" s="266" t="s">
        <v>231</v>
      </c>
      <c r="F104" s="469"/>
      <c r="G104" s="469"/>
      <c r="H104" s="469"/>
      <c r="I104" s="411"/>
      <c r="J104" s="407">
        <f>SUM(K104:R104)</f>
        <v>855275</v>
      </c>
      <c r="K104" s="416">
        <v>311148</v>
      </c>
      <c r="L104" s="416">
        <v>48573</v>
      </c>
      <c r="M104" s="416">
        <v>327021</v>
      </c>
      <c r="N104" s="416"/>
      <c r="O104" s="416">
        <v>7262</v>
      </c>
      <c r="P104" s="416">
        <v>159296</v>
      </c>
      <c r="Q104" s="413"/>
      <c r="R104" s="419">
        <v>1975</v>
      </c>
      <c r="S104" s="502"/>
      <c r="T104" s="502"/>
      <c r="U104" s="502"/>
      <c r="V104" s="502"/>
      <c r="W104" s="502"/>
      <c r="X104" s="502"/>
      <c r="Y104" s="502"/>
      <c r="Z104" s="502"/>
      <c r="AA104" s="502"/>
      <c r="AB104" s="502"/>
      <c r="AC104" s="502"/>
      <c r="AD104" s="502"/>
      <c r="AE104" s="502"/>
    </row>
    <row r="105" spans="1:31" s="355" customFormat="1" ht="18" customHeight="1" x14ac:dyDescent="0.3">
      <c r="A105" s="233">
        <v>97</v>
      </c>
      <c r="B105" s="467"/>
      <c r="C105" s="468"/>
      <c r="D105" s="468"/>
      <c r="E105" s="270" t="s">
        <v>295</v>
      </c>
      <c r="F105" s="469"/>
      <c r="G105" s="469"/>
      <c r="H105" s="469"/>
      <c r="I105" s="417"/>
      <c r="J105" s="271">
        <f>SUM(K105:R105)</f>
        <v>1125</v>
      </c>
      <c r="K105" s="418"/>
      <c r="L105" s="418"/>
      <c r="M105" s="418">
        <v>1125</v>
      </c>
      <c r="N105" s="418"/>
      <c r="O105" s="418"/>
      <c r="P105" s="418"/>
      <c r="Q105" s="413"/>
      <c r="R105" s="414"/>
      <c r="S105" s="502"/>
      <c r="T105" s="502"/>
      <c r="U105" s="502"/>
      <c r="V105" s="502"/>
      <c r="W105" s="502"/>
      <c r="X105" s="502"/>
      <c r="Y105" s="502"/>
      <c r="Z105" s="502"/>
      <c r="AA105" s="502"/>
      <c r="AB105" s="502"/>
      <c r="AC105" s="502"/>
      <c r="AD105" s="502"/>
      <c r="AE105" s="502"/>
    </row>
    <row r="106" spans="1:31" s="355" customFormat="1" ht="18" customHeight="1" x14ac:dyDescent="0.3">
      <c r="A106" s="233">
        <v>98</v>
      </c>
      <c r="B106" s="467"/>
      <c r="C106" s="468"/>
      <c r="D106" s="468"/>
      <c r="E106" s="266" t="s">
        <v>233</v>
      </c>
      <c r="F106" s="469"/>
      <c r="G106" s="469"/>
      <c r="H106" s="469"/>
      <c r="I106" s="417"/>
      <c r="J106" s="267">
        <f>SUM(K106:R106)</f>
        <v>856400</v>
      </c>
      <c r="K106" s="416">
        <f>SUM(K104:K105)</f>
        <v>311148</v>
      </c>
      <c r="L106" s="416">
        <f>SUM(L104:L105)</f>
        <v>48573</v>
      </c>
      <c r="M106" s="416">
        <f>SUM(M104:M105)</f>
        <v>328146</v>
      </c>
      <c r="N106" s="416"/>
      <c r="O106" s="416">
        <f>SUM(O104:O105)</f>
        <v>7262</v>
      </c>
      <c r="P106" s="416">
        <f>SUM(P104:P105)</f>
        <v>159296</v>
      </c>
      <c r="Q106" s="416"/>
      <c r="R106" s="419">
        <f>SUM(R104:R105)</f>
        <v>1975</v>
      </c>
      <c r="S106" s="502"/>
      <c r="T106" s="502"/>
      <c r="U106" s="502"/>
      <c r="V106" s="502"/>
      <c r="W106" s="502"/>
      <c r="X106" s="502"/>
      <c r="Y106" s="502"/>
      <c r="Z106" s="502"/>
      <c r="AA106" s="502"/>
      <c r="AB106" s="502"/>
      <c r="AC106" s="502"/>
      <c r="AD106" s="502"/>
      <c r="AE106" s="502"/>
    </row>
    <row r="107" spans="1:31" s="237" customFormat="1" ht="18" customHeight="1" x14ac:dyDescent="0.3">
      <c r="A107" s="233">
        <v>99</v>
      </c>
      <c r="B107" s="506"/>
      <c r="C107" s="404">
        <v>1</v>
      </c>
      <c r="D107" s="420" t="s">
        <v>266</v>
      </c>
      <c r="E107" s="507"/>
      <c r="F107" s="508"/>
      <c r="G107" s="252"/>
      <c r="H107" s="252">
        <v>8944</v>
      </c>
      <c r="I107" s="509">
        <v>9796</v>
      </c>
      <c r="J107" s="481"/>
      <c r="K107" s="418"/>
      <c r="L107" s="418"/>
      <c r="M107" s="418"/>
      <c r="N107" s="418"/>
      <c r="O107" s="418"/>
      <c r="P107" s="418"/>
      <c r="Q107" s="418"/>
      <c r="R107" s="454"/>
      <c r="S107" s="427"/>
      <c r="T107" s="427"/>
      <c r="U107" s="427"/>
      <c r="V107" s="427"/>
      <c r="W107" s="427"/>
      <c r="X107" s="427"/>
      <c r="Y107" s="427"/>
      <c r="Z107" s="427"/>
      <c r="AA107" s="427"/>
      <c r="AB107" s="427"/>
      <c r="AC107" s="427"/>
      <c r="AD107" s="427"/>
      <c r="AE107" s="427"/>
    </row>
    <row r="108" spans="1:31" s="236" customFormat="1" ht="29.25" customHeight="1" x14ac:dyDescent="0.3">
      <c r="A108" s="233">
        <v>100</v>
      </c>
      <c r="B108" s="347"/>
      <c r="C108" s="480">
        <v>2</v>
      </c>
      <c r="D108" s="1934" t="s">
        <v>267</v>
      </c>
      <c r="E108" s="1934"/>
      <c r="F108" s="475"/>
      <c r="G108" s="252">
        <v>22650</v>
      </c>
      <c r="H108" s="252">
        <v>2350</v>
      </c>
      <c r="I108" s="406">
        <v>2110</v>
      </c>
      <c r="J108" s="481"/>
      <c r="K108" s="425"/>
      <c r="L108" s="425"/>
      <c r="M108" s="425"/>
      <c r="N108" s="418"/>
      <c r="O108" s="418"/>
      <c r="P108" s="418"/>
      <c r="Q108" s="418"/>
      <c r="R108" s="454"/>
      <c r="S108" s="424"/>
      <c r="T108" s="424"/>
      <c r="U108" s="424"/>
      <c r="V108" s="424"/>
      <c r="W108" s="424"/>
      <c r="X108" s="424"/>
      <c r="Y108" s="424"/>
      <c r="Z108" s="424"/>
      <c r="AA108" s="424"/>
      <c r="AB108" s="424"/>
      <c r="AC108" s="424"/>
      <c r="AD108" s="424"/>
      <c r="AE108" s="424"/>
    </row>
    <row r="109" spans="1:31" s="236" customFormat="1" ht="18" customHeight="1" x14ac:dyDescent="0.3">
      <c r="A109" s="233">
        <v>101</v>
      </c>
      <c r="B109" s="347"/>
      <c r="C109" s="404">
        <v>3</v>
      </c>
      <c r="D109" s="1935" t="s">
        <v>268</v>
      </c>
      <c r="E109" s="1935"/>
      <c r="F109" s="475"/>
      <c r="G109" s="252"/>
      <c r="H109" s="252">
        <v>4000</v>
      </c>
      <c r="I109" s="406">
        <v>7179</v>
      </c>
      <c r="J109" s="481"/>
      <c r="K109" s="425"/>
      <c r="L109" s="425"/>
      <c r="M109" s="425"/>
      <c r="N109" s="418"/>
      <c r="O109" s="418"/>
      <c r="P109" s="418"/>
      <c r="Q109" s="418"/>
      <c r="R109" s="454"/>
      <c r="S109" s="424"/>
      <c r="T109" s="424"/>
      <c r="U109" s="424"/>
      <c r="V109" s="424"/>
      <c r="W109" s="424"/>
      <c r="X109" s="424"/>
      <c r="Y109" s="424"/>
      <c r="Z109" s="424"/>
      <c r="AA109" s="424"/>
      <c r="AB109" s="424"/>
      <c r="AC109" s="424"/>
      <c r="AD109" s="424"/>
      <c r="AE109" s="424"/>
    </row>
    <row r="110" spans="1:31" s="236" customFormat="1" ht="22.5" customHeight="1" x14ac:dyDescent="0.3">
      <c r="A110" s="233">
        <v>102</v>
      </c>
      <c r="B110" s="248">
        <v>14</v>
      </c>
      <c r="C110" s="404"/>
      <c r="D110" s="420" t="s">
        <v>53</v>
      </c>
      <c r="E110" s="420"/>
      <c r="F110" s="421" t="s">
        <v>296</v>
      </c>
      <c r="G110" s="252">
        <v>207062</v>
      </c>
      <c r="H110" s="252">
        <v>231644</v>
      </c>
      <c r="I110" s="406">
        <v>396829</v>
      </c>
      <c r="J110" s="481"/>
      <c r="K110" s="252"/>
      <c r="L110" s="252"/>
      <c r="M110" s="252"/>
      <c r="N110" s="252"/>
      <c r="O110" s="252"/>
      <c r="P110" s="252"/>
      <c r="Q110" s="252"/>
      <c r="R110" s="408"/>
      <c r="S110" s="424"/>
      <c r="T110" s="424"/>
      <c r="U110" s="424"/>
      <c r="V110" s="424"/>
      <c r="W110" s="424"/>
      <c r="X110" s="424"/>
      <c r="Y110" s="424"/>
      <c r="Z110" s="424"/>
      <c r="AA110" s="424"/>
      <c r="AB110" s="424"/>
      <c r="AC110" s="424"/>
      <c r="AD110" s="424"/>
      <c r="AE110" s="424"/>
    </row>
    <row r="111" spans="1:31" s="264" customFormat="1" ht="18" customHeight="1" x14ac:dyDescent="0.3">
      <c r="A111" s="233">
        <v>103</v>
      </c>
      <c r="B111" s="467"/>
      <c r="C111" s="468"/>
      <c r="D111" s="468"/>
      <c r="E111" s="259" t="s">
        <v>230</v>
      </c>
      <c r="F111" s="469"/>
      <c r="G111" s="469"/>
      <c r="H111" s="469"/>
      <c r="I111" s="411"/>
      <c r="J111" s="412">
        <f>SUM(K111:R111)</f>
        <v>265743</v>
      </c>
      <c r="K111" s="413">
        <v>144410</v>
      </c>
      <c r="L111" s="413">
        <v>20416</v>
      </c>
      <c r="M111" s="413">
        <f>83207+17100-1000</f>
        <v>99307</v>
      </c>
      <c r="N111" s="413"/>
      <c r="O111" s="413"/>
      <c r="P111" s="413">
        <f>500+110+1000</f>
        <v>1610</v>
      </c>
      <c r="Q111" s="413"/>
      <c r="R111" s="414"/>
      <c r="S111" s="415"/>
      <c r="T111" s="415"/>
      <c r="U111" s="415"/>
      <c r="V111" s="415"/>
      <c r="W111" s="415"/>
      <c r="X111" s="415"/>
      <c r="Y111" s="415"/>
      <c r="Z111" s="415"/>
      <c r="AA111" s="415"/>
      <c r="AB111" s="415"/>
      <c r="AC111" s="415"/>
      <c r="AD111" s="415"/>
      <c r="AE111" s="415"/>
    </row>
    <row r="112" spans="1:31" s="264" customFormat="1" ht="18" customHeight="1" x14ac:dyDescent="0.3">
      <c r="A112" s="233">
        <v>104</v>
      </c>
      <c r="B112" s="467"/>
      <c r="C112" s="468"/>
      <c r="D112" s="468"/>
      <c r="E112" s="266" t="s">
        <v>231</v>
      </c>
      <c r="F112" s="469"/>
      <c r="G112" s="469"/>
      <c r="H112" s="469"/>
      <c r="I112" s="411"/>
      <c r="J112" s="407">
        <f>SUM(K112:R112)</f>
        <v>322187</v>
      </c>
      <c r="K112" s="416">
        <v>147260</v>
      </c>
      <c r="L112" s="416">
        <v>18916</v>
      </c>
      <c r="M112" s="416">
        <v>114009</v>
      </c>
      <c r="N112" s="416"/>
      <c r="O112" s="416">
        <v>1053</v>
      </c>
      <c r="P112" s="416">
        <v>40949</v>
      </c>
      <c r="Q112" s="413"/>
      <c r="R112" s="414"/>
      <c r="S112" s="415"/>
      <c r="T112" s="415"/>
      <c r="U112" s="415"/>
      <c r="V112" s="415"/>
      <c r="W112" s="415"/>
      <c r="X112" s="415"/>
      <c r="Y112" s="415"/>
      <c r="Z112" s="415"/>
      <c r="AA112" s="415"/>
      <c r="AB112" s="415"/>
      <c r="AC112" s="415"/>
      <c r="AD112" s="415"/>
      <c r="AE112" s="415"/>
    </row>
    <row r="113" spans="1:31" s="264" customFormat="1" ht="18" customHeight="1" x14ac:dyDescent="0.3">
      <c r="A113" s="233">
        <v>105</v>
      </c>
      <c r="B113" s="467"/>
      <c r="C113" s="468"/>
      <c r="D113" s="468"/>
      <c r="E113" s="270" t="s">
        <v>297</v>
      </c>
      <c r="F113" s="469"/>
      <c r="G113" s="469"/>
      <c r="H113" s="469"/>
      <c r="I113" s="417"/>
      <c r="J113" s="271">
        <f>SUM(K113:R113)</f>
        <v>18197</v>
      </c>
      <c r="K113" s="418">
        <v>8000</v>
      </c>
      <c r="L113" s="418">
        <v>-1500</v>
      </c>
      <c r="M113" s="418">
        <v>11500</v>
      </c>
      <c r="N113" s="413"/>
      <c r="O113" s="413"/>
      <c r="P113" s="418">
        <v>197</v>
      </c>
      <c r="Q113" s="413"/>
      <c r="R113" s="414"/>
      <c r="S113" s="415"/>
      <c r="T113" s="415"/>
      <c r="U113" s="415"/>
      <c r="V113" s="415"/>
      <c r="W113" s="415"/>
      <c r="X113" s="415"/>
      <c r="Y113" s="415"/>
      <c r="Z113" s="415"/>
      <c r="AA113" s="415"/>
      <c r="AB113" s="415"/>
      <c r="AC113" s="415"/>
      <c r="AD113" s="415"/>
      <c r="AE113" s="415"/>
    </row>
    <row r="114" spans="1:31" s="264" customFormat="1" ht="18" customHeight="1" x14ac:dyDescent="0.3">
      <c r="A114" s="233">
        <v>106</v>
      </c>
      <c r="B114" s="467"/>
      <c r="C114" s="468"/>
      <c r="D114" s="468"/>
      <c r="E114" s="266" t="s">
        <v>233</v>
      </c>
      <c r="F114" s="469"/>
      <c r="G114" s="469"/>
      <c r="H114" s="469"/>
      <c r="I114" s="417"/>
      <c r="J114" s="267">
        <f>SUM(K114:R114)</f>
        <v>340384</v>
      </c>
      <c r="K114" s="416">
        <f>SUM(K112:K113)</f>
        <v>155260</v>
      </c>
      <c r="L114" s="416">
        <f>SUM(L112:L113)</f>
        <v>17416</v>
      </c>
      <c r="M114" s="416">
        <f>SUM(M112:M113)</f>
        <v>125509</v>
      </c>
      <c r="N114" s="416"/>
      <c r="O114" s="416">
        <f>SUM(O112:O113)</f>
        <v>1053</v>
      </c>
      <c r="P114" s="416">
        <f>SUM(P112:P113)</f>
        <v>41146</v>
      </c>
      <c r="Q114" s="413"/>
      <c r="R114" s="414"/>
      <c r="S114" s="415"/>
      <c r="T114" s="415"/>
      <c r="U114" s="415"/>
      <c r="V114" s="415"/>
      <c r="W114" s="415"/>
      <c r="X114" s="415"/>
      <c r="Y114" s="415"/>
      <c r="Z114" s="415"/>
      <c r="AA114" s="415"/>
      <c r="AB114" s="415"/>
      <c r="AC114" s="415"/>
      <c r="AD114" s="415"/>
      <c r="AE114" s="415"/>
    </row>
    <row r="115" spans="1:31" s="287" customFormat="1" ht="18" customHeight="1" x14ac:dyDescent="0.3">
      <c r="A115" s="233">
        <v>107</v>
      </c>
      <c r="B115" s="347"/>
      <c r="C115" s="404">
        <v>1</v>
      </c>
      <c r="D115" s="474" t="s">
        <v>271</v>
      </c>
      <c r="E115" s="474"/>
      <c r="F115" s="475"/>
      <c r="G115" s="252">
        <v>1244</v>
      </c>
      <c r="H115" s="252"/>
      <c r="I115" s="406"/>
      <c r="J115" s="481"/>
      <c r="K115" s="425"/>
      <c r="L115" s="425"/>
      <c r="M115" s="425"/>
      <c r="N115" s="418"/>
      <c r="O115" s="418"/>
      <c r="P115" s="418"/>
      <c r="Q115" s="418"/>
      <c r="R115" s="454"/>
      <c r="S115" s="510"/>
      <c r="T115" s="510"/>
      <c r="U115" s="510"/>
      <c r="V115" s="510"/>
      <c r="W115" s="510"/>
      <c r="X115" s="510"/>
      <c r="Y115" s="510"/>
      <c r="Z115" s="510"/>
      <c r="AA115" s="510"/>
      <c r="AB115" s="510"/>
      <c r="AC115" s="510"/>
      <c r="AD115" s="510"/>
      <c r="AE115" s="510"/>
    </row>
    <row r="116" spans="1:31" s="236" customFormat="1" ht="18" customHeight="1" x14ac:dyDescent="0.3">
      <c r="A116" s="233">
        <v>108</v>
      </c>
      <c r="B116" s="347"/>
      <c r="C116" s="404">
        <v>2</v>
      </c>
      <c r="D116" s="504" t="s">
        <v>266</v>
      </c>
      <c r="E116" s="474"/>
      <c r="F116" s="475"/>
      <c r="G116" s="252">
        <v>3178</v>
      </c>
      <c r="H116" s="252"/>
      <c r="I116" s="406"/>
      <c r="J116" s="481"/>
      <c r="K116" s="425"/>
      <c r="L116" s="425"/>
      <c r="M116" s="425"/>
      <c r="N116" s="418"/>
      <c r="O116" s="418"/>
      <c r="P116" s="418"/>
      <c r="Q116" s="418"/>
      <c r="R116" s="454"/>
      <c r="S116" s="424"/>
      <c r="T116" s="424"/>
      <c r="U116" s="424"/>
      <c r="V116" s="424"/>
      <c r="W116" s="424"/>
      <c r="X116" s="424"/>
      <c r="Y116" s="424"/>
      <c r="Z116" s="424"/>
      <c r="AA116" s="424"/>
      <c r="AB116" s="424"/>
      <c r="AC116" s="424"/>
      <c r="AD116" s="424"/>
      <c r="AE116" s="424"/>
    </row>
    <row r="117" spans="1:31" s="355" customFormat="1" ht="33.75" customHeight="1" x14ac:dyDescent="0.3">
      <c r="A117" s="233">
        <v>109</v>
      </c>
      <c r="B117" s="467"/>
      <c r="C117" s="503">
        <v>3</v>
      </c>
      <c r="D117" s="1934" t="s">
        <v>272</v>
      </c>
      <c r="E117" s="1934"/>
      <c r="F117" s="505"/>
      <c r="G117" s="252">
        <v>7279</v>
      </c>
      <c r="H117" s="252"/>
      <c r="I117" s="406"/>
      <c r="J117" s="412"/>
      <c r="K117" s="413"/>
      <c r="L117" s="413"/>
      <c r="M117" s="413"/>
      <c r="N117" s="413"/>
      <c r="O117" s="413"/>
      <c r="P117" s="413"/>
      <c r="Q117" s="413"/>
      <c r="R117" s="414"/>
      <c r="S117" s="502"/>
      <c r="T117" s="502"/>
      <c r="U117" s="502"/>
      <c r="V117" s="502"/>
      <c r="W117" s="502"/>
      <c r="X117" s="502"/>
      <c r="Y117" s="502"/>
      <c r="Z117" s="502"/>
      <c r="AA117" s="502"/>
      <c r="AB117" s="502"/>
      <c r="AC117" s="502"/>
      <c r="AD117" s="502"/>
      <c r="AE117" s="502"/>
    </row>
    <row r="118" spans="1:31" ht="22.5" customHeight="1" x14ac:dyDescent="0.3">
      <c r="A118" s="233">
        <v>110</v>
      </c>
      <c r="B118" s="248">
        <v>15</v>
      </c>
      <c r="C118" s="404"/>
      <c r="D118" s="420" t="s">
        <v>54</v>
      </c>
      <c r="E118" s="420"/>
      <c r="F118" s="421" t="s">
        <v>296</v>
      </c>
      <c r="G118" s="252">
        <v>1212366</v>
      </c>
      <c r="H118" s="252">
        <v>961735</v>
      </c>
      <c r="I118" s="406">
        <v>1218027</v>
      </c>
      <c r="J118" s="481"/>
      <c r="K118" s="252"/>
      <c r="L118" s="252"/>
      <c r="M118" s="252"/>
      <c r="N118" s="252"/>
      <c r="O118" s="252"/>
      <c r="P118" s="252"/>
      <c r="Q118" s="252"/>
      <c r="R118" s="408"/>
    </row>
    <row r="119" spans="1:31" s="264" customFormat="1" ht="18" customHeight="1" x14ac:dyDescent="0.3">
      <c r="A119" s="233">
        <v>111</v>
      </c>
      <c r="B119" s="467"/>
      <c r="C119" s="470"/>
      <c r="D119" s="470"/>
      <c r="E119" s="375" t="s">
        <v>230</v>
      </c>
      <c r="F119" s="471"/>
      <c r="G119" s="471"/>
      <c r="H119" s="471"/>
      <c r="I119" s="447"/>
      <c r="J119" s="448">
        <f>SUM(K119:R119)</f>
        <v>950477</v>
      </c>
      <c r="K119" s="449">
        <v>556489</v>
      </c>
      <c r="L119" s="449">
        <v>57127</v>
      </c>
      <c r="M119" s="449">
        <v>332861</v>
      </c>
      <c r="N119" s="449"/>
      <c r="O119" s="449"/>
      <c r="P119" s="449">
        <v>4000</v>
      </c>
      <c r="Q119" s="449"/>
      <c r="R119" s="450"/>
      <c r="S119" s="415"/>
      <c r="T119" s="415"/>
      <c r="U119" s="415"/>
      <c r="V119" s="415"/>
      <c r="W119" s="415"/>
      <c r="X119" s="415"/>
      <c r="Y119" s="415"/>
      <c r="Z119" s="415"/>
      <c r="AA119" s="415"/>
      <c r="AB119" s="415"/>
      <c r="AC119" s="415"/>
      <c r="AD119" s="415"/>
      <c r="AE119" s="415"/>
    </row>
    <row r="120" spans="1:31" s="264" customFormat="1" ht="18" customHeight="1" x14ac:dyDescent="0.3">
      <c r="A120" s="233">
        <v>112</v>
      </c>
      <c r="B120" s="467"/>
      <c r="C120" s="470"/>
      <c r="D120" s="511"/>
      <c r="E120" s="384" t="s">
        <v>231</v>
      </c>
      <c r="F120" s="471"/>
      <c r="G120" s="471"/>
      <c r="H120" s="471"/>
      <c r="I120" s="447"/>
      <c r="J120" s="451">
        <f>SUM(K120:R120)</f>
        <v>1247172</v>
      </c>
      <c r="K120" s="452">
        <v>601516</v>
      </c>
      <c r="L120" s="452">
        <v>56380</v>
      </c>
      <c r="M120" s="452">
        <v>546476</v>
      </c>
      <c r="N120" s="452"/>
      <c r="O120" s="452"/>
      <c r="P120" s="452">
        <v>42800</v>
      </c>
      <c r="Q120" s="449"/>
      <c r="R120" s="450"/>
      <c r="S120" s="415"/>
      <c r="T120" s="415"/>
      <c r="U120" s="415"/>
      <c r="V120" s="415"/>
      <c r="W120" s="415"/>
      <c r="X120" s="415"/>
      <c r="Y120" s="415"/>
      <c r="Z120" s="415"/>
      <c r="AA120" s="415"/>
      <c r="AB120" s="415"/>
      <c r="AC120" s="415"/>
      <c r="AD120" s="415"/>
      <c r="AE120" s="415"/>
    </row>
    <row r="121" spans="1:31" s="264" customFormat="1" ht="18" customHeight="1" x14ac:dyDescent="0.3">
      <c r="A121" s="233">
        <v>113</v>
      </c>
      <c r="B121" s="467"/>
      <c r="C121" s="489"/>
      <c r="D121" s="495"/>
      <c r="E121" s="270" t="s">
        <v>273</v>
      </c>
      <c r="F121" s="469"/>
      <c r="G121" s="469"/>
      <c r="H121" s="469"/>
      <c r="I121" s="417"/>
      <c r="J121" s="271">
        <f>SUM(K121:R121)</f>
        <v>36220</v>
      </c>
      <c r="K121" s="418"/>
      <c r="L121" s="418"/>
      <c r="M121" s="418">
        <v>32124</v>
      </c>
      <c r="N121" s="418"/>
      <c r="O121" s="418"/>
      <c r="P121" s="418">
        <v>4096</v>
      </c>
      <c r="Q121" s="413"/>
      <c r="R121" s="414"/>
      <c r="S121" s="415"/>
      <c r="T121" s="415"/>
      <c r="U121" s="415"/>
      <c r="V121" s="415"/>
      <c r="W121" s="415"/>
      <c r="X121" s="415"/>
      <c r="Y121" s="415"/>
      <c r="Z121" s="415"/>
      <c r="AA121" s="415"/>
      <c r="AB121" s="415"/>
      <c r="AC121" s="415"/>
      <c r="AD121" s="415"/>
      <c r="AE121" s="415"/>
    </row>
    <row r="122" spans="1:31" s="264" customFormat="1" ht="18" customHeight="1" x14ac:dyDescent="0.3">
      <c r="A122" s="233">
        <v>114</v>
      </c>
      <c r="B122" s="467"/>
      <c r="C122" s="512"/>
      <c r="D122" s="513"/>
      <c r="E122" s="266" t="s">
        <v>233</v>
      </c>
      <c r="F122" s="514"/>
      <c r="G122" s="514"/>
      <c r="H122" s="514"/>
      <c r="I122" s="515"/>
      <c r="J122" s="351">
        <f>SUM(K122:R122)</f>
        <v>1283392</v>
      </c>
      <c r="K122" s="516">
        <f>SUM(K120:K121)</f>
        <v>601516</v>
      </c>
      <c r="L122" s="516">
        <f>SUM(L120:L121)</f>
        <v>56380</v>
      </c>
      <c r="M122" s="516">
        <f>SUM(M120:M121)</f>
        <v>578600</v>
      </c>
      <c r="N122" s="516"/>
      <c r="O122" s="516"/>
      <c r="P122" s="516">
        <f>SUM(P120:P121)</f>
        <v>46896</v>
      </c>
      <c r="Q122" s="517"/>
      <c r="R122" s="518"/>
      <c r="S122" s="415"/>
      <c r="T122" s="415"/>
      <c r="U122" s="415"/>
      <c r="V122" s="415"/>
      <c r="W122" s="415"/>
      <c r="X122" s="415"/>
      <c r="Y122" s="415"/>
      <c r="Z122" s="415"/>
      <c r="AA122" s="415"/>
      <c r="AB122" s="415"/>
      <c r="AC122" s="415"/>
      <c r="AD122" s="415"/>
      <c r="AE122" s="415"/>
    </row>
    <row r="123" spans="1:31" s="486" customFormat="1" ht="22.5" customHeight="1" x14ac:dyDescent="0.2">
      <c r="A123" s="233">
        <v>115</v>
      </c>
      <c r="B123" s="437"/>
      <c r="C123" s="1954" t="s">
        <v>274</v>
      </c>
      <c r="D123" s="1954"/>
      <c r="E123" s="1954"/>
      <c r="F123" s="519"/>
      <c r="G123" s="438">
        <f>SUM(G82:G119)</f>
        <v>3149063</v>
      </c>
      <c r="H123" s="438">
        <f>SUM(H82:H119)</f>
        <v>3471828</v>
      </c>
      <c r="I123" s="520">
        <f>SUM(I82:I119)</f>
        <v>4018802</v>
      </c>
      <c r="J123" s="521"/>
      <c r="K123" s="483"/>
      <c r="L123" s="483"/>
      <c r="M123" s="483"/>
      <c r="N123" s="483"/>
      <c r="O123" s="483"/>
      <c r="P123" s="483"/>
      <c r="Q123" s="483"/>
      <c r="R123" s="484"/>
      <c r="S123" s="485"/>
      <c r="T123" s="485"/>
      <c r="U123" s="485"/>
      <c r="V123" s="485"/>
      <c r="W123" s="485"/>
      <c r="X123" s="485"/>
      <c r="Y123" s="485"/>
      <c r="Z123" s="485"/>
      <c r="AA123" s="485"/>
      <c r="AB123" s="485"/>
      <c r="AC123" s="485"/>
      <c r="AD123" s="485"/>
      <c r="AE123" s="485"/>
    </row>
    <row r="124" spans="1:31" s="264" customFormat="1" ht="18" customHeight="1" x14ac:dyDescent="0.3">
      <c r="A124" s="233">
        <v>116</v>
      </c>
      <c r="B124" s="522"/>
      <c r="C124" s="487"/>
      <c r="D124" s="470"/>
      <c r="E124" s="375" t="s">
        <v>230</v>
      </c>
      <c r="F124" s="471"/>
      <c r="G124" s="471"/>
      <c r="H124" s="471"/>
      <c r="I124" s="447"/>
      <c r="J124" s="448">
        <f t="shared" ref="J124:R124" si="7">SUM(J83,J91,J97,J103,J111,J119)</f>
        <v>3274331</v>
      </c>
      <c r="K124" s="449">
        <f t="shared" si="7"/>
        <v>1525619</v>
      </c>
      <c r="L124" s="449">
        <f t="shared" si="7"/>
        <v>200205</v>
      </c>
      <c r="M124" s="449">
        <f t="shared" si="7"/>
        <v>1289908</v>
      </c>
      <c r="N124" s="449">
        <f t="shared" si="7"/>
        <v>0</v>
      </c>
      <c r="O124" s="449">
        <f t="shared" si="7"/>
        <v>6754</v>
      </c>
      <c r="P124" s="449">
        <f t="shared" si="7"/>
        <v>251845</v>
      </c>
      <c r="Q124" s="449">
        <f t="shared" si="7"/>
        <v>0</v>
      </c>
      <c r="R124" s="450">
        <f t="shared" si="7"/>
        <v>0</v>
      </c>
      <c r="S124" s="415"/>
      <c r="T124" s="415"/>
      <c r="U124" s="415"/>
      <c r="V124" s="415"/>
      <c r="W124" s="415"/>
      <c r="X124" s="415"/>
      <c r="Y124" s="415"/>
      <c r="Z124" s="415"/>
      <c r="AA124" s="415"/>
      <c r="AB124" s="415"/>
      <c r="AC124" s="415"/>
      <c r="AD124" s="415"/>
      <c r="AE124" s="415"/>
    </row>
    <row r="125" spans="1:31" s="264" customFormat="1" ht="18" customHeight="1" x14ac:dyDescent="0.3">
      <c r="A125" s="233">
        <v>117</v>
      </c>
      <c r="B125" s="522"/>
      <c r="C125" s="470"/>
      <c r="D125" s="470"/>
      <c r="E125" s="266" t="s">
        <v>231</v>
      </c>
      <c r="F125" s="471"/>
      <c r="G125" s="471"/>
      <c r="H125" s="471"/>
      <c r="I125" s="447"/>
      <c r="J125" s="451">
        <f t="shared" ref="J125:R125" si="8">SUM(J84,J92,J98,J104,J112,J120)</f>
        <v>4094965</v>
      </c>
      <c r="K125" s="452">
        <f t="shared" si="8"/>
        <v>1666779</v>
      </c>
      <c r="L125" s="452">
        <f t="shared" si="8"/>
        <v>212169</v>
      </c>
      <c r="M125" s="452">
        <f t="shared" si="8"/>
        <v>1813824</v>
      </c>
      <c r="N125" s="452">
        <f t="shared" si="8"/>
        <v>0</v>
      </c>
      <c r="O125" s="452">
        <f t="shared" si="8"/>
        <v>11518</v>
      </c>
      <c r="P125" s="452">
        <f t="shared" si="8"/>
        <v>388700</v>
      </c>
      <c r="Q125" s="452">
        <f t="shared" si="8"/>
        <v>0</v>
      </c>
      <c r="R125" s="453">
        <f t="shared" si="8"/>
        <v>1975</v>
      </c>
      <c r="S125" s="415"/>
      <c r="T125" s="415"/>
      <c r="U125" s="415"/>
      <c r="V125" s="415"/>
      <c r="W125" s="415"/>
      <c r="X125" s="415"/>
      <c r="Y125" s="415"/>
      <c r="Z125" s="415"/>
      <c r="AA125" s="415"/>
      <c r="AB125" s="415"/>
      <c r="AC125" s="415"/>
      <c r="AD125" s="415"/>
      <c r="AE125" s="415"/>
    </row>
    <row r="126" spans="1:31" s="264" customFormat="1" ht="18" customHeight="1" x14ac:dyDescent="0.3">
      <c r="A126" s="233">
        <v>118</v>
      </c>
      <c r="B126" s="467"/>
      <c r="C126" s="468"/>
      <c r="D126" s="468"/>
      <c r="E126" s="270" t="s">
        <v>245</v>
      </c>
      <c r="F126" s="469"/>
      <c r="G126" s="469"/>
      <c r="H126" s="469"/>
      <c r="I126" s="411"/>
      <c r="J126" s="523">
        <f>SUM(K126:R126)</f>
        <v>71092</v>
      </c>
      <c r="K126" s="418">
        <f t="shared" ref="K126:R126" si="9">K121+K113+K105+K99+K93+K85+K86</f>
        <v>14452</v>
      </c>
      <c r="L126" s="418">
        <f t="shared" si="9"/>
        <v>541</v>
      </c>
      <c r="M126" s="418">
        <f t="shared" si="9"/>
        <v>55604</v>
      </c>
      <c r="N126" s="418">
        <f t="shared" si="9"/>
        <v>0</v>
      </c>
      <c r="O126" s="418">
        <f t="shared" si="9"/>
        <v>0</v>
      </c>
      <c r="P126" s="418">
        <f t="shared" si="9"/>
        <v>495</v>
      </c>
      <c r="Q126" s="418">
        <f t="shared" si="9"/>
        <v>0</v>
      </c>
      <c r="R126" s="454">
        <f t="shared" si="9"/>
        <v>0</v>
      </c>
      <c r="S126" s="415"/>
      <c r="T126" s="415"/>
      <c r="U126" s="415"/>
      <c r="V126" s="415"/>
      <c r="W126" s="415"/>
      <c r="X126" s="415"/>
      <c r="Y126" s="415"/>
      <c r="Z126" s="415"/>
      <c r="AA126" s="415"/>
      <c r="AB126" s="415"/>
      <c r="AC126" s="415"/>
      <c r="AD126" s="415"/>
      <c r="AE126" s="415"/>
    </row>
    <row r="127" spans="1:31" s="264" customFormat="1" ht="18" customHeight="1" x14ac:dyDescent="0.3">
      <c r="A127" s="233">
        <v>119</v>
      </c>
      <c r="B127" s="488"/>
      <c r="C127" s="490"/>
      <c r="D127" s="491"/>
      <c r="E127" s="336" t="s">
        <v>233</v>
      </c>
      <c r="F127" s="492"/>
      <c r="G127" s="492"/>
      <c r="H127" s="492"/>
      <c r="I127" s="524"/>
      <c r="J127" s="493">
        <f>SUM(K127:R127)</f>
        <v>4166057</v>
      </c>
      <c r="K127" s="459">
        <f t="shared" ref="K127:R127" si="10">SUM(K125:K126)</f>
        <v>1681231</v>
      </c>
      <c r="L127" s="459">
        <f t="shared" si="10"/>
        <v>212710</v>
      </c>
      <c r="M127" s="459">
        <f t="shared" si="10"/>
        <v>1869428</v>
      </c>
      <c r="N127" s="459">
        <f t="shared" si="10"/>
        <v>0</v>
      </c>
      <c r="O127" s="459">
        <f t="shared" si="10"/>
        <v>11518</v>
      </c>
      <c r="P127" s="459">
        <f t="shared" si="10"/>
        <v>389195</v>
      </c>
      <c r="Q127" s="459">
        <f t="shared" si="10"/>
        <v>0</v>
      </c>
      <c r="R127" s="460">
        <f t="shared" si="10"/>
        <v>1975</v>
      </c>
      <c r="S127" s="415"/>
      <c r="T127" s="415"/>
      <c r="U127" s="415"/>
      <c r="V127" s="415"/>
      <c r="W127" s="415"/>
      <c r="X127" s="415"/>
      <c r="Y127" s="415"/>
      <c r="Z127" s="415"/>
      <c r="AA127" s="415"/>
      <c r="AB127" s="415"/>
      <c r="AC127" s="415"/>
      <c r="AD127" s="415"/>
      <c r="AE127" s="415"/>
    </row>
    <row r="128" spans="1:31" s="330" customFormat="1" ht="22.5" customHeight="1" x14ac:dyDescent="0.3">
      <c r="A128" s="233">
        <v>120</v>
      </c>
      <c r="B128" s="240">
        <v>16</v>
      </c>
      <c r="C128" s="398"/>
      <c r="D128" s="525" t="s">
        <v>55</v>
      </c>
      <c r="E128" s="525"/>
      <c r="F128" s="400" t="s">
        <v>106</v>
      </c>
      <c r="G128" s="244">
        <v>1174009</v>
      </c>
      <c r="H128" s="244">
        <v>1425063</v>
      </c>
      <c r="I128" s="401">
        <v>1410376</v>
      </c>
      <c r="J128" s="494"/>
      <c r="K128" s="244"/>
      <c r="L128" s="244"/>
      <c r="M128" s="244"/>
      <c r="N128" s="244"/>
      <c r="O128" s="244"/>
      <c r="P128" s="244"/>
      <c r="Q128" s="244"/>
      <c r="R128" s="403"/>
      <c r="S128" s="422"/>
      <c r="T128" s="422"/>
      <c r="U128" s="422"/>
      <c r="V128" s="422"/>
      <c r="W128" s="422"/>
      <c r="X128" s="422"/>
      <c r="Y128" s="422"/>
      <c r="Z128" s="422"/>
      <c r="AA128" s="422"/>
      <c r="AB128" s="422"/>
      <c r="AC128" s="422"/>
      <c r="AD128" s="422"/>
      <c r="AE128" s="422"/>
    </row>
    <row r="129" spans="1:31" s="286" customFormat="1" ht="18" customHeight="1" x14ac:dyDescent="0.3">
      <c r="A129" s="233">
        <v>121</v>
      </c>
      <c r="B129" s="522"/>
      <c r="C129" s="470"/>
      <c r="D129" s="470"/>
      <c r="E129" s="375" t="s">
        <v>230</v>
      </c>
      <c r="F129" s="471"/>
      <c r="G129" s="471"/>
      <c r="H129" s="471"/>
      <c r="I129" s="447"/>
      <c r="J129" s="448">
        <f>SUM(K129:R129)</f>
        <v>1824602</v>
      </c>
      <c r="K129" s="449">
        <v>315127</v>
      </c>
      <c r="L129" s="449">
        <v>47865</v>
      </c>
      <c r="M129" s="449">
        <v>1454610</v>
      </c>
      <c r="N129" s="449"/>
      <c r="O129" s="449"/>
      <c r="P129" s="449">
        <v>7000</v>
      </c>
      <c r="Q129" s="449"/>
      <c r="R129" s="450"/>
      <c r="S129" s="423"/>
      <c r="T129" s="423"/>
      <c r="U129" s="423"/>
      <c r="V129" s="423"/>
      <c r="W129" s="423"/>
      <c r="X129" s="423"/>
      <c r="Y129" s="423"/>
      <c r="Z129" s="423"/>
      <c r="AA129" s="423"/>
      <c r="AB129" s="423"/>
      <c r="AC129" s="423"/>
      <c r="AD129" s="423"/>
      <c r="AE129" s="423"/>
    </row>
    <row r="130" spans="1:31" s="286" customFormat="1" ht="18" customHeight="1" x14ac:dyDescent="0.3">
      <c r="A130" s="233">
        <v>122</v>
      </c>
      <c r="B130" s="522"/>
      <c r="C130" s="470"/>
      <c r="D130" s="470"/>
      <c r="E130" s="266" t="s">
        <v>231</v>
      </c>
      <c r="F130" s="471"/>
      <c r="G130" s="471"/>
      <c r="H130" s="471"/>
      <c r="I130" s="447"/>
      <c r="J130" s="451">
        <f>SUM(K130:R130)</f>
        <v>2068755</v>
      </c>
      <c r="K130" s="452">
        <v>332319</v>
      </c>
      <c r="L130" s="452">
        <v>50150</v>
      </c>
      <c r="M130" s="452">
        <v>1678486</v>
      </c>
      <c r="N130" s="452"/>
      <c r="O130" s="452"/>
      <c r="P130" s="452">
        <v>7800</v>
      </c>
      <c r="Q130" s="449"/>
      <c r="R130" s="450"/>
      <c r="S130" s="423"/>
      <c r="T130" s="423"/>
      <c r="U130" s="423"/>
      <c r="V130" s="423"/>
      <c r="W130" s="423"/>
      <c r="X130" s="423"/>
      <c r="Y130" s="423"/>
      <c r="Z130" s="423"/>
      <c r="AA130" s="423"/>
      <c r="AB130" s="423"/>
      <c r="AC130" s="423"/>
      <c r="AD130" s="423"/>
      <c r="AE130" s="423"/>
    </row>
    <row r="131" spans="1:31" s="286" customFormat="1" ht="18" customHeight="1" x14ac:dyDescent="0.3">
      <c r="A131" s="233">
        <v>123</v>
      </c>
      <c r="B131" s="467"/>
      <c r="C131" s="489"/>
      <c r="D131" s="489"/>
      <c r="E131" s="270" t="s">
        <v>287</v>
      </c>
      <c r="F131" s="469"/>
      <c r="G131" s="469"/>
      <c r="H131" s="469"/>
      <c r="I131" s="417"/>
      <c r="J131" s="523">
        <f>SUM(K131:R131)</f>
        <v>0</v>
      </c>
      <c r="K131" s="418"/>
      <c r="L131" s="418"/>
      <c r="M131" s="418">
        <v>-2800</v>
      </c>
      <c r="N131" s="418"/>
      <c r="O131" s="418"/>
      <c r="P131" s="418">
        <v>2800</v>
      </c>
      <c r="Q131" s="413"/>
      <c r="R131" s="414"/>
      <c r="S131" s="423"/>
      <c r="T131" s="423"/>
      <c r="U131" s="423"/>
      <c r="V131" s="423"/>
      <c r="W131" s="423"/>
      <c r="X131" s="423"/>
      <c r="Y131" s="423"/>
      <c r="Z131" s="423"/>
      <c r="AA131" s="423"/>
      <c r="AB131" s="423"/>
      <c r="AC131" s="423"/>
      <c r="AD131" s="423"/>
      <c r="AE131" s="423"/>
    </row>
    <row r="132" spans="1:31" s="286" customFormat="1" ht="18" customHeight="1" x14ac:dyDescent="0.3">
      <c r="A132" s="233">
        <v>124</v>
      </c>
      <c r="B132" s="526"/>
      <c r="C132" s="527"/>
      <c r="D132" s="527"/>
      <c r="E132" s="528" t="s">
        <v>233</v>
      </c>
      <c r="F132" s="529"/>
      <c r="G132" s="529"/>
      <c r="H132" s="529"/>
      <c r="I132" s="530"/>
      <c r="J132" s="359">
        <f>SUM(K132:R132)</f>
        <v>2068755</v>
      </c>
      <c r="K132" s="531">
        <f>SUM(K130:K131)</f>
        <v>332319</v>
      </c>
      <c r="L132" s="531">
        <f>SUM(L130:L131)</f>
        <v>50150</v>
      </c>
      <c r="M132" s="531">
        <f>SUM(M130:M131)</f>
        <v>1675686</v>
      </c>
      <c r="N132" s="531"/>
      <c r="O132" s="531"/>
      <c r="P132" s="531">
        <f>SUM(P130:P131)</f>
        <v>10600</v>
      </c>
      <c r="Q132" s="531"/>
      <c r="R132" s="532"/>
      <c r="S132" s="423"/>
      <c r="T132" s="423"/>
      <c r="U132" s="423"/>
      <c r="V132" s="423"/>
      <c r="W132" s="423"/>
      <c r="X132" s="423"/>
      <c r="Y132" s="423"/>
      <c r="Z132" s="423"/>
      <c r="AA132" s="423"/>
      <c r="AB132" s="423"/>
      <c r="AC132" s="423"/>
      <c r="AD132" s="423"/>
      <c r="AE132" s="423"/>
    </row>
    <row r="133" spans="1:31" s="277" customFormat="1" ht="36" customHeight="1" x14ac:dyDescent="0.3">
      <c r="A133" s="233">
        <v>125</v>
      </c>
      <c r="B133" s="1933" t="s">
        <v>275</v>
      </c>
      <c r="C133" s="1933"/>
      <c r="D133" s="1933"/>
      <c r="E133" s="1933"/>
      <c r="F133" s="533"/>
      <c r="G133" s="534">
        <f>SUM(G128,G123,G77,G47)</f>
        <v>8402587</v>
      </c>
      <c r="H133" s="534">
        <f>SUM(H128,H123,H77,H47)</f>
        <v>9477637</v>
      </c>
      <c r="I133" s="535">
        <f>SUM(I128,I123,I77,I47)</f>
        <v>10216226</v>
      </c>
      <c r="J133" s="536"/>
      <c r="K133" s="537"/>
      <c r="L133" s="537"/>
      <c r="M133" s="537"/>
      <c r="N133" s="537"/>
      <c r="O133" s="537"/>
      <c r="P133" s="537"/>
      <c r="Q133" s="537"/>
      <c r="R133" s="538"/>
      <c r="S133" s="539"/>
      <c r="T133" s="539"/>
      <c r="U133" s="539"/>
      <c r="V133" s="539"/>
      <c r="W133" s="539"/>
      <c r="X133" s="539"/>
      <c r="Y133" s="539"/>
      <c r="Z133" s="539"/>
      <c r="AA133" s="539"/>
      <c r="AB133" s="539"/>
      <c r="AC133" s="539"/>
      <c r="AD133" s="539"/>
      <c r="AE133" s="539"/>
    </row>
    <row r="134" spans="1:31" s="264" customFormat="1" ht="18" customHeight="1" x14ac:dyDescent="0.3">
      <c r="A134" s="233">
        <v>126</v>
      </c>
      <c r="B134" s="522"/>
      <c r="C134" s="470"/>
      <c r="D134" s="470"/>
      <c r="E134" s="375" t="s">
        <v>230</v>
      </c>
      <c r="F134" s="471"/>
      <c r="G134" s="471"/>
      <c r="H134" s="471"/>
      <c r="I134" s="447"/>
      <c r="J134" s="448">
        <f>SUM(K134:R134)</f>
        <v>10526892</v>
      </c>
      <c r="K134" s="449">
        <f t="shared" ref="K134:R135" si="11">SUM(K129,K124,K78,K48)</f>
        <v>5606708</v>
      </c>
      <c r="L134" s="449">
        <f t="shared" si="11"/>
        <v>819207</v>
      </c>
      <c r="M134" s="449">
        <f t="shared" si="11"/>
        <v>3817749</v>
      </c>
      <c r="N134" s="449">
        <f t="shared" si="11"/>
        <v>0</v>
      </c>
      <c r="O134" s="449">
        <f t="shared" si="11"/>
        <v>6754</v>
      </c>
      <c r="P134" s="449">
        <f t="shared" si="11"/>
        <v>276474</v>
      </c>
      <c r="Q134" s="449">
        <f t="shared" si="11"/>
        <v>0</v>
      </c>
      <c r="R134" s="450">
        <f t="shared" si="11"/>
        <v>0</v>
      </c>
      <c r="S134" s="415"/>
      <c r="T134" s="415"/>
      <c r="U134" s="415"/>
      <c r="V134" s="415"/>
      <c r="W134" s="415"/>
      <c r="X134" s="415"/>
      <c r="Y134" s="415"/>
      <c r="Z134" s="415"/>
      <c r="AA134" s="415"/>
      <c r="AB134" s="415"/>
      <c r="AC134" s="415"/>
      <c r="AD134" s="415"/>
      <c r="AE134" s="415"/>
    </row>
    <row r="135" spans="1:31" s="264" customFormat="1" ht="18" customHeight="1" x14ac:dyDescent="0.3">
      <c r="A135" s="233">
        <v>127</v>
      </c>
      <c r="B135" s="522"/>
      <c r="C135" s="470"/>
      <c r="D135" s="511"/>
      <c r="E135" s="266" t="s">
        <v>231</v>
      </c>
      <c r="F135" s="471"/>
      <c r="G135" s="471"/>
      <c r="H135" s="471"/>
      <c r="I135" s="447"/>
      <c r="J135" s="451">
        <f>SUM(K135:R135)</f>
        <v>12190324</v>
      </c>
      <c r="K135" s="452">
        <f t="shared" si="11"/>
        <v>6119960</v>
      </c>
      <c r="L135" s="452">
        <f t="shared" si="11"/>
        <v>889514</v>
      </c>
      <c r="M135" s="452">
        <f t="shared" si="11"/>
        <v>4691760</v>
      </c>
      <c r="N135" s="452">
        <f t="shared" si="11"/>
        <v>0</v>
      </c>
      <c r="O135" s="452">
        <f t="shared" si="11"/>
        <v>11518</v>
      </c>
      <c r="P135" s="452">
        <f t="shared" si="11"/>
        <v>475597</v>
      </c>
      <c r="Q135" s="452">
        <f t="shared" si="11"/>
        <v>0</v>
      </c>
      <c r="R135" s="453">
        <f t="shared" si="11"/>
        <v>1975</v>
      </c>
      <c r="S135" s="415"/>
      <c r="T135" s="415"/>
      <c r="U135" s="415"/>
      <c r="V135" s="415"/>
      <c r="W135" s="415"/>
      <c r="X135" s="415"/>
      <c r="Y135" s="415"/>
      <c r="Z135" s="415"/>
      <c r="AA135" s="415"/>
      <c r="AB135" s="415"/>
      <c r="AC135" s="415"/>
      <c r="AD135" s="415"/>
      <c r="AE135" s="415"/>
    </row>
    <row r="136" spans="1:31" s="264" customFormat="1" ht="18" customHeight="1" x14ac:dyDescent="0.3">
      <c r="A136" s="233">
        <v>128</v>
      </c>
      <c r="B136" s="467"/>
      <c r="C136" s="468"/>
      <c r="D136" s="495"/>
      <c r="E136" s="270" t="s">
        <v>245</v>
      </c>
      <c r="F136" s="469"/>
      <c r="G136" s="469"/>
      <c r="H136" s="469"/>
      <c r="I136" s="411"/>
      <c r="J136" s="523">
        <f>SUM(K136:R136)</f>
        <v>98716</v>
      </c>
      <c r="K136" s="418">
        <f t="shared" ref="K136:R136" si="12">K131+K126+K80+K50</f>
        <v>30842</v>
      </c>
      <c r="L136" s="418">
        <f t="shared" si="12"/>
        <v>8278</v>
      </c>
      <c r="M136" s="418">
        <f t="shared" si="12"/>
        <v>58251</v>
      </c>
      <c r="N136" s="418">
        <f t="shared" si="12"/>
        <v>0</v>
      </c>
      <c r="O136" s="418">
        <f t="shared" si="12"/>
        <v>0</v>
      </c>
      <c r="P136" s="418">
        <f t="shared" si="12"/>
        <v>1345</v>
      </c>
      <c r="Q136" s="418">
        <f t="shared" si="12"/>
        <v>0</v>
      </c>
      <c r="R136" s="454">
        <f t="shared" si="12"/>
        <v>0</v>
      </c>
      <c r="S136" s="415"/>
      <c r="T136" s="415"/>
      <c r="U136" s="415"/>
      <c r="V136" s="415"/>
      <c r="W136" s="415"/>
      <c r="X136" s="415"/>
      <c r="Y136" s="415"/>
      <c r="Z136" s="415"/>
      <c r="AA136" s="415"/>
      <c r="AB136" s="415"/>
      <c r="AC136" s="415"/>
      <c r="AD136" s="415"/>
      <c r="AE136" s="415"/>
    </row>
    <row r="137" spans="1:31" s="264" customFormat="1" ht="18" customHeight="1" x14ac:dyDescent="0.3">
      <c r="A137" s="233">
        <v>129</v>
      </c>
      <c r="B137" s="540"/>
      <c r="C137" s="541"/>
      <c r="D137" s="513"/>
      <c r="E137" s="528" t="s">
        <v>233</v>
      </c>
      <c r="F137" s="514"/>
      <c r="G137" s="514"/>
      <c r="H137" s="514"/>
      <c r="I137" s="542"/>
      <c r="J137" s="359">
        <f>SUM(K137:R137)</f>
        <v>12289040</v>
      </c>
      <c r="K137" s="516">
        <f t="shared" ref="K137:R137" si="13">SUM(K135:K136)</f>
        <v>6150802</v>
      </c>
      <c r="L137" s="516">
        <f t="shared" si="13"/>
        <v>897792</v>
      </c>
      <c r="M137" s="516">
        <f t="shared" si="13"/>
        <v>4750011</v>
      </c>
      <c r="N137" s="516">
        <f t="shared" si="13"/>
        <v>0</v>
      </c>
      <c r="O137" s="516">
        <f t="shared" si="13"/>
        <v>11518</v>
      </c>
      <c r="P137" s="516">
        <f t="shared" si="13"/>
        <v>476942</v>
      </c>
      <c r="Q137" s="516">
        <f t="shared" si="13"/>
        <v>0</v>
      </c>
      <c r="R137" s="543">
        <f t="shared" si="13"/>
        <v>1975</v>
      </c>
      <c r="S137" s="415"/>
      <c r="T137" s="415"/>
      <c r="U137" s="415"/>
      <c r="V137" s="415"/>
      <c r="W137" s="415"/>
      <c r="X137" s="415"/>
      <c r="Y137" s="415"/>
      <c r="Z137" s="415"/>
      <c r="AA137" s="415"/>
      <c r="AB137" s="415"/>
      <c r="AC137" s="415"/>
      <c r="AD137" s="415"/>
      <c r="AE137" s="415"/>
    </row>
    <row r="138" spans="1:31" s="330" customFormat="1" ht="22.5" customHeight="1" x14ac:dyDescent="0.3">
      <c r="A138" s="233">
        <v>130</v>
      </c>
      <c r="B138" s="544">
        <v>17</v>
      </c>
      <c r="C138" s="545"/>
      <c r="D138" s="546" t="s">
        <v>174</v>
      </c>
      <c r="E138" s="547"/>
      <c r="F138" s="369" t="s">
        <v>106</v>
      </c>
      <c r="G138" s="548"/>
      <c r="H138" s="548"/>
      <c r="I138" s="549"/>
      <c r="J138" s="550"/>
      <c r="K138" s="548"/>
      <c r="L138" s="548"/>
      <c r="M138" s="548"/>
      <c r="N138" s="548"/>
      <c r="O138" s="548"/>
      <c r="P138" s="548"/>
      <c r="Q138" s="548"/>
      <c r="R138" s="551"/>
      <c r="S138" s="422"/>
      <c r="T138" s="422"/>
      <c r="U138" s="422"/>
      <c r="V138" s="422"/>
      <c r="W138" s="422"/>
      <c r="X138" s="422"/>
      <c r="Y138" s="422"/>
      <c r="Z138" s="422"/>
      <c r="AA138" s="422"/>
      <c r="AB138" s="422"/>
      <c r="AC138" s="422"/>
      <c r="AD138" s="422"/>
      <c r="AE138" s="422"/>
    </row>
    <row r="139" spans="1:31" s="366" customFormat="1" ht="19.5" customHeight="1" x14ac:dyDescent="0.3">
      <c r="A139" s="233">
        <v>131</v>
      </c>
      <c r="B139" s="248"/>
      <c r="C139" s="249">
        <v>1</v>
      </c>
      <c r="D139" s="552" t="s">
        <v>298</v>
      </c>
      <c r="E139" s="552"/>
      <c r="F139" s="421"/>
      <c r="G139" s="252">
        <v>1426001</v>
      </c>
      <c r="H139" s="252">
        <v>1769569</v>
      </c>
      <c r="I139" s="406">
        <v>1695683</v>
      </c>
      <c r="J139" s="481"/>
      <c r="K139" s="252"/>
      <c r="L139" s="252"/>
      <c r="M139" s="252"/>
      <c r="N139" s="252"/>
      <c r="O139" s="252"/>
      <c r="P139" s="252"/>
      <c r="Q139" s="252"/>
      <c r="R139" s="408"/>
      <c r="S139" s="396"/>
      <c r="T139" s="396"/>
      <c r="U139" s="396"/>
      <c r="V139" s="396"/>
      <c r="W139" s="396"/>
      <c r="X139" s="396"/>
      <c r="Y139" s="396"/>
      <c r="Z139" s="396"/>
      <c r="AA139" s="396"/>
      <c r="AB139" s="396"/>
      <c r="AC139" s="396"/>
      <c r="AD139" s="396"/>
    </row>
    <row r="140" spans="1:31" s="286" customFormat="1" ht="18" customHeight="1" x14ac:dyDescent="0.3">
      <c r="A140" s="233">
        <v>132</v>
      </c>
      <c r="B140" s="467"/>
      <c r="C140" s="553"/>
      <c r="D140" s="468"/>
      <c r="E140" s="554" t="s">
        <v>230</v>
      </c>
      <c r="F140" s="268"/>
      <c r="G140" s="469"/>
      <c r="H140" s="469"/>
      <c r="I140" s="555"/>
      <c r="J140" s="412">
        <f>SUM(K140:R140)</f>
        <v>2049705</v>
      </c>
      <c r="K140" s="413">
        <v>1752781</v>
      </c>
      <c r="L140" s="413">
        <v>261495</v>
      </c>
      <c r="M140" s="413">
        <v>35429</v>
      </c>
      <c r="N140" s="413"/>
      <c r="O140" s="413"/>
      <c r="P140" s="413"/>
      <c r="Q140" s="413"/>
      <c r="R140" s="414"/>
      <c r="S140" s="423"/>
      <c r="T140" s="423"/>
      <c r="U140" s="423"/>
      <c r="V140" s="423"/>
      <c r="W140" s="423"/>
      <c r="X140" s="423"/>
      <c r="Y140" s="423"/>
      <c r="Z140" s="423"/>
      <c r="AA140" s="423"/>
      <c r="AB140" s="423"/>
      <c r="AC140" s="423"/>
      <c r="AD140" s="423"/>
    </row>
    <row r="141" spans="1:31" s="286" customFormat="1" ht="18" customHeight="1" x14ac:dyDescent="0.3">
      <c r="A141" s="233">
        <v>133</v>
      </c>
      <c r="B141" s="467"/>
      <c r="C141" s="553"/>
      <c r="D141" s="495"/>
      <c r="E141" s="266" t="s">
        <v>231</v>
      </c>
      <c r="F141" s="268"/>
      <c r="G141" s="469"/>
      <c r="H141" s="469"/>
      <c r="I141" s="555"/>
      <c r="J141" s="407">
        <f>SUM(K141:R141)</f>
        <v>2441860</v>
      </c>
      <c r="K141" s="416">
        <v>2038857</v>
      </c>
      <c r="L141" s="416">
        <v>303538</v>
      </c>
      <c r="M141" s="416">
        <v>99465</v>
      </c>
      <c r="N141" s="413"/>
      <c r="O141" s="413"/>
      <c r="P141" s="413"/>
      <c r="Q141" s="413"/>
      <c r="R141" s="414"/>
      <c r="S141" s="423"/>
      <c r="T141" s="423"/>
      <c r="U141" s="423"/>
      <c r="V141" s="423"/>
      <c r="W141" s="423"/>
      <c r="X141" s="423"/>
      <c r="Y141" s="423"/>
      <c r="Z141" s="423"/>
      <c r="AA141" s="423"/>
      <c r="AB141" s="423"/>
      <c r="AC141" s="423"/>
      <c r="AD141" s="423"/>
    </row>
    <row r="142" spans="1:31" s="286" customFormat="1" ht="18" customHeight="1" x14ac:dyDescent="0.3">
      <c r="A142" s="233">
        <v>134</v>
      </c>
      <c r="B142" s="467"/>
      <c r="C142" s="553"/>
      <c r="D142" s="495"/>
      <c r="E142" s="270" t="s">
        <v>232</v>
      </c>
      <c r="F142" s="268"/>
      <c r="G142" s="469"/>
      <c r="H142" s="469"/>
      <c r="I142" s="556"/>
      <c r="J142" s="271">
        <f>SUM(K142:R142)</f>
        <v>0</v>
      </c>
      <c r="K142" s="418"/>
      <c r="L142" s="418"/>
      <c r="M142" s="418"/>
      <c r="N142" s="413"/>
      <c r="O142" s="413"/>
      <c r="P142" s="413"/>
      <c r="Q142" s="413"/>
      <c r="R142" s="414"/>
      <c r="S142" s="423"/>
      <c r="T142" s="423"/>
      <c r="U142" s="423"/>
      <c r="V142" s="423"/>
      <c r="W142" s="423"/>
      <c r="X142" s="423"/>
      <c r="Y142" s="423"/>
      <c r="Z142" s="423"/>
      <c r="AA142" s="423"/>
      <c r="AB142" s="423"/>
      <c r="AC142" s="423"/>
      <c r="AD142" s="423"/>
    </row>
    <row r="143" spans="1:31" s="286" customFormat="1" ht="18" customHeight="1" x14ac:dyDescent="0.3">
      <c r="A143" s="233">
        <v>135</v>
      </c>
      <c r="B143" s="467"/>
      <c r="C143" s="553"/>
      <c r="D143" s="495"/>
      <c r="E143" s="266" t="s">
        <v>233</v>
      </c>
      <c r="F143" s="268"/>
      <c r="G143" s="469"/>
      <c r="H143" s="469"/>
      <c r="I143" s="556"/>
      <c r="J143" s="267">
        <f>SUM(K143:R143)</f>
        <v>2441860</v>
      </c>
      <c r="K143" s="416">
        <f>SUM(K141:K142)</f>
        <v>2038857</v>
      </c>
      <c r="L143" s="416">
        <f>SUM(L141:L142)</f>
        <v>303538</v>
      </c>
      <c r="M143" s="416">
        <f>SUM(M141:M142)</f>
        <v>99465</v>
      </c>
      <c r="N143" s="413"/>
      <c r="O143" s="413"/>
      <c r="P143" s="413"/>
      <c r="Q143" s="413"/>
      <c r="R143" s="414"/>
      <c r="S143" s="423"/>
      <c r="T143" s="423"/>
      <c r="U143" s="423"/>
      <c r="V143" s="423"/>
      <c r="W143" s="423"/>
      <c r="X143" s="423"/>
      <c r="Y143" s="423"/>
      <c r="Z143" s="423"/>
      <c r="AA143" s="423"/>
      <c r="AB143" s="423"/>
      <c r="AC143" s="423"/>
      <c r="AD143" s="423"/>
    </row>
    <row r="144" spans="1:31" s="561" customFormat="1" ht="19.5" customHeight="1" x14ac:dyDescent="0.3">
      <c r="A144" s="233">
        <v>136</v>
      </c>
      <c r="B144" s="557"/>
      <c r="C144" s="558"/>
      <c r="D144" s="1955" t="s">
        <v>299</v>
      </c>
      <c r="E144" s="1955"/>
      <c r="F144" s="559"/>
      <c r="G144" s="272">
        <v>34253</v>
      </c>
      <c r="H144" s="272">
        <v>3893</v>
      </c>
      <c r="I144" s="509">
        <v>5127</v>
      </c>
      <c r="J144" s="481"/>
      <c r="K144" s="272"/>
      <c r="L144" s="272"/>
      <c r="M144" s="272"/>
      <c r="N144" s="272"/>
      <c r="O144" s="272"/>
      <c r="P144" s="272"/>
      <c r="Q144" s="272"/>
      <c r="R144" s="255"/>
      <c r="S144" s="560"/>
      <c r="T144" s="560"/>
      <c r="U144" s="560"/>
      <c r="V144" s="560"/>
      <c r="W144" s="560"/>
      <c r="X144" s="560"/>
      <c r="Y144" s="560"/>
      <c r="Z144" s="560"/>
      <c r="AA144" s="560"/>
      <c r="AB144" s="560"/>
      <c r="AC144" s="560"/>
      <c r="AD144" s="560"/>
    </row>
    <row r="145" spans="1:30" s="572" customFormat="1" ht="18" customHeight="1" x14ac:dyDescent="0.3">
      <c r="A145" s="233">
        <v>137</v>
      </c>
      <c r="B145" s="437"/>
      <c r="C145" s="562"/>
      <c r="D145" s="563"/>
      <c r="E145" s="564" t="s">
        <v>230</v>
      </c>
      <c r="F145" s="565"/>
      <c r="G145" s="566"/>
      <c r="H145" s="566"/>
      <c r="I145" s="567"/>
      <c r="J145" s="568">
        <f>SUM(K145:R145)</f>
        <v>0</v>
      </c>
      <c r="K145" s="569"/>
      <c r="L145" s="569"/>
      <c r="M145" s="569"/>
      <c r="N145" s="569"/>
      <c r="O145" s="569"/>
      <c r="P145" s="569"/>
      <c r="Q145" s="569"/>
      <c r="R145" s="570"/>
      <c r="S145" s="571"/>
      <c r="T145" s="571"/>
      <c r="U145" s="571"/>
      <c r="V145" s="571"/>
      <c r="W145" s="571"/>
      <c r="X145" s="571"/>
      <c r="Y145" s="571"/>
      <c r="Z145" s="571"/>
      <c r="AA145" s="571"/>
      <c r="AB145" s="571"/>
      <c r="AC145" s="571"/>
      <c r="AD145" s="571"/>
    </row>
    <row r="146" spans="1:30" s="330" customFormat="1" ht="19.5" customHeight="1" x14ac:dyDescent="0.3">
      <c r="A146" s="233">
        <v>138</v>
      </c>
      <c r="B146" s="248"/>
      <c r="C146" s="249">
        <v>2</v>
      </c>
      <c r="D146" s="552" t="s">
        <v>300</v>
      </c>
      <c r="E146" s="552"/>
      <c r="F146" s="421"/>
      <c r="G146" s="252">
        <v>190050</v>
      </c>
      <c r="H146" s="252">
        <v>327625</v>
      </c>
      <c r="I146" s="406">
        <v>229634</v>
      </c>
      <c r="J146" s="481"/>
      <c r="K146" s="252"/>
      <c r="L146" s="252"/>
      <c r="M146" s="252"/>
      <c r="N146" s="252"/>
      <c r="O146" s="252"/>
      <c r="P146" s="252"/>
      <c r="Q146" s="252"/>
      <c r="R146" s="408"/>
      <c r="S146" s="422"/>
      <c r="T146" s="422"/>
      <c r="U146" s="422"/>
      <c r="V146" s="422"/>
      <c r="W146" s="422"/>
      <c r="X146" s="422"/>
      <c r="Y146" s="422"/>
      <c r="Z146" s="422"/>
      <c r="AA146" s="422"/>
      <c r="AB146" s="422"/>
      <c r="AC146" s="422"/>
      <c r="AD146" s="422"/>
    </row>
    <row r="147" spans="1:30" s="286" customFormat="1" ht="18" customHeight="1" x14ac:dyDescent="0.3">
      <c r="A147" s="233">
        <v>139</v>
      </c>
      <c r="B147" s="467"/>
      <c r="C147" s="553"/>
      <c r="D147" s="468"/>
      <c r="E147" s="554" t="s">
        <v>230</v>
      </c>
      <c r="F147" s="268"/>
      <c r="G147" s="469"/>
      <c r="H147" s="469"/>
      <c r="I147" s="555"/>
      <c r="J147" s="412">
        <f>SUM(K147:R147)</f>
        <v>372333</v>
      </c>
      <c r="K147" s="413">
        <v>5000</v>
      </c>
      <c r="L147" s="413">
        <v>1949</v>
      </c>
      <c r="M147" s="413">
        <v>297584</v>
      </c>
      <c r="N147" s="413"/>
      <c r="O147" s="413"/>
      <c r="P147" s="413">
        <v>67800</v>
      </c>
      <c r="Q147" s="413"/>
      <c r="R147" s="414"/>
      <c r="S147" s="423"/>
      <c r="T147" s="423"/>
      <c r="U147" s="423"/>
      <c r="V147" s="423"/>
      <c r="W147" s="423"/>
      <c r="X147" s="423"/>
      <c r="Y147" s="423"/>
      <c r="Z147" s="423"/>
      <c r="AA147" s="423"/>
      <c r="AB147" s="423"/>
      <c r="AC147" s="423"/>
      <c r="AD147" s="423"/>
    </row>
    <row r="148" spans="1:30" s="286" customFormat="1" ht="18" customHeight="1" x14ac:dyDescent="0.3">
      <c r="A148" s="233">
        <v>140</v>
      </c>
      <c r="B148" s="467"/>
      <c r="C148" s="553"/>
      <c r="D148" s="495"/>
      <c r="E148" s="266" t="s">
        <v>231</v>
      </c>
      <c r="F148" s="268"/>
      <c r="G148" s="469"/>
      <c r="H148" s="469"/>
      <c r="I148" s="555"/>
      <c r="J148" s="407">
        <f>SUM(K148:R148)</f>
        <v>673974</v>
      </c>
      <c r="K148" s="416">
        <v>7331</v>
      </c>
      <c r="L148" s="416">
        <v>3479</v>
      </c>
      <c r="M148" s="416">
        <v>504614</v>
      </c>
      <c r="N148" s="416"/>
      <c r="O148" s="416"/>
      <c r="P148" s="416">
        <v>158550</v>
      </c>
      <c r="Q148" s="413"/>
      <c r="R148" s="414"/>
      <c r="S148" s="423"/>
      <c r="T148" s="423"/>
      <c r="U148" s="423"/>
      <c r="V148" s="423"/>
      <c r="W148" s="423"/>
      <c r="X148" s="423"/>
      <c r="Y148" s="423"/>
      <c r="Z148" s="423"/>
      <c r="AA148" s="423"/>
      <c r="AB148" s="423"/>
      <c r="AC148" s="423"/>
      <c r="AD148" s="423"/>
    </row>
    <row r="149" spans="1:30" s="286" customFormat="1" ht="18" customHeight="1" x14ac:dyDescent="0.3">
      <c r="A149" s="233">
        <v>141</v>
      </c>
      <c r="B149" s="467"/>
      <c r="C149" s="553"/>
      <c r="D149" s="495"/>
      <c r="E149" s="270" t="s">
        <v>301</v>
      </c>
      <c r="F149" s="268"/>
      <c r="G149" s="469"/>
      <c r="H149" s="469"/>
      <c r="I149" s="556"/>
      <c r="J149" s="271">
        <f>SUM(K149:R149)</f>
        <v>5000</v>
      </c>
      <c r="K149" s="418"/>
      <c r="L149" s="418"/>
      <c r="M149" s="418">
        <v>3600</v>
      </c>
      <c r="N149" s="418"/>
      <c r="O149" s="418"/>
      <c r="P149" s="418">
        <v>1400</v>
      </c>
      <c r="Q149" s="413"/>
      <c r="R149" s="414"/>
      <c r="S149" s="423"/>
      <c r="T149" s="423"/>
      <c r="U149" s="423"/>
      <c r="V149" s="423"/>
      <c r="W149" s="423"/>
      <c r="X149" s="423"/>
      <c r="Y149" s="423"/>
      <c r="Z149" s="423"/>
      <c r="AA149" s="423"/>
      <c r="AB149" s="423"/>
      <c r="AC149" s="423"/>
      <c r="AD149" s="423"/>
    </row>
    <row r="150" spans="1:30" s="286" customFormat="1" ht="18" customHeight="1" x14ac:dyDescent="0.3">
      <c r="A150" s="233">
        <v>142</v>
      </c>
      <c r="B150" s="467"/>
      <c r="C150" s="553"/>
      <c r="D150" s="495"/>
      <c r="E150" s="266" t="s">
        <v>233</v>
      </c>
      <c r="F150" s="268"/>
      <c r="G150" s="469"/>
      <c r="H150" s="469"/>
      <c r="I150" s="556"/>
      <c r="J150" s="267">
        <f>SUM(K150:R150)</f>
        <v>678974</v>
      </c>
      <c r="K150" s="416">
        <f>SUM(K148:K149)</f>
        <v>7331</v>
      </c>
      <c r="L150" s="416">
        <f>SUM(L148:L149)</f>
        <v>3479</v>
      </c>
      <c r="M150" s="416">
        <f>SUM(M148:M149)</f>
        <v>508214</v>
      </c>
      <c r="N150" s="416"/>
      <c r="O150" s="416"/>
      <c r="P150" s="416">
        <f>SUM(P148:P149)</f>
        <v>159950</v>
      </c>
      <c r="Q150" s="413"/>
      <c r="R150" s="414"/>
      <c r="S150" s="423"/>
      <c r="T150" s="423"/>
      <c r="U150" s="423"/>
      <c r="V150" s="423"/>
      <c r="W150" s="423"/>
      <c r="X150" s="423"/>
      <c r="Y150" s="423"/>
      <c r="Z150" s="423"/>
      <c r="AA150" s="423"/>
      <c r="AB150" s="423"/>
      <c r="AC150" s="423"/>
      <c r="AD150" s="423"/>
    </row>
    <row r="151" spans="1:30" s="330" customFormat="1" ht="19.5" customHeight="1" x14ac:dyDescent="0.3">
      <c r="A151" s="233">
        <v>143</v>
      </c>
      <c r="B151" s="248"/>
      <c r="C151" s="249">
        <v>3</v>
      </c>
      <c r="D151" s="552" t="s">
        <v>302</v>
      </c>
      <c r="E151" s="552"/>
      <c r="F151" s="421"/>
      <c r="G151" s="252">
        <v>93908</v>
      </c>
      <c r="H151" s="252">
        <v>108699</v>
      </c>
      <c r="I151" s="406">
        <v>91156</v>
      </c>
      <c r="J151" s="481"/>
      <c r="K151" s="252"/>
      <c r="L151" s="252"/>
      <c r="M151" s="252"/>
      <c r="N151" s="252"/>
      <c r="O151" s="252"/>
      <c r="P151" s="252"/>
      <c r="Q151" s="252"/>
      <c r="R151" s="408"/>
      <c r="S151" s="422"/>
      <c r="T151" s="422"/>
      <c r="U151" s="422"/>
      <c r="V151" s="422"/>
      <c r="W151" s="422"/>
      <c r="X151" s="422"/>
      <c r="Y151" s="422"/>
      <c r="Z151" s="422"/>
      <c r="AA151" s="422"/>
      <c r="AB151" s="422"/>
      <c r="AC151" s="422"/>
      <c r="AD151" s="422"/>
    </row>
    <row r="152" spans="1:30" s="286" customFormat="1" ht="18" customHeight="1" x14ac:dyDescent="0.3">
      <c r="A152" s="233">
        <v>144</v>
      </c>
      <c r="B152" s="467"/>
      <c r="C152" s="553"/>
      <c r="D152" s="468"/>
      <c r="E152" s="554" t="s">
        <v>230</v>
      </c>
      <c r="F152" s="268"/>
      <c r="G152" s="469"/>
      <c r="H152" s="469"/>
      <c r="I152" s="555"/>
      <c r="J152" s="412">
        <f>SUM(K152:R152)</f>
        <v>147522</v>
      </c>
      <c r="K152" s="413"/>
      <c r="L152" s="413"/>
      <c r="M152" s="413">
        <v>121722</v>
      </c>
      <c r="N152" s="413"/>
      <c r="O152" s="413"/>
      <c r="P152" s="413">
        <v>25800</v>
      </c>
      <c r="Q152" s="413"/>
      <c r="R152" s="414"/>
      <c r="S152" s="423"/>
      <c r="T152" s="423"/>
      <c r="U152" s="423"/>
      <c r="V152" s="423"/>
      <c r="W152" s="423"/>
      <c r="X152" s="423"/>
      <c r="Y152" s="423"/>
      <c r="Z152" s="423"/>
      <c r="AA152" s="423"/>
      <c r="AB152" s="423"/>
      <c r="AC152" s="423"/>
      <c r="AD152" s="423"/>
    </row>
    <row r="153" spans="1:30" s="286" customFormat="1" ht="18" customHeight="1" x14ac:dyDescent="0.3">
      <c r="A153" s="233">
        <v>145</v>
      </c>
      <c r="B153" s="522"/>
      <c r="C153" s="553"/>
      <c r="D153" s="495"/>
      <c r="E153" s="266" t="s">
        <v>231</v>
      </c>
      <c r="F153" s="292"/>
      <c r="G153" s="573"/>
      <c r="H153" s="573"/>
      <c r="I153" s="555"/>
      <c r="J153" s="407">
        <f>SUM(K153:R153)</f>
        <v>187807</v>
      </c>
      <c r="K153" s="435"/>
      <c r="L153" s="435"/>
      <c r="M153" s="435">
        <v>149007</v>
      </c>
      <c r="N153" s="435"/>
      <c r="O153" s="435"/>
      <c r="P153" s="435">
        <v>38800</v>
      </c>
      <c r="Q153" s="574"/>
      <c r="R153" s="575"/>
      <c r="S153" s="423"/>
      <c r="T153" s="423"/>
      <c r="U153" s="423"/>
      <c r="V153" s="423"/>
      <c r="W153" s="423"/>
      <c r="X153" s="423"/>
      <c r="Y153" s="423"/>
      <c r="Z153" s="423"/>
      <c r="AA153" s="423"/>
      <c r="AB153" s="423"/>
      <c r="AC153" s="423"/>
      <c r="AD153" s="423"/>
    </row>
    <row r="154" spans="1:30" s="286" customFormat="1" ht="18" customHeight="1" x14ac:dyDescent="0.3">
      <c r="A154" s="233">
        <v>146</v>
      </c>
      <c r="B154" s="522"/>
      <c r="C154" s="553"/>
      <c r="D154" s="495"/>
      <c r="E154" s="270" t="s">
        <v>232</v>
      </c>
      <c r="F154" s="292"/>
      <c r="G154" s="573"/>
      <c r="H154" s="573"/>
      <c r="I154" s="556"/>
      <c r="J154" s="271">
        <f>SUM(K154:R154)</f>
        <v>0</v>
      </c>
      <c r="K154" s="574"/>
      <c r="L154" s="574"/>
      <c r="M154" s="576"/>
      <c r="N154" s="576"/>
      <c r="O154" s="576"/>
      <c r="P154" s="576"/>
      <c r="Q154" s="574"/>
      <c r="R154" s="575"/>
      <c r="S154" s="423"/>
      <c r="T154" s="423"/>
      <c r="U154" s="423"/>
      <c r="V154" s="423"/>
      <c r="W154" s="423"/>
      <c r="X154" s="423"/>
      <c r="Y154" s="423"/>
      <c r="Z154" s="423"/>
      <c r="AA154" s="423"/>
      <c r="AB154" s="423"/>
      <c r="AC154" s="423"/>
      <c r="AD154" s="423"/>
    </row>
    <row r="155" spans="1:30" s="286" customFormat="1" ht="18" customHeight="1" x14ac:dyDescent="0.3">
      <c r="A155" s="233">
        <v>147</v>
      </c>
      <c r="B155" s="522"/>
      <c r="C155" s="553"/>
      <c r="D155" s="495"/>
      <c r="E155" s="266" t="s">
        <v>233</v>
      </c>
      <c r="F155" s="292"/>
      <c r="G155" s="573"/>
      <c r="H155" s="573"/>
      <c r="I155" s="577"/>
      <c r="J155" s="267">
        <f>SUM(K155:R155)</f>
        <v>187807</v>
      </c>
      <c r="K155" s="574"/>
      <c r="L155" s="574"/>
      <c r="M155" s="435">
        <f>SUM(M153:M154)</f>
        <v>149007</v>
      </c>
      <c r="N155" s="435"/>
      <c r="O155" s="435"/>
      <c r="P155" s="435">
        <f>SUM(P153:P154)</f>
        <v>38800</v>
      </c>
      <c r="Q155" s="574"/>
      <c r="R155" s="575"/>
      <c r="S155" s="423"/>
      <c r="T155" s="423"/>
      <c r="U155" s="423"/>
      <c r="V155" s="423"/>
      <c r="W155" s="423"/>
      <c r="X155" s="423"/>
      <c r="Y155" s="423"/>
      <c r="Z155" s="423"/>
      <c r="AA155" s="423"/>
      <c r="AB155" s="423"/>
      <c r="AC155" s="423"/>
      <c r="AD155" s="423"/>
    </row>
    <row r="156" spans="1:30" s="585" customFormat="1" ht="19.5" customHeight="1" x14ac:dyDescent="0.3">
      <c r="A156" s="233">
        <v>148</v>
      </c>
      <c r="B156" s="374"/>
      <c r="C156" s="249">
        <v>53</v>
      </c>
      <c r="D156" s="1952" t="s">
        <v>303</v>
      </c>
      <c r="E156" s="1952"/>
      <c r="F156" s="578"/>
      <c r="G156" s="579">
        <v>182</v>
      </c>
      <c r="H156" s="579">
        <v>1118</v>
      </c>
      <c r="I156" s="580">
        <v>1645</v>
      </c>
      <c r="J156" s="581"/>
      <c r="K156" s="582"/>
      <c r="L156" s="582"/>
      <c r="M156" s="582"/>
      <c r="N156" s="582"/>
      <c r="O156" s="582"/>
      <c r="P156" s="582"/>
      <c r="Q156" s="582"/>
      <c r="R156" s="583"/>
      <c r="S156" s="584"/>
      <c r="T156" s="584"/>
      <c r="U156" s="584"/>
      <c r="V156" s="584"/>
      <c r="W156" s="584"/>
      <c r="X156" s="584"/>
      <c r="Y156" s="584"/>
      <c r="Z156" s="584"/>
      <c r="AA156" s="584"/>
      <c r="AB156" s="584"/>
      <c r="AC156" s="584"/>
      <c r="AD156" s="584"/>
    </row>
    <row r="157" spans="1:30" s="585" customFormat="1" ht="19.5" customHeight="1" x14ac:dyDescent="0.3">
      <c r="A157" s="233">
        <v>149</v>
      </c>
      <c r="B157" s="374"/>
      <c r="C157" s="249"/>
      <c r="D157" s="586"/>
      <c r="E157" s="554" t="s">
        <v>230</v>
      </c>
      <c r="F157" s="578"/>
      <c r="G157" s="579"/>
      <c r="H157" s="579"/>
      <c r="I157" s="580"/>
      <c r="J157" s="412">
        <f>SUM(K157:R157)</f>
        <v>40</v>
      </c>
      <c r="K157" s="582">
        <v>35</v>
      </c>
      <c r="L157" s="582">
        <v>5</v>
      </c>
      <c r="M157" s="582"/>
      <c r="N157" s="582"/>
      <c r="O157" s="582"/>
      <c r="P157" s="582"/>
      <c r="Q157" s="582"/>
      <c r="R157" s="583"/>
      <c r="S157" s="584"/>
      <c r="T157" s="584"/>
      <c r="U157" s="584"/>
      <c r="V157" s="584"/>
      <c r="W157" s="584"/>
      <c r="X157" s="584"/>
      <c r="Y157" s="584"/>
      <c r="Z157" s="584"/>
      <c r="AA157" s="584"/>
      <c r="AB157" s="584"/>
      <c r="AC157" s="584"/>
      <c r="AD157" s="584"/>
    </row>
    <row r="158" spans="1:30" s="585" customFormat="1" ht="19.5" customHeight="1" x14ac:dyDescent="0.3">
      <c r="A158" s="233">
        <v>150</v>
      </c>
      <c r="B158" s="374"/>
      <c r="C158" s="249"/>
      <c r="D158" s="586"/>
      <c r="E158" s="266" t="s">
        <v>231</v>
      </c>
      <c r="F158" s="578"/>
      <c r="G158" s="579"/>
      <c r="H158" s="579"/>
      <c r="I158" s="580"/>
      <c r="J158" s="407">
        <f>SUM(K158:R158)</f>
        <v>40</v>
      </c>
      <c r="K158" s="587">
        <v>35</v>
      </c>
      <c r="L158" s="587">
        <v>5</v>
      </c>
      <c r="M158" s="582"/>
      <c r="N158" s="582"/>
      <c r="O158" s="582"/>
      <c r="P158" s="582"/>
      <c r="Q158" s="582"/>
      <c r="R158" s="583"/>
      <c r="S158" s="584"/>
      <c r="T158" s="584"/>
      <c r="U158" s="584"/>
      <c r="V158" s="584"/>
      <c r="W158" s="584"/>
      <c r="X158" s="584"/>
      <c r="Y158" s="584"/>
      <c r="Z158" s="584"/>
      <c r="AA158" s="584"/>
      <c r="AB158" s="584"/>
      <c r="AC158" s="584"/>
      <c r="AD158" s="584"/>
    </row>
    <row r="159" spans="1:30" s="585" customFormat="1" ht="19.5" customHeight="1" x14ac:dyDescent="0.3">
      <c r="A159" s="233">
        <v>151</v>
      </c>
      <c r="B159" s="374"/>
      <c r="C159" s="249"/>
      <c r="D159" s="586"/>
      <c r="E159" s="270" t="s">
        <v>245</v>
      </c>
      <c r="F159" s="578"/>
      <c r="G159" s="579"/>
      <c r="H159" s="579"/>
      <c r="I159" s="588"/>
      <c r="J159" s="271">
        <f>SUM(K159:R159)</f>
        <v>0</v>
      </c>
      <c r="K159" s="582"/>
      <c r="L159" s="582"/>
      <c r="M159" s="582"/>
      <c r="N159" s="582"/>
      <c r="O159" s="582"/>
      <c r="P159" s="582"/>
      <c r="Q159" s="582"/>
      <c r="R159" s="583"/>
      <c r="S159" s="584"/>
      <c r="T159" s="584"/>
      <c r="U159" s="584"/>
      <c r="V159" s="584"/>
      <c r="W159" s="584"/>
      <c r="X159" s="584"/>
      <c r="Y159" s="584"/>
      <c r="Z159" s="584"/>
      <c r="AA159" s="584"/>
      <c r="AB159" s="584"/>
      <c r="AC159" s="584"/>
      <c r="AD159" s="584"/>
    </row>
    <row r="160" spans="1:30" s="585" customFormat="1" ht="19.5" customHeight="1" x14ac:dyDescent="0.3">
      <c r="A160" s="233">
        <v>152</v>
      </c>
      <c r="B160" s="374"/>
      <c r="C160" s="249"/>
      <c r="D160" s="586"/>
      <c r="E160" s="266" t="s">
        <v>233</v>
      </c>
      <c r="F160" s="578"/>
      <c r="G160" s="579"/>
      <c r="H160" s="579"/>
      <c r="I160" s="589"/>
      <c r="J160" s="267">
        <f>SUM(K160:R160)</f>
        <v>40</v>
      </c>
      <c r="K160" s="587">
        <f>SUM(K158:K159)</f>
        <v>35</v>
      </c>
      <c r="L160" s="587">
        <f>SUM(L158:L159)</f>
        <v>5</v>
      </c>
      <c r="M160" s="582"/>
      <c r="N160" s="582"/>
      <c r="O160" s="582"/>
      <c r="P160" s="582"/>
      <c r="Q160" s="582"/>
      <c r="R160" s="583"/>
      <c r="S160" s="584"/>
      <c r="T160" s="584"/>
      <c r="U160" s="584"/>
      <c r="V160" s="584"/>
      <c r="W160" s="584"/>
      <c r="X160" s="584"/>
      <c r="Y160" s="584"/>
      <c r="Z160" s="584"/>
      <c r="AA160" s="584"/>
      <c r="AB160" s="584"/>
      <c r="AC160" s="584"/>
      <c r="AD160" s="584"/>
    </row>
    <row r="161" spans="1:30" s="585" customFormat="1" ht="19.5" customHeight="1" x14ac:dyDescent="0.3">
      <c r="A161" s="233">
        <v>153</v>
      </c>
      <c r="B161" s="374"/>
      <c r="C161" s="249">
        <v>59</v>
      </c>
      <c r="D161" s="1952" t="s">
        <v>304</v>
      </c>
      <c r="E161" s="1952"/>
      <c r="F161" s="578"/>
      <c r="G161" s="579"/>
      <c r="H161" s="579">
        <v>46331</v>
      </c>
      <c r="I161" s="580">
        <v>50636</v>
      </c>
      <c r="J161" s="581"/>
      <c r="K161" s="582"/>
      <c r="L161" s="582"/>
      <c r="M161" s="582"/>
      <c r="N161" s="582"/>
      <c r="O161" s="582"/>
      <c r="P161" s="582"/>
      <c r="Q161" s="582"/>
      <c r="R161" s="583"/>
      <c r="S161" s="584"/>
      <c r="T161" s="584"/>
      <c r="U161" s="584"/>
      <c r="V161" s="584"/>
      <c r="W161" s="584"/>
      <c r="X161" s="584"/>
      <c r="Y161" s="584"/>
      <c r="Z161" s="584"/>
      <c r="AA161" s="584"/>
      <c r="AB161" s="584"/>
      <c r="AC161" s="584"/>
      <c r="AD161" s="584"/>
    </row>
    <row r="162" spans="1:30" s="585" customFormat="1" ht="19.5" customHeight="1" x14ac:dyDescent="0.3">
      <c r="A162" s="233">
        <v>154</v>
      </c>
      <c r="B162" s="374"/>
      <c r="C162" s="590"/>
      <c r="D162" s="586"/>
      <c r="E162" s="554" t="s">
        <v>230</v>
      </c>
      <c r="F162" s="578"/>
      <c r="G162" s="579"/>
      <c r="H162" s="579"/>
      <c r="I162" s="580"/>
      <c r="J162" s="412">
        <f>SUM(K162:R162)</f>
        <v>4973</v>
      </c>
      <c r="K162" s="582">
        <v>4400</v>
      </c>
      <c r="L162" s="582">
        <v>573</v>
      </c>
      <c r="M162" s="582"/>
      <c r="N162" s="582"/>
      <c r="O162" s="582"/>
      <c r="P162" s="582"/>
      <c r="Q162" s="582"/>
      <c r="R162" s="583"/>
      <c r="S162" s="584"/>
      <c r="T162" s="584"/>
      <c r="U162" s="584"/>
      <c r="V162" s="584"/>
      <c r="W162" s="584"/>
      <c r="X162" s="584"/>
      <c r="Y162" s="584"/>
      <c r="Z162" s="584"/>
      <c r="AA162" s="584"/>
      <c r="AB162" s="584"/>
      <c r="AC162" s="584"/>
      <c r="AD162" s="584"/>
    </row>
    <row r="163" spans="1:30" s="585" customFormat="1" ht="19.5" customHeight="1" x14ac:dyDescent="0.3">
      <c r="A163" s="233">
        <v>155</v>
      </c>
      <c r="B163" s="374"/>
      <c r="C163" s="590"/>
      <c r="D163" s="586"/>
      <c r="E163" s="266" t="s">
        <v>231</v>
      </c>
      <c r="F163" s="578"/>
      <c r="G163" s="579"/>
      <c r="H163" s="579"/>
      <c r="I163" s="580"/>
      <c r="J163" s="407">
        <f>SUM(K163:R163)</f>
        <v>4158</v>
      </c>
      <c r="K163" s="587">
        <v>3680</v>
      </c>
      <c r="L163" s="587">
        <v>478</v>
      </c>
      <c r="M163" s="582"/>
      <c r="N163" s="582"/>
      <c r="O163" s="582"/>
      <c r="P163" s="582"/>
      <c r="Q163" s="582"/>
      <c r="R163" s="583"/>
      <c r="S163" s="584"/>
      <c r="T163" s="584"/>
      <c r="U163" s="584"/>
      <c r="V163" s="584"/>
      <c r="W163" s="584"/>
      <c r="X163" s="584"/>
      <c r="Y163" s="584"/>
      <c r="Z163" s="584"/>
      <c r="AA163" s="584"/>
      <c r="AB163" s="584"/>
      <c r="AC163" s="584"/>
      <c r="AD163" s="584"/>
    </row>
    <row r="164" spans="1:30" s="585" customFormat="1" ht="19.5" customHeight="1" x14ac:dyDescent="0.3">
      <c r="A164" s="233">
        <v>156</v>
      </c>
      <c r="B164" s="374"/>
      <c r="C164" s="590"/>
      <c r="D164" s="586"/>
      <c r="E164" s="270" t="s">
        <v>232</v>
      </c>
      <c r="F164" s="578"/>
      <c r="G164" s="579"/>
      <c r="H164" s="579"/>
      <c r="I164" s="588"/>
      <c r="J164" s="271">
        <f>SUM(K164:R164)</f>
        <v>0</v>
      </c>
      <c r="K164" s="591"/>
      <c r="L164" s="591"/>
      <c r="M164" s="582"/>
      <c r="N164" s="582"/>
      <c r="O164" s="582"/>
      <c r="P164" s="582"/>
      <c r="Q164" s="582"/>
      <c r="R164" s="583"/>
      <c r="S164" s="584"/>
      <c r="T164" s="584"/>
      <c r="U164" s="584"/>
      <c r="V164" s="584"/>
      <c r="W164" s="584"/>
      <c r="X164" s="584"/>
      <c r="Y164" s="584"/>
      <c r="Z164" s="584"/>
      <c r="AA164" s="584"/>
      <c r="AB164" s="584"/>
      <c r="AC164" s="584"/>
      <c r="AD164" s="584"/>
    </row>
    <row r="165" spans="1:30" s="585" customFormat="1" ht="19.5" customHeight="1" x14ac:dyDescent="0.3">
      <c r="A165" s="233">
        <v>157</v>
      </c>
      <c r="B165" s="374"/>
      <c r="C165" s="590"/>
      <c r="D165" s="586"/>
      <c r="E165" s="266" t="s">
        <v>233</v>
      </c>
      <c r="F165" s="578"/>
      <c r="G165" s="579"/>
      <c r="H165" s="579"/>
      <c r="I165" s="589"/>
      <c r="J165" s="267">
        <f>SUM(K165:R165)</f>
        <v>4158</v>
      </c>
      <c r="K165" s="587">
        <f>SUM(K163:K164)</f>
        <v>3680</v>
      </c>
      <c r="L165" s="587">
        <f>SUM(L163:L164)</f>
        <v>478</v>
      </c>
      <c r="M165" s="582"/>
      <c r="N165" s="582"/>
      <c r="O165" s="582"/>
      <c r="P165" s="582"/>
      <c r="Q165" s="582"/>
      <c r="R165" s="583"/>
      <c r="S165" s="584"/>
      <c r="T165" s="584"/>
      <c r="U165" s="584"/>
      <c r="V165" s="584"/>
      <c r="W165" s="584"/>
      <c r="X165" s="584"/>
      <c r="Y165" s="584"/>
      <c r="Z165" s="584"/>
      <c r="AA165" s="584"/>
      <c r="AB165" s="584"/>
      <c r="AC165" s="584"/>
      <c r="AD165" s="584"/>
    </row>
    <row r="166" spans="1:30" s="585" customFormat="1" ht="30.75" customHeight="1" x14ac:dyDescent="0.3">
      <c r="A166" s="233">
        <v>158</v>
      </c>
      <c r="B166" s="374"/>
      <c r="C166" s="329">
        <v>60</v>
      </c>
      <c r="D166" s="1935" t="s">
        <v>305</v>
      </c>
      <c r="E166" s="1935"/>
      <c r="F166" s="578"/>
      <c r="G166" s="579"/>
      <c r="H166" s="579"/>
      <c r="I166" s="580">
        <v>7754</v>
      </c>
      <c r="J166" s="581"/>
      <c r="K166" s="582"/>
      <c r="L166" s="582"/>
      <c r="M166" s="582"/>
      <c r="N166" s="582"/>
      <c r="O166" s="582"/>
      <c r="P166" s="582"/>
      <c r="Q166" s="582"/>
      <c r="R166" s="583"/>
      <c r="S166" s="584"/>
      <c r="T166" s="584"/>
      <c r="U166" s="584"/>
      <c r="V166" s="584"/>
      <c r="W166" s="584"/>
      <c r="X166" s="584"/>
      <c r="Y166" s="584"/>
      <c r="Z166" s="584"/>
      <c r="AA166" s="584"/>
      <c r="AB166" s="584"/>
      <c r="AC166" s="584"/>
      <c r="AD166" s="584"/>
    </row>
    <row r="167" spans="1:30" s="585" customFormat="1" ht="19.5" customHeight="1" x14ac:dyDescent="0.3">
      <c r="A167" s="233">
        <v>159</v>
      </c>
      <c r="B167" s="374"/>
      <c r="C167" s="249"/>
      <c r="D167" s="586"/>
      <c r="E167" s="554" t="s">
        <v>230</v>
      </c>
      <c r="F167" s="578"/>
      <c r="G167" s="579"/>
      <c r="H167" s="579"/>
      <c r="I167" s="580"/>
      <c r="J167" s="412">
        <f>SUM(K167:R167)</f>
        <v>2207</v>
      </c>
      <c r="K167" s="582">
        <v>1953</v>
      </c>
      <c r="L167" s="582">
        <v>254</v>
      </c>
      <c r="M167" s="582"/>
      <c r="N167" s="582"/>
      <c r="O167" s="582"/>
      <c r="P167" s="582"/>
      <c r="Q167" s="582"/>
      <c r="R167" s="583"/>
      <c r="S167" s="584"/>
      <c r="T167" s="584"/>
      <c r="U167" s="584"/>
      <c r="V167" s="584"/>
      <c r="W167" s="584"/>
      <c r="X167" s="584"/>
      <c r="Y167" s="584"/>
      <c r="Z167" s="584"/>
      <c r="AA167" s="584"/>
      <c r="AB167" s="584"/>
      <c r="AC167" s="584"/>
      <c r="AD167" s="584"/>
    </row>
    <row r="168" spans="1:30" s="585" customFormat="1" ht="19.5" customHeight="1" x14ac:dyDescent="0.3">
      <c r="A168" s="233">
        <v>160</v>
      </c>
      <c r="B168" s="374"/>
      <c r="C168" s="249"/>
      <c r="D168" s="586"/>
      <c r="E168" s="266" t="s">
        <v>231</v>
      </c>
      <c r="F168" s="578"/>
      <c r="G168" s="579"/>
      <c r="H168" s="579"/>
      <c r="I168" s="580"/>
      <c r="J168" s="407">
        <f>SUM(K168:R168)</f>
        <v>2207</v>
      </c>
      <c r="K168" s="587">
        <v>1953</v>
      </c>
      <c r="L168" s="587">
        <v>254</v>
      </c>
      <c r="M168" s="582"/>
      <c r="N168" s="582"/>
      <c r="O168" s="582"/>
      <c r="P168" s="582"/>
      <c r="Q168" s="582"/>
      <c r="R168" s="583"/>
      <c r="S168" s="584"/>
      <c r="T168" s="584"/>
      <c r="U168" s="584"/>
      <c r="V168" s="584"/>
      <c r="W168" s="584"/>
      <c r="X168" s="584"/>
      <c r="Y168" s="584"/>
      <c r="Z168" s="584"/>
      <c r="AA168" s="584"/>
      <c r="AB168" s="584"/>
      <c r="AC168" s="584"/>
      <c r="AD168" s="584"/>
    </row>
    <row r="169" spans="1:30" s="585" customFormat="1" ht="19.5" customHeight="1" x14ac:dyDescent="0.3">
      <c r="A169" s="233">
        <v>161</v>
      </c>
      <c r="B169" s="374"/>
      <c r="C169" s="249"/>
      <c r="D169" s="586"/>
      <c r="E169" s="270" t="s">
        <v>245</v>
      </c>
      <c r="F169" s="578"/>
      <c r="G169" s="579"/>
      <c r="H169" s="579"/>
      <c r="I169" s="588"/>
      <c r="J169" s="271">
        <f>SUM(K169:R169)</f>
        <v>0</v>
      </c>
      <c r="K169" s="582"/>
      <c r="L169" s="582"/>
      <c r="M169" s="582"/>
      <c r="N169" s="582"/>
      <c r="O169" s="582"/>
      <c r="P169" s="582"/>
      <c r="Q169" s="582"/>
      <c r="R169" s="583"/>
      <c r="S169" s="584"/>
      <c r="T169" s="584"/>
      <c r="U169" s="584"/>
      <c r="V169" s="584"/>
      <c r="W169" s="584"/>
      <c r="X169" s="584"/>
      <c r="Y169" s="584"/>
      <c r="Z169" s="584"/>
      <c r="AA169" s="584"/>
      <c r="AB169" s="584"/>
      <c r="AC169" s="584"/>
      <c r="AD169" s="584"/>
    </row>
    <row r="170" spans="1:30" s="585" customFormat="1" ht="19.5" customHeight="1" x14ac:dyDescent="0.3">
      <c r="A170" s="233">
        <v>162</v>
      </c>
      <c r="B170" s="374"/>
      <c r="C170" s="249"/>
      <c r="D170" s="586"/>
      <c r="E170" s="266" t="s">
        <v>233</v>
      </c>
      <c r="F170" s="578"/>
      <c r="G170" s="579"/>
      <c r="H170" s="579"/>
      <c r="I170" s="589"/>
      <c r="J170" s="267">
        <f>SUM(K170:R170)</f>
        <v>2207</v>
      </c>
      <c r="K170" s="587">
        <f>SUM(K168:K169)</f>
        <v>1953</v>
      </c>
      <c r="L170" s="587">
        <f>SUM(L168:L169)</f>
        <v>254</v>
      </c>
      <c r="M170" s="582"/>
      <c r="N170" s="582"/>
      <c r="O170" s="582"/>
      <c r="P170" s="582"/>
      <c r="Q170" s="582"/>
      <c r="R170" s="583"/>
      <c r="S170" s="584"/>
      <c r="T170" s="584"/>
      <c r="U170" s="584"/>
      <c r="V170" s="584"/>
      <c r="W170" s="584"/>
      <c r="X170" s="584"/>
      <c r="Y170" s="584"/>
      <c r="Z170" s="584"/>
      <c r="AA170" s="584"/>
      <c r="AB170" s="584"/>
      <c r="AC170" s="584"/>
      <c r="AD170" s="584"/>
    </row>
    <row r="171" spans="1:30" s="585" customFormat="1" ht="19.5" customHeight="1" x14ac:dyDescent="0.3">
      <c r="A171" s="233">
        <v>163</v>
      </c>
      <c r="B171" s="374"/>
      <c r="C171" s="249">
        <v>61</v>
      </c>
      <c r="D171" s="1952" t="s">
        <v>306</v>
      </c>
      <c r="E171" s="1952"/>
      <c r="F171" s="578"/>
      <c r="G171" s="579"/>
      <c r="H171" s="579"/>
      <c r="I171" s="580">
        <v>3043</v>
      </c>
      <c r="J171" s="581"/>
      <c r="K171" s="582"/>
      <c r="L171" s="582"/>
      <c r="M171" s="582"/>
      <c r="N171" s="582"/>
      <c r="O171" s="582"/>
      <c r="P171" s="582"/>
      <c r="Q171" s="582"/>
      <c r="R171" s="583"/>
      <c r="S171" s="584"/>
      <c r="T171" s="584"/>
      <c r="U171" s="584"/>
      <c r="V171" s="584"/>
      <c r="W171" s="584"/>
      <c r="X171" s="584"/>
      <c r="Y171" s="584"/>
      <c r="Z171" s="584"/>
      <c r="AA171" s="584"/>
      <c r="AB171" s="584"/>
      <c r="AC171" s="584"/>
      <c r="AD171" s="584"/>
    </row>
    <row r="172" spans="1:30" s="585" customFormat="1" ht="19.5" customHeight="1" x14ac:dyDescent="0.3">
      <c r="A172" s="233">
        <v>164</v>
      </c>
      <c r="B172" s="374"/>
      <c r="C172" s="590"/>
      <c r="D172" s="586"/>
      <c r="E172" s="554" t="s">
        <v>230</v>
      </c>
      <c r="F172" s="578"/>
      <c r="G172" s="579"/>
      <c r="H172" s="579"/>
      <c r="I172" s="580"/>
      <c r="J172" s="412">
        <f>SUM(K172:R172)</f>
        <v>126</v>
      </c>
      <c r="K172" s="582">
        <v>111</v>
      </c>
      <c r="L172" s="582">
        <v>15</v>
      </c>
      <c r="M172" s="582"/>
      <c r="N172" s="582"/>
      <c r="O172" s="582"/>
      <c r="P172" s="582"/>
      <c r="Q172" s="582"/>
      <c r="R172" s="583"/>
      <c r="S172" s="584"/>
      <c r="T172" s="584"/>
      <c r="U172" s="584"/>
      <c r="V172" s="584"/>
      <c r="W172" s="584"/>
      <c r="X172" s="584"/>
      <c r="Y172" s="584"/>
      <c r="Z172" s="584"/>
      <c r="AA172" s="584"/>
      <c r="AB172" s="584"/>
      <c r="AC172" s="584"/>
      <c r="AD172" s="584"/>
    </row>
    <row r="173" spans="1:30" s="585" customFormat="1" ht="19.5" customHeight="1" x14ac:dyDescent="0.3">
      <c r="A173" s="233">
        <v>165</v>
      </c>
      <c r="B173" s="374"/>
      <c r="C173" s="590"/>
      <c r="D173" s="586"/>
      <c r="E173" s="266" t="s">
        <v>231</v>
      </c>
      <c r="F173" s="578"/>
      <c r="G173" s="579"/>
      <c r="H173" s="579"/>
      <c r="I173" s="580"/>
      <c r="J173" s="407">
        <f>SUM(K173:R173)</f>
        <v>126</v>
      </c>
      <c r="K173" s="587">
        <v>111</v>
      </c>
      <c r="L173" s="587">
        <v>15</v>
      </c>
      <c r="M173" s="582"/>
      <c r="N173" s="582"/>
      <c r="O173" s="582"/>
      <c r="P173" s="582"/>
      <c r="Q173" s="582"/>
      <c r="R173" s="583"/>
      <c r="S173" s="584"/>
      <c r="T173" s="584"/>
      <c r="U173" s="584"/>
      <c r="V173" s="584"/>
      <c r="W173" s="584"/>
      <c r="X173" s="584"/>
      <c r="Y173" s="584"/>
      <c r="Z173" s="584"/>
      <c r="AA173" s="584"/>
      <c r="AB173" s="584"/>
      <c r="AC173" s="584"/>
      <c r="AD173" s="584"/>
    </row>
    <row r="174" spans="1:30" s="585" customFormat="1" ht="19.5" customHeight="1" x14ac:dyDescent="0.3">
      <c r="A174" s="233">
        <v>166</v>
      </c>
      <c r="B174" s="374"/>
      <c r="C174" s="590"/>
      <c r="D174" s="586"/>
      <c r="E174" s="270" t="s">
        <v>245</v>
      </c>
      <c r="F174" s="578"/>
      <c r="G174" s="579"/>
      <c r="H174" s="579"/>
      <c r="I174" s="588"/>
      <c r="J174" s="271">
        <f>SUM(K174:R174)</f>
        <v>0</v>
      </c>
      <c r="K174" s="582"/>
      <c r="L174" s="582"/>
      <c r="M174" s="582"/>
      <c r="N174" s="582"/>
      <c r="O174" s="582"/>
      <c r="P174" s="582"/>
      <c r="Q174" s="582"/>
      <c r="R174" s="583"/>
      <c r="S174" s="584"/>
      <c r="T174" s="584"/>
      <c r="U174" s="584"/>
      <c r="V174" s="584"/>
      <c r="W174" s="584"/>
      <c r="X174" s="584"/>
      <c r="Y174" s="584"/>
      <c r="Z174" s="584"/>
      <c r="AA174" s="584"/>
      <c r="AB174" s="584"/>
      <c r="AC174" s="584"/>
      <c r="AD174" s="584"/>
    </row>
    <row r="175" spans="1:30" s="585" customFormat="1" ht="19.5" customHeight="1" x14ac:dyDescent="0.3">
      <c r="A175" s="233">
        <v>167</v>
      </c>
      <c r="B175" s="374"/>
      <c r="C175" s="590"/>
      <c r="D175" s="586"/>
      <c r="E175" s="266" t="s">
        <v>233</v>
      </c>
      <c r="F175" s="578"/>
      <c r="G175" s="579"/>
      <c r="H175" s="579"/>
      <c r="I175" s="589"/>
      <c r="J175" s="267">
        <f>SUM(K175:R175)</f>
        <v>126</v>
      </c>
      <c r="K175" s="587">
        <f>SUM(K173:K174)</f>
        <v>111</v>
      </c>
      <c r="L175" s="587">
        <f>SUM(L173:L174)</f>
        <v>15</v>
      </c>
      <c r="M175" s="582"/>
      <c r="N175" s="582"/>
      <c r="O175" s="582"/>
      <c r="P175" s="582"/>
      <c r="Q175" s="582"/>
      <c r="R175" s="583"/>
      <c r="S175" s="584"/>
      <c r="T175" s="584"/>
      <c r="U175" s="584"/>
      <c r="V175" s="584"/>
      <c r="W175" s="584"/>
      <c r="X175" s="584"/>
      <c r="Y175" s="584"/>
      <c r="Z175" s="584"/>
      <c r="AA175" s="584"/>
      <c r="AB175" s="584"/>
      <c r="AC175" s="584"/>
      <c r="AD175" s="584"/>
    </row>
    <row r="176" spans="1:30" s="585" customFormat="1" ht="19.5" customHeight="1" x14ac:dyDescent="0.3">
      <c r="A176" s="233">
        <v>168</v>
      </c>
      <c r="B176" s="374"/>
      <c r="C176" s="249">
        <v>62</v>
      </c>
      <c r="D176" s="1952" t="s">
        <v>307</v>
      </c>
      <c r="E176" s="1952"/>
      <c r="F176" s="578"/>
      <c r="G176" s="579"/>
      <c r="H176" s="579"/>
      <c r="I176" s="580">
        <v>6300</v>
      </c>
      <c r="J176" s="581"/>
      <c r="K176" s="582"/>
      <c r="L176" s="582"/>
      <c r="M176" s="582"/>
      <c r="N176" s="582"/>
      <c r="O176" s="582"/>
      <c r="P176" s="582"/>
      <c r="Q176" s="582"/>
      <c r="R176" s="583"/>
      <c r="S176" s="584"/>
      <c r="T176" s="584"/>
      <c r="U176" s="584"/>
      <c r="V176" s="584"/>
      <c r="W176" s="584"/>
      <c r="X176" s="584"/>
      <c r="Y176" s="584"/>
      <c r="Z176" s="584"/>
      <c r="AA176" s="584"/>
      <c r="AB176" s="584"/>
      <c r="AC176" s="584"/>
      <c r="AD176" s="584"/>
    </row>
    <row r="177" spans="1:30" s="585" customFormat="1" ht="19.5" customHeight="1" x14ac:dyDescent="0.3">
      <c r="A177" s="233">
        <v>169</v>
      </c>
      <c r="B177" s="374"/>
      <c r="C177" s="249"/>
      <c r="D177" s="586"/>
      <c r="E177" s="554" t="s">
        <v>230</v>
      </c>
      <c r="F177" s="578"/>
      <c r="G177" s="579"/>
      <c r="H177" s="579"/>
      <c r="I177" s="580"/>
      <c r="J177" s="412">
        <f>SUM(K177:R177)</f>
        <v>705</v>
      </c>
      <c r="K177" s="574">
        <v>625</v>
      </c>
      <c r="L177" s="574">
        <v>80</v>
      </c>
      <c r="M177" s="582"/>
      <c r="N177" s="582"/>
      <c r="O177" s="582"/>
      <c r="P177" s="582"/>
      <c r="Q177" s="582"/>
      <c r="R177" s="583"/>
      <c r="S177" s="584"/>
      <c r="T177" s="584"/>
      <c r="U177" s="584"/>
      <c r="V177" s="584"/>
      <c r="W177" s="584"/>
      <c r="X177" s="584"/>
      <c r="Y177" s="584"/>
      <c r="Z177" s="584"/>
      <c r="AA177" s="584"/>
      <c r="AB177" s="584"/>
      <c r="AC177" s="584"/>
      <c r="AD177" s="584"/>
    </row>
    <row r="178" spans="1:30" s="585" customFormat="1" ht="19.5" customHeight="1" x14ac:dyDescent="0.3">
      <c r="A178" s="233">
        <v>170</v>
      </c>
      <c r="B178" s="374"/>
      <c r="C178" s="249"/>
      <c r="D178" s="586"/>
      <c r="E178" s="266" t="s">
        <v>231</v>
      </c>
      <c r="F178" s="578"/>
      <c r="G178" s="579"/>
      <c r="H178" s="579"/>
      <c r="I178" s="580"/>
      <c r="J178" s="407">
        <f>SUM(K178:R178)</f>
        <v>1411</v>
      </c>
      <c r="K178" s="587">
        <v>1249</v>
      </c>
      <c r="L178" s="587">
        <v>162</v>
      </c>
      <c r="M178" s="582"/>
      <c r="N178" s="582"/>
      <c r="O178" s="582"/>
      <c r="P178" s="582"/>
      <c r="Q178" s="582"/>
      <c r="R178" s="583"/>
      <c r="S178" s="584"/>
      <c r="T178" s="584"/>
      <c r="U178" s="584"/>
      <c r="V178" s="584"/>
      <c r="W178" s="584"/>
      <c r="X178" s="584"/>
      <c r="Y178" s="584"/>
      <c r="Z178" s="584"/>
      <c r="AA178" s="584"/>
      <c r="AB178" s="584"/>
      <c r="AC178" s="584"/>
      <c r="AD178" s="584"/>
    </row>
    <row r="179" spans="1:30" s="585" customFormat="1" ht="19.5" customHeight="1" x14ac:dyDescent="0.3">
      <c r="A179" s="233">
        <v>171</v>
      </c>
      <c r="B179" s="374"/>
      <c r="C179" s="249"/>
      <c r="D179" s="586"/>
      <c r="E179" s="270" t="s">
        <v>232</v>
      </c>
      <c r="F179" s="578"/>
      <c r="G179" s="579"/>
      <c r="H179" s="579"/>
      <c r="I179" s="588"/>
      <c r="J179" s="271">
        <f>SUM(K179:R179)</f>
        <v>0</v>
      </c>
      <c r="K179" s="591"/>
      <c r="L179" s="591"/>
      <c r="M179" s="582"/>
      <c r="N179" s="582"/>
      <c r="O179" s="582"/>
      <c r="P179" s="582"/>
      <c r="Q179" s="582"/>
      <c r="R179" s="583"/>
      <c r="S179" s="584"/>
      <c r="T179" s="584"/>
      <c r="U179" s="584"/>
      <c r="V179" s="584"/>
      <c r="W179" s="584"/>
      <c r="X179" s="584"/>
      <c r="Y179" s="584"/>
      <c r="Z179" s="584"/>
      <c r="AA179" s="584"/>
      <c r="AB179" s="584"/>
      <c r="AC179" s="584"/>
      <c r="AD179" s="584"/>
    </row>
    <row r="180" spans="1:30" s="585" customFormat="1" ht="19.5" customHeight="1" x14ac:dyDescent="0.3">
      <c r="A180" s="233">
        <v>172</v>
      </c>
      <c r="B180" s="374"/>
      <c r="C180" s="249"/>
      <c r="D180" s="586"/>
      <c r="E180" s="266" t="s">
        <v>233</v>
      </c>
      <c r="F180" s="578"/>
      <c r="G180" s="579"/>
      <c r="H180" s="579"/>
      <c r="I180" s="589"/>
      <c r="J180" s="267">
        <f>SUM(K180:R180)</f>
        <v>1411</v>
      </c>
      <c r="K180" s="587">
        <f>SUM(K178:K179)</f>
        <v>1249</v>
      </c>
      <c r="L180" s="587">
        <f>SUM(L178:L179)</f>
        <v>162</v>
      </c>
      <c r="M180" s="582"/>
      <c r="N180" s="582"/>
      <c r="O180" s="582"/>
      <c r="P180" s="582"/>
      <c r="Q180" s="582"/>
      <c r="R180" s="583"/>
      <c r="S180" s="584"/>
      <c r="T180" s="584"/>
      <c r="U180" s="584"/>
      <c r="V180" s="584"/>
      <c r="W180" s="584"/>
      <c r="X180" s="584"/>
      <c r="Y180" s="584"/>
      <c r="Z180" s="584"/>
      <c r="AA180" s="584"/>
      <c r="AB180" s="584"/>
      <c r="AC180" s="584"/>
      <c r="AD180" s="584"/>
    </row>
    <row r="181" spans="1:30" s="585" customFormat="1" ht="19.5" customHeight="1" x14ac:dyDescent="0.3">
      <c r="A181" s="233">
        <v>173</v>
      </c>
      <c r="B181" s="374"/>
      <c r="C181" s="249">
        <v>64</v>
      </c>
      <c r="D181" s="1952" t="s">
        <v>308</v>
      </c>
      <c r="E181" s="1952"/>
      <c r="F181" s="578"/>
      <c r="G181" s="579"/>
      <c r="H181" s="579"/>
      <c r="I181" s="580">
        <v>2434</v>
      </c>
      <c r="J181" s="581"/>
      <c r="K181" s="582"/>
      <c r="L181" s="582"/>
      <c r="M181" s="582"/>
      <c r="N181" s="582"/>
      <c r="O181" s="582"/>
      <c r="P181" s="582"/>
      <c r="Q181" s="582"/>
      <c r="R181" s="583"/>
      <c r="S181" s="584"/>
      <c r="T181" s="584"/>
      <c r="U181" s="584"/>
      <c r="V181" s="584"/>
      <c r="W181" s="584"/>
      <c r="X181" s="584"/>
      <c r="Y181" s="584"/>
      <c r="Z181" s="584"/>
      <c r="AA181" s="584"/>
      <c r="AB181" s="584"/>
      <c r="AC181" s="584"/>
      <c r="AD181" s="584"/>
    </row>
    <row r="182" spans="1:30" s="585" customFormat="1" ht="19.5" customHeight="1" x14ac:dyDescent="0.3">
      <c r="A182" s="233">
        <v>174</v>
      </c>
      <c r="B182" s="374"/>
      <c r="C182" s="249"/>
      <c r="D182" s="586"/>
      <c r="E182" s="554" t="s">
        <v>230</v>
      </c>
      <c r="F182" s="578"/>
      <c r="G182" s="579"/>
      <c r="H182" s="579"/>
      <c r="I182" s="580"/>
      <c r="J182" s="412">
        <f>SUM(K182:R182)</f>
        <v>206</v>
      </c>
      <c r="K182" s="582">
        <v>141</v>
      </c>
      <c r="L182" s="582">
        <v>65</v>
      </c>
      <c r="M182" s="582"/>
      <c r="N182" s="582"/>
      <c r="O182" s="582"/>
      <c r="P182" s="582"/>
      <c r="Q182" s="582"/>
      <c r="R182" s="583"/>
      <c r="S182" s="584"/>
      <c r="T182" s="584"/>
      <c r="U182" s="584"/>
      <c r="V182" s="584"/>
      <c r="W182" s="584"/>
      <c r="X182" s="584"/>
      <c r="Y182" s="584"/>
      <c r="Z182" s="584"/>
      <c r="AA182" s="584"/>
      <c r="AB182" s="584"/>
      <c r="AC182" s="584"/>
      <c r="AD182" s="584"/>
    </row>
    <row r="183" spans="1:30" s="585" customFormat="1" ht="19.5" customHeight="1" x14ac:dyDescent="0.3">
      <c r="A183" s="233">
        <v>175</v>
      </c>
      <c r="B183" s="374"/>
      <c r="C183" s="249"/>
      <c r="D183" s="586"/>
      <c r="E183" s="266" t="s">
        <v>231</v>
      </c>
      <c r="F183" s="400"/>
      <c r="G183" s="592"/>
      <c r="H183" s="592"/>
      <c r="I183" s="580"/>
      <c r="J183" s="407">
        <f>SUM(K183:R183)</f>
        <v>566</v>
      </c>
      <c r="K183" s="587">
        <v>501</v>
      </c>
      <c r="L183" s="587">
        <v>65</v>
      </c>
      <c r="M183" s="582"/>
      <c r="N183" s="582"/>
      <c r="O183" s="582"/>
      <c r="P183" s="582"/>
      <c r="Q183" s="582"/>
      <c r="R183" s="583"/>
      <c r="S183" s="584"/>
      <c r="T183" s="584"/>
      <c r="U183" s="584"/>
      <c r="V183" s="584"/>
      <c r="W183" s="584"/>
      <c r="X183" s="584"/>
      <c r="Y183" s="584"/>
      <c r="Z183" s="584"/>
      <c r="AA183" s="584"/>
      <c r="AB183" s="584"/>
      <c r="AC183" s="584"/>
      <c r="AD183" s="584"/>
    </row>
    <row r="184" spans="1:30" s="585" customFormat="1" ht="19.5" customHeight="1" x14ac:dyDescent="0.3">
      <c r="A184" s="233">
        <v>176</v>
      </c>
      <c r="B184" s="374"/>
      <c r="C184" s="249"/>
      <c r="D184" s="586"/>
      <c r="E184" s="270" t="s">
        <v>232</v>
      </c>
      <c r="F184" s="578"/>
      <c r="G184" s="579"/>
      <c r="H184" s="579"/>
      <c r="I184" s="588"/>
      <c r="J184" s="271">
        <f>SUM(K184:R184)</f>
        <v>0</v>
      </c>
      <c r="K184" s="591"/>
      <c r="L184" s="582"/>
      <c r="M184" s="582"/>
      <c r="N184" s="582"/>
      <c r="O184" s="582"/>
      <c r="P184" s="582"/>
      <c r="Q184" s="582"/>
      <c r="R184" s="583"/>
      <c r="S184" s="584"/>
      <c r="T184" s="584"/>
      <c r="U184" s="584"/>
      <c r="V184" s="584"/>
      <c r="W184" s="584"/>
      <c r="X184" s="584"/>
      <c r="Y184" s="584"/>
      <c r="Z184" s="584"/>
      <c r="AA184" s="584"/>
      <c r="AB184" s="584"/>
      <c r="AC184" s="584"/>
      <c r="AD184" s="584"/>
    </row>
    <row r="185" spans="1:30" s="585" customFormat="1" ht="19.5" customHeight="1" x14ac:dyDescent="0.3">
      <c r="A185" s="233">
        <v>177</v>
      </c>
      <c r="B185" s="374"/>
      <c r="C185" s="249"/>
      <c r="D185" s="586"/>
      <c r="E185" s="266" t="s">
        <v>233</v>
      </c>
      <c r="F185" s="578"/>
      <c r="G185" s="579"/>
      <c r="H185" s="579"/>
      <c r="I185" s="589"/>
      <c r="J185" s="267">
        <f>SUM(K185:R185)</f>
        <v>566</v>
      </c>
      <c r="K185" s="587">
        <f>SUM(K183:K184)</f>
        <v>501</v>
      </c>
      <c r="L185" s="587">
        <f>SUM(L183:L184)</f>
        <v>65</v>
      </c>
      <c r="M185" s="582"/>
      <c r="N185" s="582"/>
      <c r="O185" s="582"/>
      <c r="P185" s="582"/>
      <c r="Q185" s="582"/>
      <c r="R185" s="583"/>
      <c r="S185" s="584"/>
      <c r="T185" s="584"/>
      <c r="U185" s="584"/>
      <c r="V185" s="584"/>
      <c r="W185" s="584"/>
      <c r="X185" s="584"/>
      <c r="Y185" s="584"/>
      <c r="Z185" s="584"/>
      <c r="AA185" s="584"/>
      <c r="AB185" s="584"/>
      <c r="AC185" s="584"/>
      <c r="AD185" s="584"/>
    </row>
    <row r="186" spans="1:30" s="585" customFormat="1" ht="19.5" customHeight="1" x14ac:dyDescent="0.3">
      <c r="A186" s="233">
        <v>178</v>
      </c>
      <c r="B186" s="374"/>
      <c r="C186" s="249">
        <v>66</v>
      </c>
      <c r="D186" s="1952" t="s">
        <v>309</v>
      </c>
      <c r="E186" s="1952"/>
      <c r="F186" s="578"/>
      <c r="G186" s="579"/>
      <c r="H186" s="579"/>
      <c r="I186" s="589">
        <v>5227</v>
      </c>
      <c r="J186" s="593"/>
      <c r="K186" s="582"/>
      <c r="L186" s="582"/>
      <c r="M186" s="582"/>
      <c r="N186" s="582"/>
      <c r="O186" s="582"/>
      <c r="P186" s="582"/>
      <c r="Q186" s="582"/>
      <c r="R186" s="583"/>
      <c r="S186" s="584"/>
      <c r="T186" s="584"/>
      <c r="U186" s="584"/>
      <c r="V186" s="584"/>
      <c r="W186" s="584"/>
      <c r="X186" s="584"/>
      <c r="Y186" s="584"/>
      <c r="Z186" s="584"/>
      <c r="AA186" s="584"/>
      <c r="AB186" s="584"/>
      <c r="AC186" s="584"/>
      <c r="AD186" s="584"/>
    </row>
    <row r="187" spans="1:30" s="585" customFormat="1" ht="19.5" customHeight="1" x14ac:dyDescent="0.3">
      <c r="A187" s="233">
        <v>179</v>
      </c>
      <c r="B187" s="374"/>
      <c r="C187" s="249"/>
      <c r="D187" s="586"/>
      <c r="E187" s="554" t="s">
        <v>230</v>
      </c>
      <c r="F187" s="578"/>
      <c r="G187" s="579"/>
      <c r="H187" s="579"/>
      <c r="I187" s="589"/>
      <c r="J187" s="262">
        <f>SUM(K187:R187)</f>
        <v>50</v>
      </c>
      <c r="K187" s="582">
        <v>44</v>
      </c>
      <c r="L187" s="582">
        <v>6</v>
      </c>
      <c r="M187" s="582"/>
      <c r="N187" s="582"/>
      <c r="O187" s="582"/>
      <c r="P187" s="582"/>
      <c r="Q187" s="582"/>
      <c r="R187" s="583"/>
      <c r="S187" s="584"/>
      <c r="T187" s="584"/>
      <c r="U187" s="584"/>
      <c r="V187" s="584"/>
      <c r="W187" s="584"/>
      <c r="X187" s="584"/>
      <c r="Y187" s="584"/>
      <c r="Z187" s="584"/>
      <c r="AA187" s="584"/>
      <c r="AB187" s="584"/>
      <c r="AC187" s="584"/>
      <c r="AD187" s="584"/>
    </row>
    <row r="188" spans="1:30" s="585" customFormat="1" ht="19.5" customHeight="1" x14ac:dyDescent="0.3">
      <c r="A188" s="233">
        <v>180</v>
      </c>
      <c r="B188" s="374"/>
      <c r="C188" s="249"/>
      <c r="D188" s="586"/>
      <c r="E188" s="266" t="s">
        <v>231</v>
      </c>
      <c r="F188" s="578"/>
      <c r="G188" s="579"/>
      <c r="H188" s="579"/>
      <c r="I188" s="589"/>
      <c r="J188" s="262">
        <f>SUM(K188:R188)</f>
        <v>0</v>
      </c>
      <c r="K188" s="582">
        <v>0</v>
      </c>
      <c r="L188" s="582">
        <v>0</v>
      </c>
      <c r="M188" s="582"/>
      <c r="N188" s="582"/>
      <c r="O188" s="582"/>
      <c r="P188" s="582"/>
      <c r="Q188" s="582"/>
      <c r="R188" s="583"/>
      <c r="S188" s="584"/>
      <c r="T188" s="584"/>
      <c r="U188" s="584"/>
      <c r="V188" s="584"/>
      <c r="W188" s="584"/>
      <c r="X188" s="584"/>
      <c r="Y188" s="584"/>
      <c r="Z188" s="584"/>
      <c r="AA188" s="584"/>
      <c r="AB188" s="584"/>
      <c r="AC188" s="584"/>
      <c r="AD188" s="584"/>
    </row>
    <row r="189" spans="1:30" s="585" customFormat="1" ht="19.5" customHeight="1" x14ac:dyDescent="0.3">
      <c r="A189" s="233">
        <v>181</v>
      </c>
      <c r="B189" s="374"/>
      <c r="C189" s="249"/>
      <c r="D189" s="586"/>
      <c r="E189" s="270" t="s">
        <v>232</v>
      </c>
      <c r="F189" s="578"/>
      <c r="G189" s="579"/>
      <c r="H189" s="579"/>
      <c r="I189" s="589"/>
      <c r="J189" s="271">
        <f>SUM(K189:R189)</f>
        <v>0</v>
      </c>
      <c r="K189" s="591"/>
      <c r="L189" s="591"/>
      <c r="M189" s="582"/>
      <c r="N189" s="582"/>
      <c r="O189" s="582"/>
      <c r="P189" s="582"/>
      <c r="Q189" s="582"/>
      <c r="R189" s="583"/>
      <c r="S189" s="584"/>
      <c r="T189" s="584"/>
      <c r="U189" s="584"/>
      <c r="V189" s="584"/>
      <c r="W189" s="584"/>
      <c r="X189" s="584"/>
      <c r="Y189" s="584"/>
      <c r="Z189" s="584"/>
      <c r="AA189" s="584"/>
      <c r="AB189" s="584"/>
      <c r="AC189" s="584"/>
      <c r="AD189" s="584"/>
    </row>
    <row r="190" spans="1:30" s="585" customFormat="1" ht="19.5" customHeight="1" x14ac:dyDescent="0.3">
      <c r="A190" s="233">
        <v>182</v>
      </c>
      <c r="B190" s="374"/>
      <c r="C190" s="249"/>
      <c r="D190" s="586"/>
      <c r="E190" s="266" t="s">
        <v>233</v>
      </c>
      <c r="F190" s="578"/>
      <c r="G190" s="579"/>
      <c r="H190" s="579"/>
      <c r="I190" s="589"/>
      <c r="J190" s="267">
        <f>SUM(K190:R190)</f>
        <v>0</v>
      </c>
      <c r="K190" s="587">
        <f>SUM(K188:K189)</f>
        <v>0</v>
      </c>
      <c r="L190" s="587">
        <f>SUM(L188:L189)</f>
        <v>0</v>
      </c>
      <c r="M190" s="582"/>
      <c r="N190" s="582"/>
      <c r="O190" s="582"/>
      <c r="P190" s="582"/>
      <c r="Q190" s="582"/>
      <c r="R190" s="583"/>
      <c r="S190" s="584"/>
      <c r="T190" s="584"/>
      <c r="U190" s="584"/>
      <c r="V190" s="584"/>
      <c r="W190" s="584"/>
      <c r="X190" s="584"/>
      <c r="Y190" s="584"/>
      <c r="Z190" s="584"/>
      <c r="AA190" s="584"/>
      <c r="AB190" s="584"/>
      <c r="AC190" s="584"/>
      <c r="AD190" s="584"/>
    </row>
    <row r="191" spans="1:30" s="585" customFormat="1" ht="19.5" customHeight="1" x14ac:dyDescent="0.3">
      <c r="A191" s="233">
        <v>183</v>
      </c>
      <c r="B191" s="374"/>
      <c r="C191" s="249">
        <v>68</v>
      </c>
      <c r="D191" s="1952" t="s">
        <v>310</v>
      </c>
      <c r="E191" s="1952"/>
      <c r="F191" s="578"/>
      <c r="G191" s="579"/>
      <c r="H191" s="579"/>
      <c r="I191" s="589">
        <v>2172</v>
      </c>
      <c r="J191" s="593"/>
      <c r="K191" s="582"/>
      <c r="L191" s="582"/>
      <c r="M191" s="582"/>
      <c r="N191" s="582"/>
      <c r="O191" s="582"/>
      <c r="P191" s="582"/>
      <c r="Q191" s="582"/>
      <c r="R191" s="583"/>
      <c r="S191" s="584"/>
      <c r="T191" s="584"/>
      <c r="U191" s="584"/>
      <c r="V191" s="584"/>
      <c r="W191" s="584"/>
      <c r="X191" s="584"/>
      <c r="Y191" s="584"/>
      <c r="Z191" s="584"/>
      <c r="AA191" s="584"/>
      <c r="AB191" s="584"/>
      <c r="AC191" s="584"/>
      <c r="AD191" s="584"/>
    </row>
    <row r="192" spans="1:30" s="585" customFormat="1" ht="19.5" customHeight="1" x14ac:dyDescent="0.3">
      <c r="A192" s="233">
        <v>184</v>
      </c>
      <c r="B192" s="374"/>
      <c r="C192" s="249"/>
      <c r="D192" s="586"/>
      <c r="E192" s="554" t="s">
        <v>230</v>
      </c>
      <c r="F192" s="578"/>
      <c r="G192" s="579"/>
      <c r="H192" s="579"/>
      <c r="I192" s="589"/>
      <c r="J192" s="262">
        <f>SUM(K192:R192)</f>
        <v>21</v>
      </c>
      <c r="K192" s="582">
        <v>19</v>
      </c>
      <c r="L192" s="582">
        <v>2</v>
      </c>
      <c r="M192" s="582"/>
      <c r="N192" s="582"/>
      <c r="O192" s="582"/>
      <c r="P192" s="582"/>
      <c r="Q192" s="582"/>
      <c r="R192" s="583"/>
      <c r="S192" s="584"/>
      <c r="T192" s="584"/>
      <c r="U192" s="584"/>
      <c r="V192" s="584"/>
      <c r="W192" s="584"/>
      <c r="X192" s="584"/>
      <c r="Y192" s="584"/>
      <c r="Z192" s="584"/>
      <c r="AA192" s="584"/>
      <c r="AB192" s="584"/>
      <c r="AC192" s="584"/>
      <c r="AD192" s="584"/>
    </row>
    <row r="193" spans="1:30" s="585" customFormat="1" ht="19.5" customHeight="1" x14ac:dyDescent="0.3">
      <c r="A193" s="233">
        <v>185</v>
      </c>
      <c r="B193" s="374"/>
      <c r="C193" s="249"/>
      <c r="D193" s="586"/>
      <c r="E193" s="266" t="s">
        <v>231</v>
      </c>
      <c r="F193" s="578"/>
      <c r="G193" s="579"/>
      <c r="H193" s="579"/>
      <c r="I193" s="589"/>
      <c r="J193" s="267">
        <f>SUM(K193:R193)</f>
        <v>0</v>
      </c>
      <c r="K193" s="587">
        <v>0</v>
      </c>
      <c r="L193" s="587">
        <v>0</v>
      </c>
      <c r="M193" s="582"/>
      <c r="N193" s="582"/>
      <c r="O193" s="582"/>
      <c r="P193" s="582"/>
      <c r="Q193" s="582"/>
      <c r="R193" s="583"/>
      <c r="S193" s="584"/>
      <c r="T193" s="584"/>
      <c r="U193" s="584"/>
      <c r="V193" s="584"/>
      <c r="W193" s="584"/>
      <c r="X193" s="584"/>
      <c r="Y193" s="584"/>
      <c r="Z193" s="584"/>
      <c r="AA193" s="584"/>
      <c r="AB193" s="584"/>
      <c r="AC193" s="584"/>
      <c r="AD193" s="584"/>
    </row>
    <row r="194" spans="1:30" s="585" customFormat="1" ht="19.5" customHeight="1" x14ac:dyDescent="0.3">
      <c r="A194" s="233">
        <v>186</v>
      </c>
      <c r="B194" s="374"/>
      <c r="C194" s="249"/>
      <c r="D194" s="586"/>
      <c r="E194" s="270" t="s">
        <v>232</v>
      </c>
      <c r="F194" s="578"/>
      <c r="G194" s="579"/>
      <c r="H194" s="579"/>
      <c r="I194" s="589"/>
      <c r="J194" s="271">
        <f>SUM(K194:R194)</f>
        <v>0</v>
      </c>
      <c r="K194" s="594"/>
      <c r="L194" s="594"/>
      <c r="M194" s="582"/>
      <c r="N194" s="582"/>
      <c r="O194" s="582"/>
      <c r="P194" s="582"/>
      <c r="Q194" s="582"/>
      <c r="R194" s="583"/>
      <c r="S194" s="584"/>
      <c r="T194" s="584"/>
      <c r="U194" s="584"/>
      <c r="V194" s="584"/>
      <c r="W194" s="584"/>
      <c r="X194" s="584"/>
      <c r="Y194" s="584"/>
      <c r="Z194" s="584"/>
      <c r="AA194" s="584"/>
      <c r="AB194" s="584"/>
      <c r="AC194" s="584"/>
      <c r="AD194" s="584"/>
    </row>
    <row r="195" spans="1:30" s="585" customFormat="1" ht="19.5" customHeight="1" x14ac:dyDescent="0.3">
      <c r="A195" s="233">
        <v>187</v>
      </c>
      <c r="B195" s="374"/>
      <c r="C195" s="249"/>
      <c r="D195" s="586"/>
      <c r="E195" s="266" t="s">
        <v>233</v>
      </c>
      <c r="F195" s="578"/>
      <c r="G195" s="579"/>
      <c r="H195" s="579"/>
      <c r="I195" s="589"/>
      <c r="J195" s="267">
        <f>SUM(K195:R195)</f>
        <v>0</v>
      </c>
      <c r="K195" s="587">
        <f>SUM(K193:K194)</f>
        <v>0</v>
      </c>
      <c r="L195" s="587">
        <f>SUM(L193:L194)</f>
        <v>0</v>
      </c>
      <c r="M195" s="582"/>
      <c r="N195" s="582"/>
      <c r="O195" s="582"/>
      <c r="P195" s="582"/>
      <c r="Q195" s="582"/>
      <c r="R195" s="583"/>
      <c r="S195" s="584"/>
      <c r="T195" s="584"/>
      <c r="U195" s="584"/>
      <c r="V195" s="584"/>
      <c r="W195" s="584"/>
      <c r="X195" s="584"/>
      <c r="Y195" s="584"/>
      <c r="Z195" s="584"/>
      <c r="AA195" s="584"/>
      <c r="AB195" s="584"/>
      <c r="AC195" s="584"/>
      <c r="AD195" s="584"/>
    </row>
    <row r="196" spans="1:30" s="585" customFormat="1" ht="19.5" customHeight="1" x14ac:dyDescent="0.3">
      <c r="A196" s="233">
        <v>188</v>
      </c>
      <c r="B196" s="374"/>
      <c r="C196" s="249">
        <v>71</v>
      </c>
      <c r="D196" s="1952" t="s">
        <v>311</v>
      </c>
      <c r="E196" s="1952"/>
      <c r="F196" s="578"/>
      <c r="G196" s="579"/>
      <c r="H196" s="579"/>
      <c r="I196" s="589">
        <v>7233</v>
      </c>
      <c r="J196" s="593"/>
      <c r="K196" s="582"/>
      <c r="L196" s="582"/>
      <c r="M196" s="582"/>
      <c r="N196" s="582"/>
      <c r="O196" s="582"/>
      <c r="P196" s="582"/>
      <c r="Q196" s="582"/>
      <c r="R196" s="583"/>
      <c r="S196" s="584"/>
      <c r="T196" s="584"/>
      <c r="U196" s="584"/>
      <c r="V196" s="584"/>
      <c r="W196" s="584"/>
      <c r="X196" s="584"/>
      <c r="Y196" s="584"/>
      <c r="Z196" s="584"/>
      <c r="AA196" s="584"/>
      <c r="AB196" s="584"/>
      <c r="AC196" s="584"/>
      <c r="AD196" s="584"/>
    </row>
    <row r="197" spans="1:30" s="585" customFormat="1" ht="19.5" customHeight="1" x14ac:dyDescent="0.3">
      <c r="A197" s="233">
        <v>189</v>
      </c>
      <c r="B197" s="374"/>
      <c r="C197" s="590"/>
      <c r="D197" s="586"/>
      <c r="E197" s="554" t="s">
        <v>230</v>
      </c>
      <c r="F197" s="578"/>
      <c r="G197" s="579"/>
      <c r="H197" s="579"/>
      <c r="I197" s="589"/>
      <c r="J197" s="262">
        <f>SUM(K197:R197)</f>
        <v>30</v>
      </c>
      <c r="K197" s="582">
        <v>26</v>
      </c>
      <c r="L197" s="582">
        <v>4</v>
      </c>
      <c r="M197" s="582"/>
      <c r="N197" s="582"/>
      <c r="O197" s="582"/>
      <c r="P197" s="582"/>
      <c r="Q197" s="582"/>
      <c r="R197" s="583"/>
      <c r="S197" s="584"/>
      <c r="T197" s="584"/>
      <c r="U197" s="584"/>
      <c r="V197" s="584"/>
      <c r="W197" s="584"/>
      <c r="X197" s="584"/>
      <c r="Y197" s="584"/>
      <c r="Z197" s="584"/>
      <c r="AA197" s="584"/>
      <c r="AB197" s="584"/>
      <c r="AC197" s="584"/>
      <c r="AD197" s="584"/>
    </row>
    <row r="198" spans="1:30" s="585" customFormat="1" ht="19.5" customHeight="1" x14ac:dyDescent="0.3">
      <c r="A198" s="233">
        <v>190</v>
      </c>
      <c r="B198" s="374"/>
      <c r="C198" s="590"/>
      <c r="D198" s="586"/>
      <c r="E198" s="266" t="s">
        <v>231</v>
      </c>
      <c r="F198" s="578"/>
      <c r="G198" s="579"/>
      <c r="H198" s="579"/>
      <c r="I198" s="589"/>
      <c r="J198" s="262">
        <f>SUM(K198:R198)</f>
        <v>0</v>
      </c>
      <c r="K198" s="582">
        <v>0</v>
      </c>
      <c r="L198" s="582">
        <v>0</v>
      </c>
      <c r="M198" s="582"/>
      <c r="N198" s="582"/>
      <c r="O198" s="582"/>
      <c r="P198" s="582"/>
      <c r="Q198" s="582"/>
      <c r="R198" s="583"/>
      <c r="S198" s="584"/>
      <c r="T198" s="584"/>
      <c r="U198" s="584"/>
      <c r="V198" s="584"/>
      <c r="W198" s="584"/>
      <c r="X198" s="584"/>
      <c r="Y198" s="584"/>
      <c r="Z198" s="584"/>
      <c r="AA198" s="584"/>
      <c r="AB198" s="584"/>
      <c r="AC198" s="584"/>
      <c r="AD198" s="584"/>
    </row>
    <row r="199" spans="1:30" s="585" customFormat="1" ht="19.5" customHeight="1" x14ac:dyDescent="0.3">
      <c r="A199" s="233">
        <v>191</v>
      </c>
      <c r="B199" s="374"/>
      <c r="C199" s="590"/>
      <c r="D199" s="586"/>
      <c r="E199" s="270" t="s">
        <v>232</v>
      </c>
      <c r="F199" s="578"/>
      <c r="G199" s="579"/>
      <c r="H199" s="579"/>
      <c r="I199" s="589"/>
      <c r="J199" s="271">
        <f>SUM(K199:R199)</f>
        <v>0</v>
      </c>
      <c r="K199" s="591"/>
      <c r="L199" s="591"/>
      <c r="M199" s="582"/>
      <c r="N199" s="582"/>
      <c r="O199" s="582"/>
      <c r="P199" s="582"/>
      <c r="Q199" s="582"/>
      <c r="R199" s="583"/>
      <c r="S199" s="584"/>
      <c r="T199" s="584"/>
      <c r="U199" s="584"/>
      <c r="V199" s="584"/>
      <c r="W199" s="584"/>
      <c r="X199" s="584"/>
      <c r="Y199" s="584"/>
      <c r="Z199" s="584"/>
      <c r="AA199" s="584"/>
      <c r="AB199" s="584"/>
      <c r="AC199" s="584"/>
      <c r="AD199" s="584"/>
    </row>
    <row r="200" spans="1:30" s="585" customFormat="1" ht="19.5" customHeight="1" x14ac:dyDescent="0.3">
      <c r="A200" s="233">
        <v>192</v>
      </c>
      <c r="B200" s="374"/>
      <c r="C200" s="590"/>
      <c r="D200" s="586"/>
      <c r="E200" s="266" t="s">
        <v>233</v>
      </c>
      <c r="F200" s="578"/>
      <c r="G200" s="579"/>
      <c r="H200" s="579"/>
      <c r="I200" s="589"/>
      <c r="J200" s="267">
        <f>SUM(K200:R200)</f>
        <v>0</v>
      </c>
      <c r="K200" s="587">
        <f>SUM(K198:K199)</f>
        <v>0</v>
      </c>
      <c r="L200" s="587">
        <f>SUM(L198:L199)</f>
        <v>0</v>
      </c>
      <c r="M200" s="582"/>
      <c r="N200" s="582"/>
      <c r="O200" s="582"/>
      <c r="P200" s="582"/>
      <c r="Q200" s="582"/>
      <c r="R200" s="583"/>
      <c r="S200" s="584"/>
      <c r="T200" s="584"/>
      <c r="U200" s="584"/>
      <c r="V200" s="584"/>
      <c r="W200" s="584"/>
      <c r="X200" s="584"/>
      <c r="Y200" s="584"/>
      <c r="Z200" s="584"/>
      <c r="AA200" s="584"/>
      <c r="AB200" s="584"/>
      <c r="AC200" s="584"/>
      <c r="AD200" s="584"/>
    </row>
    <row r="201" spans="1:30" s="585" customFormat="1" ht="19.5" customHeight="1" x14ac:dyDescent="0.3">
      <c r="A201" s="233">
        <v>193</v>
      </c>
      <c r="B201" s="374"/>
      <c r="C201" s="249">
        <v>73</v>
      </c>
      <c r="D201" s="1952" t="s">
        <v>312</v>
      </c>
      <c r="E201" s="1952"/>
      <c r="F201" s="578"/>
      <c r="G201" s="579"/>
      <c r="H201" s="579"/>
      <c r="I201" s="589">
        <v>2010</v>
      </c>
      <c r="J201" s="593"/>
      <c r="K201" s="582"/>
      <c r="L201" s="582"/>
      <c r="M201" s="582"/>
      <c r="N201" s="582"/>
      <c r="O201" s="582"/>
      <c r="P201" s="582"/>
      <c r="Q201" s="582"/>
      <c r="R201" s="583"/>
      <c r="S201" s="584"/>
      <c r="T201" s="584"/>
      <c r="U201" s="584"/>
      <c r="V201" s="584"/>
      <c r="W201" s="584"/>
      <c r="X201" s="584"/>
      <c r="Y201" s="584"/>
      <c r="Z201" s="584"/>
      <c r="AA201" s="584"/>
      <c r="AB201" s="584"/>
      <c r="AC201" s="584"/>
      <c r="AD201" s="584"/>
    </row>
    <row r="202" spans="1:30" s="585" customFormat="1" ht="19.5" customHeight="1" x14ac:dyDescent="0.3">
      <c r="A202" s="233">
        <v>194</v>
      </c>
      <c r="B202" s="374"/>
      <c r="C202" s="590"/>
      <c r="D202" s="586"/>
      <c r="E202" s="554" t="s">
        <v>230</v>
      </c>
      <c r="F202" s="578"/>
      <c r="G202" s="579"/>
      <c r="H202" s="579"/>
      <c r="I202" s="589"/>
      <c r="J202" s="262">
        <f>SUM(K202:R202)</f>
        <v>27</v>
      </c>
      <c r="K202" s="582">
        <v>24</v>
      </c>
      <c r="L202" s="582">
        <v>3</v>
      </c>
      <c r="M202" s="582"/>
      <c r="N202" s="582"/>
      <c r="O202" s="582"/>
      <c r="P202" s="582"/>
      <c r="Q202" s="582"/>
      <c r="R202" s="583"/>
      <c r="S202" s="584"/>
      <c r="T202" s="584"/>
      <c r="U202" s="584"/>
      <c r="V202" s="584"/>
      <c r="W202" s="584"/>
      <c r="X202" s="584"/>
      <c r="Y202" s="584"/>
      <c r="Z202" s="584"/>
      <c r="AA202" s="584"/>
      <c r="AB202" s="584"/>
      <c r="AC202" s="584"/>
      <c r="AD202" s="584"/>
    </row>
    <row r="203" spans="1:30" s="585" customFormat="1" ht="19.5" customHeight="1" x14ac:dyDescent="0.3">
      <c r="A203" s="233">
        <v>195</v>
      </c>
      <c r="B203" s="374"/>
      <c r="C203" s="590"/>
      <c r="D203" s="586"/>
      <c r="E203" s="266" t="s">
        <v>231</v>
      </c>
      <c r="F203" s="578"/>
      <c r="G203" s="579"/>
      <c r="H203" s="579"/>
      <c r="I203" s="589"/>
      <c r="J203" s="267">
        <f>SUM(K203:R203)</f>
        <v>0</v>
      </c>
      <c r="K203" s="587">
        <v>0</v>
      </c>
      <c r="L203" s="587">
        <v>0</v>
      </c>
      <c r="M203" s="582"/>
      <c r="N203" s="582"/>
      <c r="O203" s="582"/>
      <c r="P203" s="582"/>
      <c r="Q203" s="582"/>
      <c r="R203" s="583"/>
      <c r="S203" s="584"/>
      <c r="T203" s="584"/>
      <c r="U203" s="584"/>
      <c r="V203" s="584"/>
      <c r="W203" s="584"/>
      <c r="X203" s="584"/>
      <c r="Y203" s="584"/>
      <c r="Z203" s="584"/>
      <c r="AA203" s="584"/>
      <c r="AB203" s="584"/>
      <c r="AC203" s="584"/>
      <c r="AD203" s="584"/>
    </row>
    <row r="204" spans="1:30" s="585" customFormat="1" ht="19.5" customHeight="1" x14ac:dyDescent="0.3">
      <c r="A204" s="233">
        <v>196</v>
      </c>
      <c r="B204" s="374"/>
      <c r="C204" s="590"/>
      <c r="D204" s="586"/>
      <c r="E204" s="270" t="s">
        <v>232</v>
      </c>
      <c r="F204" s="578"/>
      <c r="G204" s="579"/>
      <c r="H204" s="579"/>
      <c r="I204" s="589"/>
      <c r="J204" s="271">
        <f>SUM(K204:R204)</f>
        <v>0</v>
      </c>
      <c r="K204" s="591"/>
      <c r="L204" s="591"/>
      <c r="M204" s="582"/>
      <c r="N204" s="582"/>
      <c r="O204" s="582"/>
      <c r="P204" s="582"/>
      <c r="Q204" s="582"/>
      <c r="R204" s="583"/>
      <c r="S204" s="584"/>
      <c r="T204" s="584"/>
      <c r="U204" s="584"/>
      <c r="V204" s="584"/>
      <c r="W204" s="584"/>
      <c r="X204" s="584"/>
      <c r="Y204" s="584"/>
      <c r="Z204" s="584"/>
      <c r="AA204" s="584"/>
      <c r="AB204" s="584"/>
      <c r="AC204" s="584"/>
      <c r="AD204" s="584"/>
    </row>
    <row r="205" spans="1:30" s="585" customFormat="1" ht="19.5" customHeight="1" x14ac:dyDescent="0.3">
      <c r="A205" s="233">
        <v>197</v>
      </c>
      <c r="B205" s="374"/>
      <c r="C205" s="590"/>
      <c r="D205" s="586"/>
      <c r="E205" s="266" t="s">
        <v>233</v>
      </c>
      <c r="F205" s="578"/>
      <c r="G205" s="579"/>
      <c r="H205" s="579"/>
      <c r="I205" s="589"/>
      <c r="J205" s="267">
        <f>SUM(K205:R205)</f>
        <v>0</v>
      </c>
      <c r="K205" s="587">
        <f>SUM(K203:K204)</f>
        <v>0</v>
      </c>
      <c r="L205" s="587">
        <f>SUM(L203:L204)</f>
        <v>0</v>
      </c>
      <c r="M205" s="582"/>
      <c r="N205" s="582"/>
      <c r="O205" s="582"/>
      <c r="P205" s="582"/>
      <c r="Q205" s="582"/>
      <c r="R205" s="583"/>
      <c r="S205" s="584"/>
      <c r="T205" s="584"/>
      <c r="U205" s="584"/>
      <c r="V205" s="584"/>
      <c r="W205" s="584"/>
      <c r="X205" s="584"/>
      <c r="Y205" s="584"/>
      <c r="Z205" s="584"/>
      <c r="AA205" s="584"/>
      <c r="AB205" s="584"/>
      <c r="AC205" s="584"/>
      <c r="AD205" s="584"/>
    </row>
    <row r="206" spans="1:30" s="585" customFormat="1" ht="19.5" customHeight="1" x14ac:dyDescent="0.3">
      <c r="A206" s="233">
        <v>198</v>
      </c>
      <c r="B206" s="374"/>
      <c r="C206" s="249">
        <v>75</v>
      </c>
      <c r="D206" s="1952" t="s">
        <v>313</v>
      </c>
      <c r="E206" s="1952"/>
      <c r="F206" s="578"/>
      <c r="G206" s="579"/>
      <c r="H206" s="579"/>
      <c r="I206" s="589">
        <v>1819</v>
      </c>
      <c r="J206" s="593"/>
      <c r="K206" s="582"/>
      <c r="L206" s="582"/>
      <c r="M206" s="582"/>
      <c r="N206" s="582"/>
      <c r="O206" s="582"/>
      <c r="P206" s="582"/>
      <c r="Q206" s="582"/>
      <c r="R206" s="583"/>
      <c r="S206" s="584"/>
      <c r="T206" s="584"/>
      <c r="U206" s="584"/>
      <c r="V206" s="584"/>
      <c r="W206" s="584"/>
      <c r="X206" s="584"/>
      <c r="Y206" s="584"/>
      <c r="Z206" s="584"/>
      <c r="AA206" s="584"/>
      <c r="AB206" s="584"/>
      <c r="AC206" s="584"/>
      <c r="AD206" s="584"/>
    </row>
    <row r="207" spans="1:30" s="585" customFormat="1" ht="19.5" customHeight="1" x14ac:dyDescent="0.3">
      <c r="A207" s="233">
        <v>199</v>
      </c>
      <c r="B207" s="374"/>
      <c r="C207" s="590"/>
      <c r="D207" s="586"/>
      <c r="E207" s="554" t="s">
        <v>230</v>
      </c>
      <c r="F207" s="578"/>
      <c r="G207" s="579"/>
      <c r="H207" s="579"/>
      <c r="I207" s="589"/>
      <c r="J207" s="262">
        <f>SUM(K207:R207)</f>
        <v>658</v>
      </c>
      <c r="K207" s="582">
        <v>548</v>
      </c>
      <c r="L207" s="582">
        <v>110</v>
      </c>
      <c r="M207" s="582"/>
      <c r="N207" s="582"/>
      <c r="O207" s="582"/>
      <c r="P207" s="582"/>
      <c r="Q207" s="582"/>
      <c r="R207" s="583"/>
      <c r="S207" s="584"/>
      <c r="T207" s="584"/>
      <c r="U207" s="584"/>
      <c r="V207" s="584"/>
      <c r="W207" s="584"/>
      <c r="X207" s="584"/>
      <c r="Y207" s="584"/>
      <c r="Z207" s="584"/>
      <c r="AA207" s="584"/>
      <c r="AB207" s="584"/>
      <c r="AC207" s="584"/>
      <c r="AD207" s="584"/>
    </row>
    <row r="208" spans="1:30" s="585" customFormat="1" ht="19.5" customHeight="1" x14ac:dyDescent="0.3">
      <c r="A208" s="233">
        <v>200</v>
      </c>
      <c r="B208" s="374"/>
      <c r="C208" s="590"/>
      <c r="D208" s="586"/>
      <c r="E208" s="266" t="s">
        <v>231</v>
      </c>
      <c r="F208" s="578"/>
      <c r="G208" s="579"/>
      <c r="H208" s="579"/>
      <c r="I208" s="589"/>
      <c r="J208" s="267">
        <f>SUM(K208:R208)</f>
        <v>958</v>
      </c>
      <c r="K208" s="587">
        <v>848</v>
      </c>
      <c r="L208" s="587">
        <v>110</v>
      </c>
      <c r="M208" s="582"/>
      <c r="N208" s="582"/>
      <c r="O208" s="582"/>
      <c r="P208" s="582"/>
      <c r="Q208" s="582"/>
      <c r="R208" s="583"/>
      <c r="S208" s="584"/>
      <c r="T208" s="584"/>
      <c r="U208" s="584"/>
      <c r="V208" s="584"/>
      <c r="W208" s="584"/>
      <c r="X208" s="584"/>
      <c r="Y208" s="584"/>
      <c r="Z208" s="584"/>
      <c r="AA208" s="584"/>
      <c r="AB208" s="584"/>
      <c r="AC208" s="584"/>
      <c r="AD208" s="584"/>
    </row>
    <row r="209" spans="1:30" s="585" customFormat="1" ht="19.5" customHeight="1" x14ac:dyDescent="0.3">
      <c r="A209" s="233">
        <v>201</v>
      </c>
      <c r="B209" s="374"/>
      <c r="C209" s="590"/>
      <c r="D209" s="586"/>
      <c r="E209" s="270" t="s">
        <v>232</v>
      </c>
      <c r="F209" s="578"/>
      <c r="G209" s="579"/>
      <c r="H209" s="579"/>
      <c r="I209" s="589"/>
      <c r="J209" s="271">
        <f>SUM(K209:R209)</f>
        <v>0</v>
      </c>
      <c r="K209" s="591"/>
      <c r="L209" s="582"/>
      <c r="M209" s="582"/>
      <c r="N209" s="582"/>
      <c r="O209" s="582"/>
      <c r="P209" s="582"/>
      <c r="Q209" s="582"/>
      <c r="R209" s="583"/>
      <c r="S209" s="584"/>
      <c r="T209" s="584"/>
      <c r="U209" s="584"/>
      <c r="V209" s="584"/>
      <c r="W209" s="584"/>
      <c r="X209" s="584"/>
      <c r="Y209" s="584"/>
      <c r="Z209" s="584"/>
      <c r="AA209" s="584"/>
      <c r="AB209" s="584"/>
      <c r="AC209" s="584"/>
      <c r="AD209" s="584"/>
    </row>
    <row r="210" spans="1:30" s="585" customFormat="1" ht="19.5" customHeight="1" x14ac:dyDescent="0.3">
      <c r="A210" s="233">
        <v>202</v>
      </c>
      <c r="B210" s="374"/>
      <c r="C210" s="590"/>
      <c r="D210" s="586"/>
      <c r="E210" s="266" t="s">
        <v>233</v>
      </c>
      <c r="F210" s="578"/>
      <c r="G210" s="579"/>
      <c r="H210" s="579"/>
      <c r="I210" s="589"/>
      <c r="J210" s="267">
        <f>SUM(K210:R210)</f>
        <v>958</v>
      </c>
      <c r="K210" s="587">
        <f>SUM(K208:K209)</f>
        <v>848</v>
      </c>
      <c r="L210" s="587">
        <f>SUM(L208:L209)</f>
        <v>110</v>
      </c>
      <c r="M210" s="582"/>
      <c r="N210" s="582"/>
      <c r="O210" s="582"/>
      <c r="P210" s="582"/>
      <c r="Q210" s="582"/>
      <c r="R210" s="583"/>
      <c r="S210" s="584"/>
      <c r="T210" s="584"/>
      <c r="U210" s="584"/>
      <c r="V210" s="584"/>
      <c r="W210" s="584"/>
      <c r="X210" s="584"/>
      <c r="Y210" s="584"/>
      <c r="Z210" s="584"/>
      <c r="AA210" s="584"/>
      <c r="AB210" s="584"/>
      <c r="AC210" s="584"/>
      <c r="AD210" s="584"/>
    </row>
    <row r="211" spans="1:30" s="585" customFormat="1" ht="44.25" customHeight="1" x14ac:dyDescent="0.3">
      <c r="A211" s="233">
        <v>203</v>
      </c>
      <c r="B211" s="374"/>
      <c r="C211" s="329">
        <v>76</v>
      </c>
      <c r="D211" s="1953" t="s">
        <v>314</v>
      </c>
      <c r="E211" s="1953"/>
      <c r="F211" s="578"/>
      <c r="G211" s="579"/>
      <c r="H211" s="579"/>
      <c r="I211" s="580">
        <v>1366</v>
      </c>
      <c r="J211" s="581"/>
      <c r="K211" s="582"/>
      <c r="L211" s="582"/>
      <c r="M211" s="582"/>
      <c r="N211" s="582"/>
      <c r="O211" s="582"/>
      <c r="P211" s="582"/>
      <c r="Q211" s="582"/>
      <c r="R211" s="583"/>
      <c r="S211" s="584"/>
      <c r="T211" s="584"/>
      <c r="U211" s="584"/>
      <c r="V211" s="584"/>
      <c r="W211" s="584"/>
      <c r="X211" s="584"/>
      <c r="Y211" s="584"/>
      <c r="Z211" s="584"/>
      <c r="AA211" s="584"/>
      <c r="AB211" s="584"/>
      <c r="AC211" s="584"/>
      <c r="AD211" s="584"/>
    </row>
    <row r="212" spans="1:30" s="585" customFormat="1" ht="19.5" customHeight="1" x14ac:dyDescent="0.3">
      <c r="A212" s="233">
        <v>204</v>
      </c>
      <c r="B212" s="374"/>
      <c r="C212" s="249"/>
      <c r="D212" s="586"/>
      <c r="E212" s="554" t="s">
        <v>230</v>
      </c>
      <c r="F212" s="578"/>
      <c r="G212" s="579"/>
      <c r="H212" s="579"/>
      <c r="I212" s="580"/>
      <c r="J212" s="412">
        <f>SUM(K212:R212)</f>
        <v>329</v>
      </c>
      <c r="K212" s="582">
        <v>291</v>
      </c>
      <c r="L212" s="582">
        <v>38</v>
      </c>
      <c r="M212" s="582"/>
      <c r="N212" s="582"/>
      <c r="O212" s="582"/>
      <c r="P212" s="582"/>
      <c r="Q212" s="582"/>
      <c r="R212" s="583"/>
      <c r="S212" s="584"/>
      <c r="T212" s="584"/>
      <c r="U212" s="584"/>
      <c r="V212" s="584"/>
      <c r="W212" s="584"/>
      <c r="X212" s="584"/>
      <c r="Y212" s="584"/>
      <c r="Z212" s="584"/>
      <c r="AA212" s="584"/>
      <c r="AB212" s="584"/>
      <c r="AC212" s="584"/>
      <c r="AD212" s="584"/>
    </row>
    <row r="213" spans="1:30" s="585" customFormat="1" ht="19.5" customHeight="1" x14ac:dyDescent="0.3">
      <c r="A213" s="233">
        <v>205</v>
      </c>
      <c r="B213" s="374"/>
      <c r="C213" s="249"/>
      <c r="D213" s="586"/>
      <c r="E213" s="266" t="s">
        <v>231</v>
      </c>
      <c r="F213" s="578"/>
      <c r="G213" s="579"/>
      <c r="H213" s="579"/>
      <c r="I213" s="580"/>
      <c r="J213" s="407">
        <f>SUM(K213:R213)</f>
        <v>3329</v>
      </c>
      <c r="K213" s="587">
        <v>2946</v>
      </c>
      <c r="L213" s="587">
        <v>383</v>
      </c>
      <c r="M213" s="582"/>
      <c r="N213" s="582"/>
      <c r="O213" s="582"/>
      <c r="P213" s="582"/>
      <c r="Q213" s="582"/>
      <c r="R213" s="583"/>
      <c r="S213" s="584"/>
      <c r="T213" s="584"/>
      <c r="U213" s="584"/>
      <c r="V213" s="584"/>
      <c r="W213" s="584"/>
      <c r="X213" s="584"/>
      <c r="Y213" s="584"/>
      <c r="Z213" s="584"/>
      <c r="AA213" s="584"/>
      <c r="AB213" s="584"/>
      <c r="AC213" s="584"/>
      <c r="AD213" s="584"/>
    </row>
    <row r="214" spans="1:30" s="585" customFormat="1" ht="19.5" customHeight="1" x14ac:dyDescent="0.3">
      <c r="A214" s="233">
        <v>206</v>
      </c>
      <c r="B214" s="374"/>
      <c r="C214" s="249"/>
      <c r="D214" s="586"/>
      <c r="E214" s="270" t="s">
        <v>232</v>
      </c>
      <c r="F214" s="578"/>
      <c r="G214" s="579"/>
      <c r="H214" s="579"/>
      <c r="I214" s="588"/>
      <c r="J214" s="271">
        <f>SUM(K214:R214)</f>
        <v>0</v>
      </c>
      <c r="K214" s="591"/>
      <c r="L214" s="591"/>
      <c r="M214" s="582"/>
      <c r="N214" s="582"/>
      <c r="O214" s="582"/>
      <c r="P214" s="582"/>
      <c r="Q214" s="582"/>
      <c r="R214" s="583"/>
      <c r="S214" s="584"/>
      <c r="T214" s="584"/>
      <c r="U214" s="584"/>
      <c r="V214" s="584"/>
      <c r="W214" s="584"/>
      <c r="X214" s="584"/>
      <c r="Y214" s="584"/>
      <c r="Z214" s="584"/>
      <c r="AA214" s="584"/>
      <c r="AB214" s="584"/>
      <c r="AC214" s="584"/>
      <c r="AD214" s="584"/>
    </row>
    <row r="215" spans="1:30" s="585" customFormat="1" ht="19.5" customHeight="1" x14ac:dyDescent="0.3">
      <c r="A215" s="233">
        <v>207</v>
      </c>
      <c r="B215" s="374"/>
      <c r="C215" s="249"/>
      <c r="D215" s="586"/>
      <c r="E215" s="266" t="s">
        <v>233</v>
      </c>
      <c r="F215" s="578"/>
      <c r="G215" s="579"/>
      <c r="H215" s="579"/>
      <c r="I215" s="589"/>
      <c r="J215" s="267">
        <f>SUM(K215:R215)</f>
        <v>3329</v>
      </c>
      <c r="K215" s="587">
        <f>SUM(K213:K214)</f>
        <v>2946</v>
      </c>
      <c r="L215" s="587">
        <f>SUM(L213:L214)</f>
        <v>383</v>
      </c>
      <c r="M215" s="582"/>
      <c r="N215" s="582"/>
      <c r="O215" s="582"/>
      <c r="P215" s="582"/>
      <c r="Q215" s="582"/>
      <c r="R215" s="583"/>
      <c r="S215" s="584"/>
      <c r="T215" s="584"/>
      <c r="U215" s="584"/>
      <c r="V215" s="584"/>
      <c r="W215" s="584"/>
      <c r="X215" s="584"/>
      <c r="Y215" s="584"/>
      <c r="Z215" s="584"/>
      <c r="AA215" s="584"/>
      <c r="AB215" s="584"/>
      <c r="AC215" s="584"/>
      <c r="AD215" s="584"/>
    </row>
    <row r="216" spans="1:30" s="585" customFormat="1" ht="60" customHeight="1" x14ac:dyDescent="0.3">
      <c r="A216" s="233">
        <v>208</v>
      </c>
      <c r="B216" s="374"/>
      <c r="C216" s="329">
        <v>77</v>
      </c>
      <c r="D216" s="1953" t="s">
        <v>315</v>
      </c>
      <c r="E216" s="1953"/>
      <c r="F216" s="578"/>
      <c r="G216" s="579"/>
      <c r="H216" s="579"/>
      <c r="I216" s="580">
        <v>1302</v>
      </c>
      <c r="J216" s="581"/>
      <c r="K216" s="582"/>
      <c r="L216" s="582"/>
      <c r="M216" s="582"/>
      <c r="N216" s="582"/>
      <c r="O216" s="582"/>
      <c r="P216" s="582"/>
      <c r="Q216" s="582"/>
      <c r="R216" s="583"/>
      <c r="S216" s="584"/>
      <c r="T216" s="584"/>
      <c r="U216" s="584"/>
      <c r="V216" s="584"/>
      <c r="W216" s="584"/>
      <c r="X216" s="584"/>
      <c r="Y216" s="584"/>
      <c r="Z216" s="584"/>
      <c r="AA216" s="584"/>
      <c r="AB216" s="584"/>
      <c r="AC216" s="584"/>
      <c r="AD216" s="584"/>
    </row>
    <row r="217" spans="1:30" s="585" customFormat="1" ht="19.5" customHeight="1" x14ac:dyDescent="0.3">
      <c r="A217" s="233">
        <v>209</v>
      </c>
      <c r="B217" s="374"/>
      <c r="C217" s="590"/>
      <c r="D217" s="586"/>
      <c r="E217" s="554" t="s">
        <v>230</v>
      </c>
      <c r="F217" s="578"/>
      <c r="G217" s="579"/>
      <c r="H217" s="579"/>
      <c r="I217" s="580"/>
      <c r="J217" s="412">
        <f>SUM(K217:R217)</f>
        <v>258</v>
      </c>
      <c r="K217" s="582">
        <v>228</v>
      </c>
      <c r="L217" s="582">
        <v>30</v>
      </c>
      <c r="M217" s="582"/>
      <c r="N217" s="582"/>
      <c r="O217" s="582"/>
      <c r="P217" s="582"/>
      <c r="Q217" s="582"/>
      <c r="R217" s="583"/>
      <c r="S217" s="584"/>
      <c r="T217" s="584"/>
      <c r="U217" s="584"/>
      <c r="V217" s="584"/>
      <c r="W217" s="584"/>
      <c r="X217" s="584"/>
      <c r="Y217" s="584"/>
      <c r="Z217" s="584"/>
      <c r="AA217" s="584"/>
      <c r="AB217" s="584"/>
      <c r="AC217" s="584"/>
      <c r="AD217" s="584"/>
    </row>
    <row r="218" spans="1:30" s="585" customFormat="1" ht="19.5" customHeight="1" x14ac:dyDescent="0.3">
      <c r="A218" s="233">
        <v>210</v>
      </c>
      <c r="B218" s="374"/>
      <c r="C218" s="590"/>
      <c r="D218" s="586"/>
      <c r="E218" s="266" t="s">
        <v>231</v>
      </c>
      <c r="F218" s="578"/>
      <c r="G218" s="579"/>
      <c r="H218" s="579"/>
      <c r="I218" s="580"/>
      <c r="J218" s="407">
        <f>SUM(K218:R218)</f>
        <v>4258</v>
      </c>
      <c r="K218" s="587">
        <v>3768</v>
      </c>
      <c r="L218" s="587">
        <v>490</v>
      </c>
      <c r="M218" s="582"/>
      <c r="N218" s="582"/>
      <c r="O218" s="582"/>
      <c r="P218" s="582"/>
      <c r="Q218" s="582"/>
      <c r="R218" s="583"/>
      <c r="S218" s="584"/>
      <c r="T218" s="584"/>
      <c r="U218" s="584"/>
      <c r="V218" s="584"/>
      <c r="W218" s="584"/>
      <c r="X218" s="584"/>
      <c r="Y218" s="584"/>
      <c r="Z218" s="584"/>
      <c r="AA218" s="584"/>
      <c r="AB218" s="584"/>
      <c r="AC218" s="584"/>
      <c r="AD218" s="584"/>
    </row>
    <row r="219" spans="1:30" s="585" customFormat="1" ht="19.5" customHeight="1" x14ac:dyDescent="0.3">
      <c r="A219" s="233">
        <v>211</v>
      </c>
      <c r="B219" s="374"/>
      <c r="C219" s="590"/>
      <c r="D219" s="586"/>
      <c r="E219" s="270" t="s">
        <v>232</v>
      </c>
      <c r="F219" s="578"/>
      <c r="G219" s="579"/>
      <c r="H219" s="579"/>
      <c r="I219" s="588"/>
      <c r="J219" s="271">
        <f>SUM(K219:R219)</f>
        <v>0</v>
      </c>
      <c r="K219" s="576"/>
      <c r="L219" s="576"/>
      <c r="M219" s="582"/>
      <c r="N219" s="582"/>
      <c r="O219" s="582"/>
      <c r="P219" s="582"/>
      <c r="Q219" s="582"/>
      <c r="R219" s="583"/>
      <c r="S219" s="584"/>
      <c r="T219" s="584"/>
      <c r="U219" s="584"/>
      <c r="V219" s="584"/>
      <c r="W219" s="584"/>
      <c r="X219" s="584"/>
      <c r="Y219" s="584"/>
      <c r="Z219" s="584"/>
      <c r="AA219" s="584"/>
      <c r="AB219" s="584"/>
      <c r="AC219" s="584"/>
      <c r="AD219" s="584"/>
    </row>
    <row r="220" spans="1:30" s="585" customFormat="1" ht="19.5" customHeight="1" x14ac:dyDescent="0.3">
      <c r="A220" s="233">
        <v>212</v>
      </c>
      <c r="B220" s="374"/>
      <c r="C220" s="590"/>
      <c r="D220" s="586"/>
      <c r="E220" s="266" t="s">
        <v>233</v>
      </c>
      <c r="F220" s="578"/>
      <c r="G220" s="579"/>
      <c r="H220" s="579"/>
      <c r="I220" s="589"/>
      <c r="J220" s="267">
        <f>SUM(K220:R220)</f>
        <v>4258</v>
      </c>
      <c r="K220" s="587">
        <f>SUM(K218:K219)</f>
        <v>3768</v>
      </c>
      <c r="L220" s="587">
        <f>SUM(L218:L219)</f>
        <v>490</v>
      </c>
      <c r="M220" s="582"/>
      <c r="N220" s="582"/>
      <c r="O220" s="582"/>
      <c r="P220" s="582"/>
      <c r="Q220" s="582"/>
      <c r="R220" s="583"/>
      <c r="S220" s="584"/>
      <c r="T220" s="584"/>
      <c r="U220" s="584"/>
      <c r="V220" s="584"/>
      <c r="W220" s="584"/>
      <c r="X220" s="584"/>
      <c r="Y220" s="584"/>
      <c r="Z220" s="584"/>
      <c r="AA220" s="584"/>
      <c r="AB220" s="584"/>
      <c r="AC220" s="584"/>
      <c r="AD220" s="584"/>
    </row>
    <row r="221" spans="1:30" s="585" customFormat="1" ht="19.5" customHeight="1" x14ac:dyDescent="0.3">
      <c r="A221" s="233">
        <v>213</v>
      </c>
      <c r="B221" s="374"/>
      <c r="C221" s="249">
        <v>79</v>
      </c>
      <c r="D221" s="1953" t="s">
        <v>316</v>
      </c>
      <c r="E221" s="1953"/>
      <c r="F221" s="578"/>
      <c r="G221" s="579"/>
      <c r="H221" s="579"/>
      <c r="I221" s="589">
        <v>771</v>
      </c>
      <c r="J221" s="593"/>
      <c r="K221" s="582"/>
      <c r="L221" s="582"/>
      <c r="M221" s="582"/>
      <c r="N221" s="582"/>
      <c r="O221" s="582"/>
      <c r="P221" s="582"/>
      <c r="Q221" s="582"/>
      <c r="R221" s="583"/>
      <c r="S221" s="584"/>
      <c r="T221" s="584"/>
      <c r="U221" s="584"/>
      <c r="V221" s="584"/>
      <c r="W221" s="584"/>
      <c r="X221" s="584"/>
      <c r="Y221" s="584"/>
      <c r="Z221" s="584"/>
      <c r="AA221" s="584"/>
      <c r="AB221" s="584"/>
      <c r="AC221" s="584"/>
      <c r="AD221" s="584"/>
    </row>
    <row r="222" spans="1:30" s="585" customFormat="1" ht="19.5" customHeight="1" x14ac:dyDescent="0.3">
      <c r="A222" s="233">
        <v>214</v>
      </c>
      <c r="B222" s="374"/>
      <c r="C222" s="590"/>
      <c r="D222" s="586"/>
      <c r="E222" s="554" t="s">
        <v>230</v>
      </c>
      <c r="F222" s="578"/>
      <c r="G222" s="579"/>
      <c r="H222" s="579"/>
      <c r="I222" s="589"/>
      <c r="J222" s="262">
        <f>SUM(K222:R222)</f>
        <v>1082</v>
      </c>
      <c r="K222" s="582">
        <v>958</v>
      </c>
      <c r="L222" s="582">
        <v>124</v>
      </c>
      <c r="M222" s="582"/>
      <c r="N222" s="582"/>
      <c r="O222" s="582"/>
      <c r="P222" s="582"/>
      <c r="Q222" s="582"/>
      <c r="R222" s="583"/>
      <c r="S222" s="584"/>
      <c r="T222" s="584"/>
      <c r="U222" s="584"/>
      <c r="V222" s="584"/>
      <c r="W222" s="584"/>
      <c r="X222" s="584"/>
      <c r="Y222" s="584"/>
      <c r="Z222" s="584"/>
      <c r="AA222" s="584"/>
      <c r="AB222" s="584"/>
      <c r="AC222" s="584"/>
      <c r="AD222" s="584"/>
    </row>
    <row r="223" spans="1:30" s="585" customFormat="1" ht="19.5" customHeight="1" x14ac:dyDescent="0.3">
      <c r="A223" s="233">
        <v>215</v>
      </c>
      <c r="B223" s="374"/>
      <c r="C223" s="590"/>
      <c r="D223" s="586"/>
      <c r="E223" s="266" t="s">
        <v>231</v>
      </c>
      <c r="F223" s="578"/>
      <c r="G223" s="579"/>
      <c r="H223" s="579"/>
      <c r="I223" s="589"/>
      <c r="J223" s="267">
        <f>SUM(K223:R223)</f>
        <v>1082</v>
      </c>
      <c r="K223" s="587">
        <v>958</v>
      </c>
      <c r="L223" s="587">
        <v>124</v>
      </c>
      <c r="M223" s="582"/>
      <c r="N223" s="582"/>
      <c r="O223" s="582"/>
      <c r="P223" s="582"/>
      <c r="Q223" s="582"/>
      <c r="R223" s="583"/>
      <c r="S223" s="584"/>
      <c r="T223" s="584"/>
      <c r="U223" s="584"/>
      <c r="V223" s="584"/>
      <c r="W223" s="584"/>
      <c r="X223" s="584"/>
      <c r="Y223" s="584"/>
      <c r="Z223" s="584"/>
      <c r="AA223" s="584"/>
      <c r="AB223" s="584"/>
      <c r="AC223" s="584"/>
      <c r="AD223" s="584"/>
    </row>
    <row r="224" spans="1:30" s="585" customFormat="1" ht="19.5" customHeight="1" x14ac:dyDescent="0.3">
      <c r="A224" s="233">
        <v>216</v>
      </c>
      <c r="B224" s="374"/>
      <c r="C224" s="590"/>
      <c r="D224" s="586"/>
      <c r="E224" s="270" t="s">
        <v>245</v>
      </c>
      <c r="F224" s="578"/>
      <c r="G224" s="579"/>
      <c r="H224" s="579"/>
      <c r="I224" s="589"/>
      <c r="J224" s="271">
        <f>SUM(K224:R224)</f>
        <v>0</v>
      </c>
      <c r="K224" s="582"/>
      <c r="L224" s="582"/>
      <c r="M224" s="582"/>
      <c r="N224" s="582"/>
      <c r="O224" s="582"/>
      <c r="P224" s="582"/>
      <c r="Q224" s="582"/>
      <c r="R224" s="583"/>
      <c r="S224" s="584"/>
      <c r="T224" s="584"/>
      <c r="U224" s="584"/>
      <c r="V224" s="584"/>
      <c r="W224" s="584"/>
      <c r="X224" s="584"/>
      <c r="Y224" s="584"/>
      <c r="Z224" s="584"/>
      <c r="AA224" s="584"/>
      <c r="AB224" s="584"/>
      <c r="AC224" s="584"/>
      <c r="AD224" s="584"/>
    </row>
    <row r="225" spans="1:30" s="585" customFormat="1" ht="19.5" customHeight="1" x14ac:dyDescent="0.3">
      <c r="A225" s="233">
        <v>217</v>
      </c>
      <c r="B225" s="374"/>
      <c r="C225" s="590"/>
      <c r="D225" s="586"/>
      <c r="E225" s="266" t="s">
        <v>233</v>
      </c>
      <c r="F225" s="578"/>
      <c r="G225" s="579"/>
      <c r="H225" s="579"/>
      <c r="I225" s="589"/>
      <c r="J225" s="267">
        <f>SUM(K225:R225)</f>
        <v>1082</v>
      </c>
      <c r="K225" s="587">
        <f>SUM(K223:K224)</f>
        <v>958</v>
      </c>
      <c r="L225" s="587">
        <f>SUM(L223:L224)</f>
        <v>124</v>
      </c>
      <c r="M225" s="582"/>
      <c r="N225" s="582"/>
      <c r="O225" s="582"/>
      <c r="P225" s="582"/>
      <c r="Q225" s="582"/>
      <c r="R225" s="583"/>
      <c r="S225" s="584"/>
      <c r="T225" s="584"/>
      <c r="U225" s="584"/>
      <c r="V225" s="584"/>
      <c r="W225" s="584"/>
      <c r="X225" s="584"/>
      <c r="Y225" s="584"/>
      <c r="Z225" s="584"/>
      <c r="AA225" s="584"/>
      <c r="AB225" s="584"/>
      <c r="AC225" s="584"/>
      <c r="AD225" s="584"/>
    </row>
    <row r="226" spans="1:30" s="585" customFormat="1" ht="30" customHeight="1" x14ac:dyDescent="0.3">
      <c r="A226" s="233">
        <v>218</v>
      </c>
      <c r="B226" s="374"/>
      <c r="C226" s="329">
        <v>80</v>
      </c>
      <c r="D226" s="1953" t="s">
        <v>317</v>
      </c>
      <c r="E226" s="1953"/>
      <c r="F226" s="578"/>
      <c r="G226" s="579"/>
      <c r="H226" s="579"/>
      <c r="I226" s="589"/>
      <c r="J226" s="593"/>
      <c r="K226" s="582"/>
      <c r="L226" s="582"/>
      <c r="M226" s="582"/>
      <c r="N226" s="582"/>
      <c r="O226" s="582"/>
      <c r="P226" s="582"/>
      <c r="Q226" s="582"/>
      <c r="R226" s="583"/>
      <c r="S226" s="584"/>
      <c r="T226" s="584"/>
      <c r="U226" s="584"/>
      <c r="V226" s="584"/>
      <c r="W226" s="584"/>
      <c r="X226" s="584"/>
      <c r="Y226" s="584"/>
      <c r="Z226" s="584"/>
      <c r="AA226" s="584"/>
      <c r="AB226" s="584"/>
      <c r="AC226" s="584"/>
      <c r="AD226" s="584"/>
    </row>
    <row r="227" spans="1:30" s="585" customFormat="1" ht="19.5" customHeight="1" x14ac:dyDescent="0.3">
      <c r="A227" s="233">
        <v>219</v>
      </c>
      <c r="B227" s="374"/>
      <c r="C227" s="590"/>
      <c r="D227" s="586"/>
      <c r="E227" s="554" t="s">
        <v>230</v>
      </c>
      <c r="F227" s="578"/>
      <c r="G227" s="579"/>
      <c r="H227" s="579"/>
      <c r="I227" s="580"/>
      <c r="J227" s="412">
        <f>SUM(K227:R227)</f>
        <v>4550</v>
      </c>
      <c r="K227" s="582"/>
      <c r="L227" s="582"/>
      <c r="M227" s="582"/>
      <c r="N227" s="582"/>
      <c r="O227" s="582"/>
      <c r="P227" s="582">
        <v>4550</v>
      </c>
      <c r="Q227" s="582"/>
      <c r="R227" s="583"/>
      <c r="S227" s="584"/>
      <c r="T227" s="584"/>
      <c r="U227" s="584"/>
      <c r="V227" s="584"/>
      <c r="W227" s="584"/>
      <c r="X227" s="584"/>
      <c r="Y227" s="584"/>
      <c r="Z227" s="584"/>
      <c r="AA227" s="584"/>
      <c r="AB227" s="584"/>
      <c r="AC227" s="584"/>
      <c r="AD227" s="584"/>
    </row>
    <row r="228" spans="1:30" s="585" customFormat="1" ht="19.5" customHeight="1" x14ac:dyDescent="0.3">
      <c r="A228" s="233">
        <v>220</v>
      </c>
      <c r="B228" s="374"/>
      <c r="C228" s="590"/>
      <c r="D228" s="586"/>
      <c r="E228" s="266" t="s">
        <v>231</v>
      </c>
      <c r="F228" s="578"/>
      <c r="G228" s="579"/>
      <c r="H228" s="579"/>
      <c r="I228" s="580"/>
      <c r="J228" s="407">
        <f>SUM(K228:R228)</f>
        <v>39173</v>
      </c>
      <c r="K228" s="587">
        <v>25281</v>
      </c>
      <c r="L228" s="587">
        <v>3653</v>
      </c>
      <c r="M228" s="587">
        <v>5946</v>
      </c>
      <c r="N228" s="587"/>
      <c r="O228" s="587"/>
      <c r="P228" s="587">
        <v>4293</v>
      </c>
      <c r="Q228" s="582"/>
      <c r="R228" s="583"/>
      <c r="S228" s="584"/>
      <c r="T228" s="584"/>
      <c r="U228" s="584"/>
      <c r="V228" s="584"/>
      <c r="W228" s="584"/>
      <c r="X228" s="584"/>
      <c r="Y228" s="584"/>
      <c r="Z228" s="584"/>
      <c r="AA228" s="584"/>
      <c r="AB228" s="584"/>
      <c r="AC228" s="584"/>
      <c r="AD228" s="584"/>
    </row>
    <row r="229" spans="1:30" s="585" customFormat="1" ht="19.5" customHeight="1" x14ac:dyDescent="0.3">
      <c r="A229" s="233">
        <v>221</v>
      </c>
      <c r="B229" s="374"/>
      <c r="C229" s="590"/>
      <c r="D229" s="586"/>
      <c r="E229" s="270" t="s">
        <v>232</v>
      </c>
      <c r="F229" s="578"/>
      <c r="G229" s="579"/>
      <c r="H229" s="579"/>
      <c r="I229" s="588"/>
      <c r="J229" s="271">
        <f>SUM(K229:R229)</f>
        <v>0</v>
      </c>
      <c r="K229" s="576"/>
      <c r="L229" s="576"/>
      <c r="M229" s="576"/>
      <c r="N229" s="582"/>
      <c r="O229" s="582"/>
      <c r="P229" s="591"/>
      <c r="Q229" s="582"/>
      <c r="R229" s="583"/>
      <c r="S229" s="584"/>
      <c r="T229" s="584"/>
      <c r="U229" s="584"/>
      <c r="V229" s="584"/>
      <c r="W229" s="584"/>
      <c r="X229" s="584"/>
      <c r="Y229" s="584"/>
      <c r="Z229" s="584"/>
      <c r="AA229" s="584"/>
      <c r="AB229" s="584"/>
      <c r="AC229" s="584"/>
      <c r="AD229" s="584"/>
    </row>
    <row r="230" spans="1:30" s="585" customFormat="1" ht="19.5" customHeight="1" x14ac:dyDescent="0.3">
      <c r="A230" s="233">
        <v>222</v>
      </c>
      <c r="B230" s="374"/>
      <c r="C230" s="590"/>
      <c r="D230" s="586"/>
      <c r="E230" s="266" t="s">
        <v>233</v>
      </c>
      <c r="F230" s="578"/>
      <c r="G230" s="579"/>
      <c r="H230" s="579"/>
      <c r="I230" s="589"/>
      <c r="J230" s="267">
        <f>SUM(K230:R230)</f>
        <v>39173</v>
      </c>
      <c r="K230" s="587">
        <f>SUM(K228:K229)</f>
        <v>25281</v>
      </c>
      <c r="L230" s="587">
        <f>SUM(L228:L229)</f>
        <v>3653</v>
      </c>
      <c r="M230" s="587">
        <f>SUM(M228:M229)</f>
        <v>5946</v>
      </c>
      <c r="N230" s="587"/>
      <c r="O230" s="587"/>
      <c r="P230" s="587">
        <f>SUM(P228:P229)</f>
        <v>4293</v>
      </c>
      <c r="Q230" s="582"/>
      <c r="R230" s="583"/>
      <c r="S230" s="584"/>
      <c r="T230" s="584"/>
      <c r="U230" s="584"/>
      <c r="V230" s="584"/>
      <c r="W230" s="584"/>
      <c r="X230" s="584"/>
      <c r="Y230" s="584"/>
      <c r="Z230" s="584"/>
      <c r="AA230" s="584"/>
      <c r="AB230" s="584"/>
      <c r="AC230" s="584"/>
      <c r="AD230" s="584"/>
    </row>
    <row r="231" spans="1:30" s="585" customFormat="1" ht="19.5" customHeight="1" x14ac:dyDescent="0.3">
      <c r="A231" s="233">
        <v>223</v>
      </c>
      <c r="B231" s="374"/>
      <c r="C231" s="329">
        <v>81</v>
      </c>
      <c r="D231" s="1953" t="s">
        <v>318</v>
      </c>
      <c r="E231" s="1953"/>
      <c r="F231" s="578"/>
      <c r="G231" s="579"/>
      <c r="H231" s="579"/>
      <c r="I231" s="588"/>
      <c r="J231" s="267"/>
      <c r="K231" s="582"/>
      <c r="L231" s="582"/>
      <c r="M231" s="582"/>
      <c r="N231" s="582"/>
      <c r="O231" s="582"/>
      <c r="P231" s="587"/>
      <c r="Q231" s="582"/>
      <c r="R231" s="583"/>
      <c r="S231" s="584"/>
      <c r="T231" s="584"/>
      <c r="U231" s="584"/>
      <c r="V231" s="584"/>
      <c r="W231" s="584"/>
      <c r="X231" s="584"/>
      <c r="Y231" s="584"/>
      <c r="Z231" s="584"/>
      <c r="AA231" s="584"/>
      <c r="AB231" s="584"/>
      <c r="AC231" s="584"/>
      <c r="AD231" s="584"/>
    </row>
    <row r="232" spans="1:30" s="585" customFormat="1" ht="18" customHeight="1" x14ac:dyDescent="0.3">
      <c r="A232" s="233">
        <v>224</v>
      </c>
      <c r="B232" s="374"/>
      <c r="C232" s="595"/>
      <c r="D232" s="596"/>
      <c r="E232" s="266" t="s">
        <v>231</v>
      </c>
      <c r="F232" s="578"/>
      <c r="G232" s="579"/>
      <c r="H232" s="579"/>
      <c r="I232" s="589"/>
      <c r="J232" s="267">
        <f>SUM(K232:R232)</f>
        <v>13217</v>
      </c>
      <c r="K232" s="587">
        <v>11697</v>
      </c>
      <c r="L232" s="587">
        <v>1520</v>
      </c>
      <c r="M232" s="582"/>
      <c r="N232" s="582"/>
      <c r="O232" s="582"/>
      <c r="P232" s="587"/>
      <c r="Q232" s="582"/>
      <c r="R232" s="583"/>
      <c r="S232" s="584"/>
      <c r="T232" s="584"/>
      <c r="U232" s="584"/>
      <c r="V232" s="584"/>
      <c r="W232" s="584"/>
      <c r="X232" s="584"/>
      <c r="Y232" s="584"/>
      <c r="Z232" s="584"/>
      <c r="AA232" s="584"/>
      <c r="AB232" s="584"/>
      <c r="AC232" s="584"/>
      <c r="AD232" s="584"/>
    </row>
    <row r="233" spans="1:30" s="585" customFormat="1" ht="19.5" customHeight="1" x14ac:dyDescent="0.3">
      <c r="A233" s="233">
        <v>225</v>
      </c>
      <c r="B233" s="374"/>
      <c r="C233" s="590"/>
      <c r="D233" s="586"/>
      <c r="E233" s="270" t="s">
        <v>232</v>
      </c>
      <c r="F233" s="578"/>
      <c r="G233" s="579"/>
      <c r="H233" s="579"/>
      <c r="I233" s="589"/>
      <c r="J233" s="271">
        <f>SUM(K233:R233)</f>
        <v>0</v>
      </c>
      <c r="K233" s="591"/>
      <c r="L233" s="591"/>
      <c r="M233" s="582"/>
      <c r="N233" s="582"/>
      <c r="O233" s="582"/>
      <c r="P233" s="587"/>
      <c r="Q233" s="582"/>
      <c r="R233" s="583"/>
      <c r="S233" s="584"/>
      <c r="T233" s="584"/>
      <c r="U233" s="584"/>
      <c r="V233" s="584"/>
      <c r="W233" s="584"/>
      <c r="X233" s="584"/>
      <c r="Y233" s="584"/>
      <c r="Z233" s="584"/>
      <c r="AA233" s="584"/>
      <c r="AB233" s="584"/>
      <c r="AC233" s="584"/>
      <c r="AD233" s="584"/>
    </row>
    <row r="234" spans="1:30" s="585" customFormat="1" ht="19.5" customHeight="1" x14ac:dyDescent="0.3">
      <c r="A234" s="233">
        <v>226</v>
      </c>
      <c r="B234" s="374"/>
      <c r="C234" s="590"/>
      <c r="D234" s="586"/>
      <c r="E234" s="266" t="s">
        <v>233</v>
      </c>
      <c r="F234" s="578"/>
      <c r="G234" s="579"/>
      <c r="H234" s="579"/>
      <c r="I234" s="589"/>
      <c r="J234" s="267">
        <f>SUM(K234:R234)</f>
        <v>13217</v>
      </c>
      <c r="K234" s="587">
        <f>SUM(K232:K233)</f>
        <v>11697</v>
      </c>
      <c r="L234" s="587">
        <f>SUM(L232:L233)</f>
        <v>1520</v>
      </c>
      <c r="M234" s="582"/>
      <c r="N234" s="582"/>
      <c r="O234" s="582"/>
      <c r="P234" s="587"/>
      <c r="Q234" s="582"/>
      <c r="R234" s="583"/>
      <c r="S234" s="584"/>
      <c r="T234" s="584"/>
      <c r="U234" s="584"/>
      <c r="V234" s="584"/>
      <c r="W234" s="584"/>
      <c r="X234" s="584"/>
      <c r="Y234" s="584"/>
      <c r="Z234" s="584"/>
      <c r="AA234" s="584"/>
      <c r="AB234" s="584"/>
      <c r="AC234" s="584"/>
      <c r="AD234" s="584"/>
    </row>
    <row r="235" spans="1:30" s="585" customFormat="1" ht="19.5" customHeight="1" x14ac:dyDescent="0.3">
      <c r="A235" s="233">
        <v>227</v>
      </c>
      <c r="B235" s="374"/>
      <c r="C235" s="329">
        <v>82</v>
      </c>
      <c r="D235" s="1953" t="s">
        <v>319</v>
      </c>
      <c r="E235" s="1953"/>
      <c r="F235" s="578"/>
      <c r="G235" s="579"/>
      <c r="H235" s="579"/>
      <c r="I235" s="589"/>
      <c r="J235" s="267"/>
      <c r="K235" s="582"/>
      <c r="L235" s="582"/>
      <c r="M235" s="582"/>
      <c r="N235" s="582"/>
      <c r="O235" s="582"/>
      <c r="P235" s="587"/>
      <c r="Q235" s="582"/>
      <c r="R235" s="583"/>
      <c r="S235" s="584"/>
      <c r="T235" s="584"/>
      <c r="U235" s="584"/>
      <c r="V235" s="584"/>
      <c r="W235" s="584"/>
      <c r="X235" s="584"/>
      <c r="Y235" s="584"/>
      <c r="Z235" s="584"/>
      <c r="AA235" s="584"/>
      <c r="AB235" s="584"/>
      <c r="AC235" s="584"/>
      <c r="AD235" s="584"/>
    </row>
    <row r="236" spans="1:30" s="585" customFormat="1" ht="18" customHeight="1" x14ac:dyDescent="0.3">
      <c r="A236" s="233">
        <v>228</v>
      </c>
      <c r="B236" s="374"/>
      <c r="C236" s="595"/>
      <c r="D236" s="596"/>
      <c r="E236" s="266" t="s">
        <v>231</v>
      </c>
      <c r="F236" s="578"/>
      <c r="G236" s="579"/>
      <c r="H236" s="579"/>
      <c r="I236" s="589"/>
      <c r="J236" s="267">
        <f>SUM(K236:R236)</f>
        <v>9270</v>
      </c>
      <c r="K236" s="587">
        <v>8204</v>
      </c>
      <c r="L236" s="587">
        <v>1066</v>
      </c>
      <c r="M236" s="582"/>
      <c r="N236" s="582"/>
      <c r="O236" s="582"/>
      <c r="P236" s="587"/>
      <c r="Q236" s="582"/>
      <c r="R236" s="583"/>
      <c r="S236" s="584"/>
      <c r="T236" s="584"/>
      <c r="U236" s="584"/>
      <c r="V236" s="584"/>
      <c r="W236" s="584"/>
      <c r="X236" s="584"/>
      <c r="Y236" s="584"/>
      <c r="Z236" s="584"/>
      <c r="AA236" s="584"/>
      <c r="AB236" s="584"/>
      <c r="AC236" s="584"/>
      <c r="AD236" s="584"/>
    </row>
    <row r="237" spans="1:30" s="585" customFormat="1" ht="19.5" customHeight="1" x14ac:dyDescent="0.3">
      <c r="A237" s="233">
        <v>229</v>
      </c>
      <c r="B237" s="374"/>
      <c r="C237" s="590"/>
      <c r="D237" s="586"/>
      <c r="E237" s="270" t="s">
        <v>232</v>
      </c>
      <c r="F237" s="578"/>
      <c r="G237" s="579"/>
      <c r="H237" s="579"/>
      <c r="I237" s="589"/>
      <c r="J237" s="271">
        <f>SUM(K237:R237)</f>
        <v>0</v>
      </c>
      <c r="K237" s="591"/>
      <c r="L237" s="591"/>
      <c r="M237" s="582"/>
      <c r="N237" s="582"/>
      <c r="O237" s="582"/>
      <c r="P237" s="587"/>
      <c r="Q237" s="582"/>
      <c r="R237" s="583"/>
      <c r="S237" s="584"/>
      <c r="T237" s="584"/>
      <c r="U237" s="584"/>
      <c r="V237" s="584"/>
      <c r="W237" s="584"/>
      <c r="X237" s="584"/>
      <c r="Y237" s="584"/>
      <c r="Z237" s="584"/>
      <c r="AA237" s="584"/>
      <c r="AB237" s="584"/>
      <c r="AC237" s="584"/>
      <c r="AD237" s="584"/>
    </row>
    <row r="238" spans="1:30" s="585" customFormat="1" ht="19.5" customHeight="1" x14ac:dyDescent="0.3">
      <c r="A238" s="233">
        <v>230</v>
      </c>
      <c r="B238" s="374"/>
      <c r="C238" s="590"/>
      <c r="D238" s="586"/>
      <c r="E238" s="266" t="s">
        <v>233</v>
      </c>
      <c r="F238" s="578"/>
      <c r="G238" s="579"/>
      <c r="H238" s="579"/>
      <c r="I238" s="589"/>
      <c r="J238" s="267">
        <f>SUM(K238:R238)</f>
        <v>9270</v>
      </c>
      <c r="K238" s="587">
        <f>SUM(K236:K237)</f>
        <v>8204</v>
      </c>
      <c r="L238" s="587">
        <f>SUM(L236:L237)</f>
        <v>1066</v>
      </c>
      <c r="M238" s="582"/>
      <c r="N238" s="582"/>
      <c r="O238" s="582"/>
      <c r="P238" s="587"/>
      <c r="Q238" s="582"/>
      <c r="R238" s="583"/>
      <c r="S238" s="584"/>
      <c r="T238" s="584"/>
      <c r="U238" s="584"/>
      <c r="V238" s="584"/>
      <c r="W238" s="584"/>
      <c r="X238" s="584"/>
      <c r="Y238" s="584"/>
      <c r="Z238" s="584"/>
      <c r="AA238" s="584"/>
      <c r="AB238" s="584"/>
      <c r="AC238" s="584"/>
      <c r="AD238" s="584"/>
    </row>
    <row r="239" spans="1:30" s="585" customFormat="1" ht="19.5" customHeight="1" x14ac:dyDescent="0.3">
      <c r="A239" s="233">
        <v>231</v>
      </c>
      <c r="B239" s="374"/>
      <c r="C239" s="595">
        <v>83</v>
      </c>
      <c r="D239" s="1953" t="s">
        <v>320</v>
      </c>
      <c r="E239" s="1953"/>
      <c r="F239" s="578"/>
      <c r="G239" s="579"/>
      <c r="H239" s="579"/>
      <c r="I239" s="588"/>
      <c r="J239" s="267"/>
      <c r="K239" s="587"/>
      <c r="L239" s="587"/>
      <c r="M239" s="582"/>
      <c r="N239" s="582"/>
      <c r="O239" s="582"/>
      <c r="P239" s="587"/>
      <c r="Q239" s="582"/>
      <c r="R239" s="583"/>
      <c r="S239" s="584"/>
      <c r="T239" s="584"/>
      <c r="U239" s="584"/>
      <c r="V239" s="584"/>
      <c r="W239" s="584"/>
      <c r="X239" s="584"/>
      <c r="Y239" s="584"/>
      <c r="Z239" s="584"/>
      <c r="AA239" s="584"/>
      <c r="AB239" s="584"/>
      <c r="AC239" s="584"/>
      <c r="AD239" s="584"/>
    </row>
    <row r="240" spans="1:30" s="585" customFormat="1" ht="18" customHeight="1" x14ac:dyDescent="0.3">
      <c r="A240" s="233">
        <v>232</v>
      </c>
      <c r="B240" s="374"/>
      <c r="C240" s="595"/>
      <c r="D240" s="596"/>
      <c r="E240" s="266" t="s">
        <v>231</v>
      </c>
      <c r="F240" s="578"/>
      <c r="G240" s="579"/>
      <c r="H240" s="579"/>
      <c r="I240" s="589"/>
      <c r="J240" s="267">
        <f>SUM(K240:R240)</f>
        <v>50285</v>
      </c>
      <c r="K240" s="435">
        <v>44500</v>
      </c>
      <c r="L240" s="435">
        <v>5785</v>
      </c>
      <c r="M240" s="582"/>
      <c r="N240" s="582"/>
      <c r="O240" s="582"/>
      <c r="P240" s="587"/>
      <c r="Q240" s="582"/>
      <c r="R240" s="583"/>
      <c r="S240" s="584"/>
      <c r="T240" s="584"/>
      <c r="U240" s="584"/>
      <c r="V240" s="584"/>
      <c r="W240" s="584"/>
      <c r="X240" s="584"/>
      <c r="Y240" s="584"/>
      <c r="Z240" s="584"/>
      <c r="AA240" s="584"/>
      <c r="AB240" s="584"/>
      <c r="AC240" s="584"/>
      <c r="AD240" s="584"/>
    </row>
    <row r="241" spans="1:30" s="585" customFormat="1" ht="18" customHeight="1" x14ac:dyDescent="0.3">
      <c r="A241" s="233">
        <v>233</v>
      </c>
      <c r="B241" s="374"/>
      <c r="C241" s="590"/>
      <c r="D241" s="586"/>
      <c r="E241" s="270" t="s">
        <v>232</v>
      </c>
      <c r="F241" s="578"/>
      <c r="G241" s="579"/>
      <c r="H241" s="579"/>
      <c r="I241" s="589"/>
      <c r="J241" s="271">
        <f>SUM(K241:R241)</f>
        <v>0</v>
      </c>
      <c r="K241" s="576"/>
      <c r="L241" s="576"/>
      <c r="M241" s="582"/>
      <c r="N241" s="582"/>
      <c r="O241" s="582"/>
      <c r="P241" s="587"/>
      <c r="Q241" s="582"/>
      <c r="R241" s="583"/>
      <c r="S241" s="584"/>
      <c r="T241" s="584"/>
      <c r="U241" s="584"/>
      <c r="V241" s="584"/>
      <c r="W241" s="584"/>
      <c r="X241" s="584"/>
      <c r="Y241" s="584"/>
      <c r="Z241" s="584"/>
      <c r="AA241" s="584"/>
      <c r="AB241" s="584"/>
      <c r="AC241" s="584"/>
      <c r="AD241" s="584"/>
    </row>
    <row r="242" spans="1:30" s="585" customFormat="1" ht="18" customHeight="1" x14ac:dyDescent="0.3">
      <c r="A242" s="233">
        <v>234</v>
      </c>
      <c r="B242" s="374"/>
      <c r="C242" s="590"/>
      <c r="D242" s="586"/>
      <c r="E242" s="266" t="s">
        <v>233</v>
      </c>
      <c r="F242" s="578"/>
      <c r="G242" s="579"/>
      <c r="H242" s="579"/>
      <c r="I242" s="589"/>
      <c r="J242" s="267">
        <f>SUM(K242:R242)</f>
        <v>50285</v>
      </c>
      <c r="K242" s="435">
        <f>SUM(K240:K241)</f>
        <v>44500</v>
      </c>
      <c r="L242" s="435">
        <f>SUM(L240:L241)</f>
        <v>5785</v>
      </c>
      <c r="M242" s="582"/>
      <c r="N242" s="582"/>
      <c r="O242" s="582"/>
      <c r="P242" s="587"/>
      <c r="Q242" s="582"/>
      <c r="R242" s="583"/>
      <c r="S242" s="584"/>
      <c r="T242" s="584"/>
      <c r="U242" s="584"/>
      <c r="V242" s="584"/>
      <c r="W242" s="584"/>
      <c r="X242" s="584"/>
      <c r="Y242" s="584"/>
      <c r="Z242" s="584"/>
      <c r="AA242" s="584"/>
      <c r="AB242" s="584"/>
      <c r="AC242" s="584"/>
      <c r="AD242" s="584"/>
    </row>
    <row r="243" spans="1:30" s="236" customFormat="1" ht="18" customHeight="1" x14ac:dyDescent="0.3">
      <c r="A243" s="233">
        <v>235</v>
      </c>
      <c r="B243" s="467"/>
      <c r="C243" s="249">
        <v>13</v>
      </c>
      <c r="D243" s="552" t="s">
        <v>321</v>
      </c>
      <c r="E243" s="597"/>
      <c r="F243" s="421"/>
      <c r="G243" s="500">
        <v>2802</v>
      </c>
      <c r="H243" s="500"/>
      <c r="I243" s="501"/>
      <c r="J243" s="407"/>
      <c r="K243" s="598"/>
      <c r="L243" s="598"/>
      <c r="M243" s="599"/>
      <c r="N243" s="599"/>
      <c r="O243" s="599"/>
      <c r="P243" s="599"/>
      <c r="Q243" s="599"/>
      <c r="R243" s="600"/>
      <c r="S243" s="424"/>
      <c r="T243" s="424"/>
      <c r="U243" s="424"/>
      <c r="V243" s="424"/>
      <c r="W243" s="424"/>
      <c r="X243" s="424"/>
      <c r="Y243" s="424"/>
      <c r="Z243" s="424"/>
      <c r="AA243" s="424"/>
      <c r="AB243" s="424"/>
      <c r="AC243" s="424"/>
      <c r="AD243" s="424"/>
    </row>
    <row r="244" spans="1:30" s="236" customFormat="1" ht="19.5" customHeight="1" x14ac:dyDescent="0.3">
      <c r="A244" s="233">
        <v>236</v>
      </c>
      <c r="B244" s="467"/>
      <c r="C244" s="249">
        <v>19</v>
      </c>
      <c r="D244" s="552" t="s">
        <v>322</v>
      </c>
      <c r="E244" s="597"/>
      <c r="F244" s="601"/>
      <c r="G244" s="500">
        <v>5982</v>
      </c>
      <c r="H244" s="500">
        <v>500</v>
      </c>
      <c r="I244" s="501">
        <v>472</v>
      </c>
      <c r="J244" s="407"/>
      <c r="K244" s="599"/>
      <c r="L244" s="599"/>
      <c r="M244" s="599"/>
      <c r="N244" s="599"/>
      <c r="O244" s="599"/>
      <c r="P244" s="599"/>
      <c r="Q244" s="599"/>
      <c r="R244" s="600"/>
      <c r="S244" s="424"/>
      <c r="T244" s="424"/>
      <c r="U244" s="424"/>
      <c r="V244" s="424"/>
      <c r="W244" s="424"/>
      <c r="X244" s="424"/>
      <c r="Y244" s="424"/>
      <c r="Z244" s="424"/>
      <c r="AA244" s="424"/>
      <c r="AB244" s="424"/>
      <c r="AC244" s="424"/>
      <c r="AD244" s="424"/>
    </row>
    <row r="245" spans="1:30" s="236" customFormat="1" ht="19.5" customHeight="1" x14ac:dyDescent="0.3">
      <c r="A245" s="233">
        <v>237</v>
      </c>
      <c r="B245" s="467"/>
      <c r="C245" s="249">
        <v>20</v>
      </c>
      <c r="D245" s="552" t="s">
        <v>323</v>
      </c>
      <c r="E245" s="597"/>
      <c r="F245" s="601"/>
      <c r="G245" s="500">
        <v>30169</v>
      </c>
      <c r="H245" s="500">
        <v>16544</v>
      </c>
      <c r="I245" s="501">
        <v>16544</v>
      </c>
      <c r="J245" s="407"/>
      <c r="K245" s="599"/>
      <c r="L245" s="599"/>
      <c r="M245" s="599"/>
      <c r="N245" s="599"/>
      <c r="O245" s="599"/>
      <c r="P245" s="599"/>
      <c r="Q245" s="599"/>
      <c r="R245" s="600"/>
      <c r="S245" s="424"/>
      <c r="T245" s="424"/>
      <c r="U245" s="424"/>
      <c r="V245" s="424"/>
      <c r="W245" s="424"/>
      <c r="X245" s="424"/>
      <c r="Y245" s="424"/>
      <c r="Z245" s="424"/>
      <c r="AA245" s="424"/>
      <c r="AB245" s="424"/>
      <c r="AC245" s="424"/>
      <c r="AD245" s="424"/>
    </row>
    <row r="246" spans="1:30" s="330" customFormat="1" ht="30" customHeight="1" x14ac:dyDescent="0.3">
      <c r="A246" s="233">
        <v>238</v>
      </c>
      <c r="B246" s="467"/>
      <c r="C246" s="329">
        <v>21</v>
      </c>
      <c r="D246" s="1935" t="s">
        <v>324</v>
      </c>
      <c r="E246" s="1935"/>
      <c r="F246" s="421"/>
      <c r="G246" s="500">
        <v>6022</v>
      </c>
      <c r="H246" s="500">
        <v>629</v>
      </c>
      <c r="I246" s="501">
        <v>531</v>
      </c>
      <c r="J246" s="407"/>
      <c r="K246" s="602"/>
      <c r="L246" s="602"/>
      <c r="M246" s="599"/>
      <c r="N246" s="599"/>
      <c r="O246" s="599"/>
      <c r="P246" s="599"/>
      <c r="Q246" s="599"/>
      <c r="R246" s="600"/>
      <c r="S246" s="422"/>
      <c r="T246" s="422"/>
      <c r="U246" s="422"/>
      <c r="V246" s="422"/>
      <c r="W246" s="422"/>
      <c r="X246" s="422"/>
      <c r="Y246" s="422"/>
      <c r="Z246" s="422"/>
      <c r="AA246" s="422"/>
      <c r="AB246" s="422"/>
      <c r="AC246" s="422"/>
      <c r="AD246" s="422"/>
    </row>
    <row r="247" spans="1:30" s="236" customFormat="1" ht="19.5" customHeight="1" x14ac:dyDescent="0.3">
      <c r="A247" s="233">
        <v>239</v>
      </c>
      <c r="B247" s="467"/>
      <c r="C247" s="249">
        <v>22</v>
      </c>
      <c r="D247" s="1935" t="s">
        <v>325</v>
      </c>
      <c r="E247" s="1935"/>
      <c r="F247" s="601"/>
      <c r="G247" s="500">
        <v>7197</v>
      </c>
      <c r="H247" s="500">
        <v>128</v>
      </c>
      <c r="I247" s="501"/>
      <c r="J247" s="407"/>
      <c r="K247" s="598"/>
      <c r="L247" s="598"/>
      <c r="M247" s="599"/>
      <c r="N247" s="599"/>
      <c r="O247" s="599"/>
      <c r="P247" s="599"/>
      <c r="Q247" s="599"/>
      <c r="R247" s="600"/>
      <c r="S247" s="424"/>
      <c r="T247" s="424"/>
      <c r="U247" s="424"/>
      <c r="V247" s="424"/>
      <c r="W247" s="424"/>
      <c r="X247" s="424"/>
      <c r="Y247" s="424"/>
      <c r="Z247" s="424"/>
      <c r="AA247" s="424"/>
      <c r="AB247" s="424"/>
      <c r="AC247" s="424"/>
      <c r="AD247" s="424"/>
    </row>
    <row r="248" spans="1:30" s="236" customFormat="1" ht="19.5" customHeight="1" x14ac:dyDescent="0.3">
      <c r="A248" s="233">
        <v>240</v>
      </c>
      <c r="B248" s="467"/>
      <c r="C248" s="249">
        <v>25</v>
      </c>
      <c r="D248" s="1952" t="s">
        <v>326</v>
      </c>
      <c r="E248" s="1952"/>
      <c r="F248" s="421"/>
      <c r="G248" s="500">
        <v>5132</v>
      </c>
      <c r="H248" s="500"/>
      <c r="I248" s="501"/>
      <c r="J248" s="407"/>
      <c r="K248" s="599"/>
      <c r="L248" s="599"/>
      <c r="M248" s="599"/>
      <c r="N248" s="599"/>
      <c r="O248" s="599"/>
      <c r="P248" s="599"/>
      <c r="Q248" s="599"/>
      <c r="R248" s="600"/>
      <c r="S248" s="424"/>
      <c r="T248" s="424"/>
      <c r="U248" s="424"/>
      <c r="V248" s="424"/>
      <c r="W248" s="424"/>
      <c r="X248" s="424"/>
      <c r="Y248" s="424"/>
      <c r="Z248" s="424"/>
      <c r="AA248" s="424"/>
      <c r="AB248" s="424"/>
      <c r="AC248" s="424"/>
      <c r="AD248" s="424"/>
    </row>
    <row r="249" spans="1:30" s="236" customFormat="1" ht="19.5" customHeight="1" x14ac:dyDescent="0.3">
      <c r="A249" s="233">
        <v>241</v>
      </c>
      <c r="B249" s="467"/>
      <c r="C249" s="249">
        <v>27</v>
      </c>
      <c r="D249" s="1952" t="s">
        <v>327</v>
      </c>
      <c r="E249" s="1952"/>
      <c r="F249" s="421"/>
      <c r="G249" s="500">
        <v>9209</v>
      </c>
      <c r="H249" s="500">
        <v>4591</v>
      </c>
      <c r="I249" s="501">
        <v>5294</v>
      </c>
      <c r="J249" s="407"/>
      <c r="K249" s="599"/>
      <c r="L249" s="599"/>
      <c r="M249" s="599"/>
      <c r="N249" s="599"/>
      <c r="O249" s="599"/>
      <c r="P249" s="599"/>
      <c r="Q249" s="599"/>
      <c r="R249" s="600"/>
      <c r="S249" s="424"/>
      <c r="T249" s="424"/>
      <c r="U249" s="424"/>
      <c r="V249" s="424"/>
      <c r="W249" s="424"/>
      <c r="X249" s="424"/>
      <c r="Y249" s="424"/>
      <c r="Z249" s="424"/>
      <c r="AA249" s="424"/>
      <c r="AB249" s="424"/>
      <c r="AC249" s="424"/>
      <c r="AD249" s="424"/>
    </row>
    <row r="250" spans="1:30" s="236" customFormat="1" ht="19.5" customHeight="1" x14ac:dyDescent="0.3">
      <c r="A250" s="233">
        <v>242</v>
      </c>
      <c r="B250" s="467"/>
      <c r="C250" s="249">
        <v>28</v>
      </c>
      <c r="D250" s="1952" t="s">
        <v>328</v>
      </c>
      <c r="E250" s="1952"/>
      <c r="F250" s="421"/>
      <c r="G250" s="500">
        <v>15363</v>
      </c>
      <c r="H250" s="500">
        <v>6569</v>
      </c>
      <c r="I250" s="501">
        <v>7425</v>
      </c>
      <c r="J250" s="407"/>
      <c r="K250" s="598"/>
      <c r="L250" s="598"/>
      <c r="M250" s="599"/>
      <c r="N250" s="599"/>
      <c r="O250" s="599"/>
      <c r="P250" s="599"/>
      <c r="Q250" s="599"/>
      <c r="R250" s="600"/>
      <c r="S250" s="424"/>
      <c r="T250" s="424"/>
      <c r="U250" s="424"/>
      <c r="V250" s="424"/>
      <c r="W250" s="424"/>
      <c r="X250" s="424"/>
      <c r="Y250" s="424"/>
      <c r="Z250" s="424"/>
      <c r="AA250" s="424"/>
      <c r="AB250" s="424"/>
      <c r="AC250" s="424"/>
      <c r="AD250" s="424"/>
    </row>
    <row r="251" spans="1:30" s="236" customFormat="1" ht="19.5" customHeight="1" x14ac:dyDescent="0.3">
      <c r="A251" s="233">
        <v>243</v>
      </c>
      <c r="B251" s="467"/>
      <c r="C251" s="249">
        <v>40</v>
      </c>
      <c r="D251" s="1952" t="s">
        <v>329</v>
      </c>
      <c r="E251" s="1952"/>
      <c r="F251" s="421"/>
      <c r="G251" s="500">
        <v>32606</v>
      </c>
      <c r="H251" s="500"/>
      <c r="I251" s="501"/>
      <c r="J251" s="407"/>
      <c r="K251" s="599"/>
      <c r="L251" s="599"/>
      <c r="M251" s="599"/>
      <c r="N251" s="599"/>
      <c r="O251" s="599"/>
      <c r="P251" s="599"/>
      <c r="Q251" s="599"/>
      <c r="R251" s="600"/>
      <c r="S251" s="424"/>
      <c r="T251" s="424"/>
      <c r="U251" s="424"/>
      <c r="V251" s="424"/>
      <c r="W251" s="424"/>
      <c r="X251" s="424"/>
      <c r="Y251" s="424"/>
      <c r="Z251" s="424"/>
      <c r="AA251" s="424"/>
      <c r="AB251" s="424"/>
      <c r="AC251" s="424"/>
      <c r="AD251" s="424"/>
    </row>
    <row r="252" spans="1:30" s="236" customFormat="1" ht="19.5" customHeight="1" x14ac:dyDescent="0.3">
      <c r="A252" s="233">
        <v>244</v>
      </c>
      <c r="B252" s="467"/>
      <c r="C252" s="249">
        <v>41</v>
      </c>
      <c r="D252" s="1952" t="s">
        <v>330</v>
      </c>
      <c r="E252" s="1952"/>
      <c r="F252" s="421"/>
      <c r="G252" s="500">
        <v>2887</v>
      </c>
      <c r="H252" s="500"/>
      <c r="I252" s="501"/>
      <c r="J252" s="407"/>
      <c r="K252" s="599"/>
      <c r="L252" s="599"/>
      <c r="M252" s="599"/>
      <c r="N252" s="599"/>
      <c r="O252" s="599"/>
      <c r="P252" s="599"/>
      <c r="Q252" s="599"/>
      <c r="R252" s="600"/>
      <c r="S252" s="424"/>
      <c r="T252" s="424"/>
      <c r="U252" s="424"/>
      <c r="V252" s="424"/>
      <c r="W252" s="424"/>
      <c r="X252" s="424"/>
      <c r="Y252" s="424"/>
      <c r="Z252" s="424"/>
      <c r="AA252" s="424"/>
      <c r="AB252" s="424"/>
      <c r="AC252" s="424"/>
      <c r="AD252" s="424"/>
    </row>
    <row r="253" spans="1:30" s="236" customFormat="1" ht="19.5" customHeight="1" x14ac:dyDescent="0.3">
      <c r="A253" s="233">
        <v>245</v>
      </c>
      <c r="B253" s="467"/>
      <c r="C253" s="249">
        <v>42</v>
      </c>
      <c r="D253" s="1952" t="s">
        <v>331</v>
      </c>
      <c r="E253" s="1952"/>
      <c r="F253" s="421"/>
      <c r="G253" s="500">
        <v>336</v>
      </c>
      <c r="H253" s="500"/>
      <c r="I253" s="501"/>
      <c r="J253" s="407"/>
      <c r="K253" s="599"/>
      <c r="L253" s="599"/>
      <c r="M253" s="599"/>
      <c r="N253" s="599"/>
      <c r="O253" s="599"/>
      <c r="P253" s="599"/>
      <c r="Q253" s="599"/>
      <c r="R253" s="600"/>
      <c r="S253" s="424"/>
      <c r="T253" s="424"/>
      <c r="U253" s="424"/>
      <c r="V253" s="424"/>
      <c r="W253" s="424"/>
      <c r="X253" s="424"/>
      <c r="Y253" s="424"/>
      <c r="Z253" s="424"/>
      <c r="AA253" s="424"/>
      <c r="AB253" s="424"/>
      <c r="AC253" s="424"/>
      <c r="AD253" s="424"/>
    </row>
    <row r="254" spans="1:30" s="236" customFormat="1" ht="19.5" customHeight="1" x14ac:dyDescent="0.3">
      <c r="A254" s="233">
        <v>246</v>
      </c>
      <c r="B254" s="467"/>
      <c r="C254" s="249">
        <v>43</v>
      </c>
      <c r="D254" s="1952" t="s">
        <v>332</v>
      </c>
      <c r="E254" s="1952"/>
      <c r="F254" s="421"/>
      <c r="G254" s="500">
        <v>20000</v>
      </c>
      <c r="H254" s="500"/>
      <c r="I254" s="501"/>
      <c r="J254" s="407"/>
      <c r="K254" s="599"/>
      <c r="L254" s="599"/>
      <c r="M254" s="599"/>
      <c r="N254" s="599"/>
      <c r="O254" s="599"/>
      <c r="P254" s="599"/>
      <c r="Q254" s="599"/>
      <c r="R254" s="600"/>
      <c r="S254" s="424"/>
      <c r="T254" s="424"/>
      <c r="U254" s="424"/>
      <c r="V254" s="424"/>
      <c r="W254" s="424"/>
      <c r="X254" s="424"/>
      <c r="Y254" s="424"/>
      <c r="Z254" s="424"/>
      <c r="AA254" s="424"/>
      <c r="AB254" s="424"/>
      <c r="AC254" s="424"/>
      <c r="AD254" s="424"/>
    </row>
    <row r="255" spans="1:30" s="236" customFormat="1" ht="19.5" customHeight="1" x14ac:dyDescent="0.3">
      <c r="A255" s="233">
        <v>247</v>
      </c>
      <c r="B255" s="467"/>
      <c r="C255" s="249">
        <v>44</v>
      </c>
      <c r="D255" s="1952" t="s">
        <v>333</v>
      </c>
      <c r="E255" s="1952"/>
      <c r="F255" s="421"/>
      <c r="G255" s="500">
        <v>255</v>
      </c>
      <c r="H255" s="500"/>
      <c r="I255" s="501"/>
      <c r="J255" s="407"/>
      <c r="K255" s="599"/>
      <c r="L255" s="599"/>
      <c r="M255" s="599"/>
      <c r="N255" s="599"/>
      <c r="O255" s="599"/>
      <c r="P255" s="599"/>
      <c r="Q255" s="599"/>
      <c r="R255" s="600"/>
      <c r="S255" s="424"/>
      <c r="T255" s="424"/>
      <c r="U255" s="424"/>
      <c r="V255" s="424"/>
      <c r="W255" s="424"/>
      <c r="X255" s="424"/>
      <c r="Y255" s="424"/>
      <c r="Z255" s="424"/>
      <c r="AA255" s="424"/>
      <c r="AB255" s="424"/>
      <c r="AC255" s="424"/>
      <c r="AD255" s="424"/>
    </row>
    <row r="256" spans="1:30" s="236" customFormat="1" ht="19.5" customHeight="1" x14ac:dyDescent="0.3">
      <c r="A256" s="233">
        <v>248</v>
      </c>
      <c r="B256" s="467"/>
      <c r="C256" s="249">
        <v>45</v>
      </c>
      <c r="D256" s="1952" t="s">
        <v>334</v>
      </c>
      <c r="E256" s="1952"/>
      <c r="F256" s="421"/>
      <c r="G256" s="500">
        <v>4967</v>
      </c>
      <c r="H256" s="500">
        <v>99</v>
      </c>
      <c r="I256" s="501">
        <v>2640</v>
      </c>
      <c r="J256" s="407"/>
      <c r="K256" s="599"/>
      <c r="L256" s="599"/>
      <c r="M256" s="599"/>
      <c r="N256" s="599"/>
      <c r="O256" s="599"/>
      <c r="P256" s="599"/>
      <c r="Q256" s="599"/>
      <c r="R256" s="600"/>
      <c r="S256" s="424"/>
      <c r="T256" s="424"/>
      <c r="U256" s="424"/>
      <c r="V256" s="424"/>
      <c r="W256" s="424"/>
      <c r="X256" s="424"/>
      <c r="Y256" s="424"/>
      <c r="Z256" s="424"/>
      <c r="AA256" s="424"/>
      <c r="AB256" s="424"/>
      <c r="AC256" s="424"/>
      <c r="AD256" s="424"/>
    </row>
    <row r="257" spans="1:30" s="585" customFormat="1" ht="19.5" customHeight="1" x14ac:dyDescent="0.3">
      <c r="A257" s="233">
        <v>249</v>
      </c>
      <c r="B257" s="374"/>
      <c r="C257" s="249">
        <v>46</v>
      </c>
      <c r="D257" s="1952" t="s">
        <v>335</v>
      </c>
      <c r="E257" s="1952"/>
      <c r="F257" s="578"/>
      <c r="G257" s="579">
        <v>1748</v>
      </c>
      <c r="H257" s="579">
        <v>1552</v>
      </c>
      <c r="I257" s="580">
        <v>1553</v>
      </c>
      <c r="J257" s="581"/>
      <c r="K257" s="582"/>
      <c r="L257" s="582"/>
      <c r="M257" s="582"/>
      <c r="N257" s="582"/>
      <c r="O257" s="582"/>
      <c r="P257" s="582"/>
      <c r="Q257" s="582"/>
      <c r="R257" s="583"/>
      <c r="S257" s="584"/>
      <c r="T257" s="584"/>
      <c r="U257" s="584"/>
      <c r="V257" s="584"/>
      <c r="W257" s="584"/>
      <c r="X257" s="584"/>
      <c r="Y257" s="584"/>
      <c r="Z257" s="584"/>
      <c r="AA257" s="584"/>
      <c r="AB257" s="584"/>
      <c r="AC257" s="584"/>
      <c r="AD257" s="584"/>
    </row>
    <row r="258" spans="1:30" s="585" customFormat="1" ht="19.5" customHeight="1" x14ac:dyDescent="0.3">
      <c r="A258" s="233">
        <v>250</v>
      </c>
      <c r="B258" s="374"/>
      <c r="C258" s="249">
        <v>47</v>
      </c>
      <c r="D258" s="1952" t="s">
        <v>336</v>
      </c>
      <c r="E258" s="1952"/>
      <c r="F258" s="578"/>
      <c r="G258" s="579">
        <v>1345</v>
      </c>
      <c r="H258" s="579">
        <v>2020</v>
      </c>
      <c r="I258" s="580">
        <v>4249</v>
      </c>
      <c r="J258" s="581"/>
      <c r="K258" s="582"/>
      <c r="L258" s="582"/>
      <c r="M258" s="582"/>
      <c r="N258" s="582"/>
      <c r="O258" s="582"/>
      <c r="P258" s="582"/>
      <c r="Q258" s="582"/>
      <c r="R258" s="583"/>
      <c r="S258" s="584"/>
      <c r="T258" s="584"/>
      <c r="U258" s="584"/>
      <c r="V258" s="584"/>
      <c r="W258" s="584"/>
      <c r="X258" s="584"/>
      <c r="Y258" s="584"/>
      <c r="Z258" s="584"/>
      <c r="AA258" s="584"/>
      <c r="AB258" s="584"/>
      <c r="AC258" s="584"/>
      <c r="AD258" s="584"/>
    </row>
    <row r="259" spans="1:30" s="585" customFormat="1" ht="19.5" customHeight="1" x14ac:dyDescent="0.3">
      <c r="A259" s="233">
        <v>251</v>
      </c>
      <c r="B259" s="374"/>
      <c r="C259" s="249">
        <v>48</v>
      </c>
      <c r="D259" s="1952" t="s">
        <v>337</v>
      </c>
      <c r="E259" s="1952"/>
      <c r="F259" s="578"/>
      <c r="G259" s="579">
        <v>219</v>
      </c>
      <c r="H259" s="579"/>
      <c r="I259" s="580"/>
      <c r="J259" s="581"/>
      <c r="K259" s="582"/>
      <c r="L259" s="582"/>
      <c r="M259" s="582"/>
      <c r="N259" s="582"/>
      <c r="O259" s="582"/>
      <c r="P259" s="582"/>
      <c r="Q259" s="582"/>
      <c r="R259" s="583"/>
      <c r="S259" s="584"/>
      <c r="T259" s="584"/>
      <c r="U259" s="584"/>
      <c r="V259" s="584"/>
      <c r="W259" s="584"/>
      <c r="X259" s="584"/>
      <c r="Y259" s="584"/>
      <c r="Z259" s="584"/>
      <c r="AA259" s="584"/>
      <c r="AB259" s="584"/>
      <c r="AC259" s="584"/>
      <c r="AD259" s="584"/>
    </row>
    <row r="260" spans="1:30" s="585" customFormat="1" ht="19.5" customHeight="1" x14ac:dyDescent="0.3">
      <c r="A260" s="233">
        <v>252</v>
      </c>
      <c r="B260" s="374"/>
      <c r="C260" s="249">
        <v>49</v>
      </c>
      <c r="D260" s="1952" t="s">
        <v>338</v>
      </c>
      <c r="E260" s="1952"/>
      <c r="F260" s="578"/>
      <c r="G260" s="579">
        <v>1050</v>
      </c>
      <c r="H260" s="579">
        <v>1391</v>
      </c>
      <c r="I260" s="580">
        <v>1433</v>
      </c>
      <c r="J260" s="581"/>
      <c r="K260" s="582"/>
      <c r="L260" s="582"/>
      <c r="M260" s="582"/>
      <c r="N260" s="582"/>
      <c r="O260" s="582"/>
      <c r="P260" s="582"/>
      <c r="Q260" s="582"/>
      <c r="R260" s="583"/>
      <c r="S260" s="584"/>
      <c r="T260" s="584"/>
      <c r="U260" s="584"/>
      <c r="V260" s="584"/>
      <c r="W260" s="584"/>
      <c r="X260" s="584"/>
      <c r="Y260" s="584"/>
      <c r="Z260" s="584"/>
      <c r="AA260" s="584"/>
      <c r="AB260" s="584"/>
      <c r="AC260" s="584"/>
      <c r="AD260" s="584"/>
    </row>
    <row r="261" spans="1:30" s="585" customFormat="1" ht="19.5" customHeight="1" x14ac:dyDescent="0.3">
      <c r="A261" s="233">
        <v>253</v>
      </c>
      <c r="B261" s="374"/>
      <c r="C261" s="249">
        <v>50</v>
      </c>
      <c r="D261" s="1952" t="s">
        <v>339</v>
      </c>
      <c r="E261" s="1952"/>
      <c r="F261" s="578"/>
      <c r="G261" s="579">
        <v>331</v>
      </c>
      <c r="H261" s="579">
        <v>364</v>
      </c>
      <c r="I261" s="580">
        <v>365</v>
      </c>
      <c r="J261" s="581"/>
      <c r="K261" s="582"/>
      <c r="L261" s="582"/>
      <c r="M261" s="582"/>
      <c r="N261" s="582"/>
      <c r="O261" s="582"/>
      <c r="P261" s="582"/>
      <c r="Q261" s="582"/>
      <c r="R261" s="583"/>
      <c r="S261" s="584"/>
      <c r="T261" s="584"/>
      <c r="U261" s="584"/>
      <c r="V261" s="584"/>
      <c r="W261" s="584"/>
      <c r="X261" s="584"/>
      <c r="Y261" s="584"/>
      <c r="Z261" s="584"/>
      <c r="AA261" s="584"/>
      <c r="AB261" s="584"/>
      <c r="AC261" s="584"/>
      <c r="AD261" s="584"/>
    </row>
    <row r="262" spans="1:30" s="585" customFormat="1" ht="19.5" customHeight="1" x14ac:dyDescent="0.3">
      <c r="A262" s="233">
        <v>254</v>
      </c>
      <c r="B262" s="374"/>
      <c r="C262" s="249">
        <v>51</v>
      </c>
      <c r="D262" s="1952" t="s">
        <v>340</v>
      </c>
      <c r="E262" s="1952"/>
      <c r="F262" s="578"/>
      <c r="G262" s="579">
        <v>300</v>
      </c>
      <c r="H262" s="579"/>
      <c r="I262" s="580"/>
      <c r="J262" s="581"/>
      <c r="K262" s="582"/>
      <c r="L262" s="582"/>
      <c r="M262" s="582"/>
      <c r="N262" s="582"/>
      <c r="O262" s="582"/>
      <c r="P262" s="582"/>
      <c r="Q262" s="582"/>
      <c r="R262" s="583"/>
      <c r="S262" s="584"/>
      <c r="T262" s="584"/>
      <c r="U262" s="584"/>
      <c r="V262" s="584"/>
      <c r="W262" s="584"/>
      <c r="X262" s="584"/>
      <c r="Y262" s="584"/>
      <c r="Z262" s="584"/>
      <c r="AA262" s="584"/>
      <c r="AB262" s="584"/>
      <c r="AC262" s="584"/>
      <c r="AD262" s="584"/>
    </row>
    <row r="263" spans="1:30" s="585" customFormat="1" ht="19.5" customHeight="1" x14ac:dyDescent="0.3">
      <c r="A263" s="233">
        <v>255</v>
      </c>
      <c r="B263" s="374"/>
      <c r="C263" s="249">
        <v>52</v>
      </c>
      <c r="D263" s="1952" t="s">
        <v>341</v>
      </c>
      <c r="E263" s="1952"/>
      <c r="F263" s="578"/>
      <c r="G263" s="579">
        <v>692</v>
      </c>
      <c r="H263" s="579">
        <v>908</v>
      </c>
      <c r="I263" s="580">
        <v>908</v>
      </c>
      <c r="J263" s="581"/>
      <c r="K263" s="582"/>
      <c r="L263" s="582"/>
      <c r="M263" s="582"/>
      <c r="N263" s="582"/>
      <c r="O263" s="582"/>
      <c r="P263" s="582"/>
      <c r="Q263" s="582"/>
      <c r="R263" s="583"/>
      <c r="S263" s="584"/>
      <c r="T263" s="584"/>
      <c r="U263" s="584"/>
      <c r="V263" s="584"/>
      <c r="W263" s="584"/>
      <c r="X263" s="584"/>
      <c r="Y263" s="584"/>
      <c r="Z263" s="584"/>
      <c r="AA263" s="584"/>
      <c r="AB263" s="584"/>
      <c r="AC263" s="584"/>
      <c r="AD263" s="584"/>
    </row>
    <row r="264" spans="1:30" s="585" customFormat="1" ht="19.5" customHeight="1" x14ac:dyDescent="0.3">
      <c r="A264" s="233">
        <v>256</v>
      </c>
      <c r="B264" s="374"/>
      <c r="C264" s="249">
        <v>54</v>
      </c>
      <c r="D264" s="1952" t="s">
        <v>303</v>
      </c>
      <c r="E264" s="1952"/>
      <c r="F264" s="578"/>
      <c r="G264" s="579">
        <v>114</v>
      </c>
      <c r="H264" s="579">
        <v>833</v>
      </c>
      <c r="I264" s="580">
        <v>803</v>
      </c>
      <c r="J264" s="581"/>
      <c r="K264" s="582"/>
      <c r="L264" s="582"/>
      <c r="M264" s="582"/>
      <c r="N264" s="582"/>
      <c r="O264" s="582"/>
      <c r="P264" s="582"/>
      <c r="Q264" s="582"/>
      <c r="R264" s="583"/>
      <c r="S264" s="584"/>
      <c r="T264" s="584"/>
      <c r="U264" s="584"/>
      <c r="V264" s="584"/>
      <c r="W264" s="584"/>
      <c r="X264" s="584"/>
      <c r="Y264" s="584"/>
      <c r="Z264" s="584"/>
      <c r="AA264" s="584"/>
      <c r="AB264" s="584"/>
      <c r="AC264" s="584"/>
      <c r="AD264" s="584"/>
    </row>
    <row r="265" spans="1:30" s="585" customFormat="1" ht="19.5" customHeight="1" x14ac:dyDescent="0.3">
      <c r="A265" s="233">
        <v>257</v>
      </c>
      <c r="B265" s="374"/>
      <c r="C265" s="249">
        <v>55</v>
      </c>
      <c r="D265" s="1952" t="s">
        <v>342</v>
      </c>
      <c r="E265" s="1952"/>
      <c r="F265" s="578"/>
      <c r="G265" s="579">
        <v>35</v>
      </c>
      <c r="H265" s="579">
        <v>730</v>
      </c>
      <c r="I265" s="580">
        <v>730</v>
      </c>
      <c r="J265" s="581"/>
      <c r="K265" s="582"/>
      <c r="L265" s="582"/>
      <c r="M265" s="582"/>
      <c r="N265" s="582"/>
      <c r="O265" s="582"/>
      <c r="P265" s="582"/>
      <c r="Q265" s="582"/>
      <c r="R265" s="583"/>
      <c r="S265" s="584"/>
      <c r="T265" s="584"/>
      <c r="U265" s="584"/>
      <c r="V265" s="584"/>
      <c r="W265" s="584"/>
      <c r="X265" s="584"/>
      <c r="Y265" s="584"/>
      <c r="Z265" s="584"/>
      <c r="AA265" s="584"/>
      <c r="AB265" s="584"/>
      <c r="AC265" s="584"/>
      <c r="AD265" s="584"/>
    </row>
    <row r="266" spans="1:30" s="585" customFormat="1" ht="19.5" customHeight="1" x14ac:dyDescent="0.3">
      <c r="A266" s="233">
        <v>258</v>
      </c>
      <c r="B266" s="374"/>
      <c r="C266" s="249">
        <v>56</v>
      </c>
      <c r="D266" s="1952" t="s">
        <v>343</v>
      </c>
      <c r="E266" s="1952"/>
      <c r="F266" s="578"/>
      <c r="G266" s="579"/>
      <c r="H266" s="579">
        <v>1900</v>
      </c>
      <c r="I266" s="580">
        <v>1900</v>
      </c>
      <c r="J266" s="581"/>
      <c r="K266" s="582"/>
      <c r="L266" s="582"/>
      <c r="M266" s="582"/>
      <c r="N266" s="582"/>
      <c r="O266" s="582"/>
      <c r="P266" s="582"/>
      <c r="Q266" s="582"/>
      <c r="R266" s="583"/>
      <c r="S266" s="584"/>
      <c r="T266" s="584"/>
      <c r="U266" s="584"/>
      <c r="V266" s="584"/>
      <c r="W266" s="584"/>
      <c r="X266" s="584"/>
      <c r="Y266" s="584"/>
      <c r="Z266" s="584"/>
      <c r="AA266" s="584"/>
      <c r="AB266" s="584"/>
      <c r="AC266" s="584"/>
      <c r="AD266" s="584"/>
    </row>
    <row r="267" spans="1:30" s="585" customFormat="1" ht="19.5" customHeight="1" x14ac:dyDescent="0.3">
      <c r="A267" s="233">
        <v>259</v>
      </c>
      <c r="B267" s="374"/>
      <c r="C267" s="249">
        <v>57</v>
      </c>
      <c r="D267" s="1952" t="s">
        <v>344</v>
      </c>
      <c r="E267" s="1952"/>
      <c r="F267" s="578"/>
      <c r="G267" s="579"/>
      <c r="H267" s="579">
        <v>600</v>
      </c>
      <c r="I267" s="580">
        <v>435</v>
      </c>
      <c r="J267" s="581"/>
      <c r="K267" s="582"/>
      <c r="L267" s="582"/>
      <c r="M267" s="582"/>
      <c r="N267" s="582"/>
      <c r="O267" s="582"/>
      <c r="P267" s="582"/>
      <c r="Q267" s="582"/>
      <c r="R267" s="583"/>
      <c r="S267" s="584"/>
      <c r="T267" s="584"/>
      <c r="U267" s="584"/>
      <c r="V267" s="584"/>
      <c r="W267" s="584"/>
      <c r="X267" s="584"/>
      <c r="Y267" s="584"/>
      <c r="Z267" s="584"/>
      <c r="AA267" s="584"/>
      <c r="AB267" s="584"/>
      <c r="AC267" s="584"/>
      <c r="AD267" s="584"/>
    </row>
    <row r="268" spans="1:30" s="585" customFormat="1" ht="19.5" customHeight="1" x14ac:dyDescent="0.3">
      <c r="A268" s="233">
        <v>260</v>
      </c>
      <c r="B268" s="374"/>
      <c r="C268" s="249">
        <v>58</v>
      </c>
      <c r="D268" s="1952" t="s">
        <v>345</v>
      </c>
      <c r="E268" s="1952"/>
      <c r="F268" s="578"/>
      <c r="G268" s="579"/>
      <c r="H268" s="579">
        <v>690</v>
      </c>
      <c r="I268" s="580">
        <v>1466</v>
      </c>
      <c r="J268" s="581"/>
      <c r="K268" s="582"/>
      <c r="L268" s="582"/>
      <c r="M268" s="582"/>
      <c r="N268" s="582"/>
      <c r="O268" s="582"/>
      <c r="P268" s="582"/>
      <c r="Q268" s="582"/>
      <c r="R268" s="583"/>
      <c r="S268" s="584"/>
      <c r="T268" s="584"/>
      <c r="U268" s="584"/>
      <c r="V268" s="584"/>
      <c r="W268" s="584"/>
      <c r="X268" s="584"/>
      <c r="Y268" s="584"/>
      <c r="Z268" s="584"/>
      <c r="AA268" s="584"/>
      <c r="AB268" s="584"/>
      <c r="AC268" s="584"/>
      <c r="AD268" s="584"/>
    </row>
    <row r="269" spans="1:30" s="585" customFormat="1" ht="19.5" customHeight="1" x14ac:dyDescent="0.3">
      <c r="A269" s="233">
        <v>261</v>
      </c>
      <c r="B269" s="374"/>
      <c r="C269" s="249">
        <v>63</v>
      </c>
      <c r="D269" s="1952" t="s">
        <v>346</v>
      </c>
      <c r="E269" s="1952"/>
      <c r="F269" s="578"/>
      <c r="G269" s="579"/>
      <c r="H269" s="579"/>
      <c r="I269" s="580">
        <v>1950</v>
      </c>
      <c r="J269" s="581"/>
      <c r="K269" s="582"/>
      <c r="L269" s="582"/>
      <c r="M269" s="582"/>
      <c r="N269" s="582"/>
      <c r="O269" s="582"/>
      <c r="P269" s="582"/>
      <c r="Q269" s="582"/>
      <c r="R269" s="583"/>
      <c r="S269" s="584"/>
      <c r="T269" s="584"/>
      <c r="U269" s="584"/>
      <c r="V269" s="584"/>
      <c r="W269" s="584"/>
      <c r="X269" s="584"/>
      <c r="Y269" s="584"/>
      <c r="Z269" s="584"/>
      <c r="AA269" s="584"/>
      <c r="AB269" s="584"/>
      <c r="AC269" s="584"/>
      <c r="AD269" s="584"/>
    </row>
    <row r="270" spans="1:30" s="585" customFormat="1" ht="19.5" customHeight="1" x14ac:dyDescent="0.3">
      <c r="A270" s="233">
        <v>262</v>
      </c>
      <c r="B270" s="374"/>
      <c r="C270" s="249">
        <v>65</v>
      </c>
      <c r="D270" s="1952" t="s">
        <v>347</v>
      </c>
      <c r="E270" s="1952"/>
      <c r="F270" s="578"/>
      <c r="G270" s="579"/>
      <c r="H270" s="579"/>
      <c r="I270" s="580">
        <v>1000</v>
      </c>
      <c r="J270" s="581"/>
      <c r="K270" s="582"/>
      <c r="L270" s="582"/>
      <c r="M270" s="582"/>
      <c r="N270" s="582"/>
      <c r="O270" s="582"/>
      <c r="P270" s="582"/>
      <c r="Q270" s="582"/>
      <c r="R270" s="583"/>
      <c r="S270" s="584"/>
      <c r="T270" s="584"/>
      <c r="U270" s="584"/>
      <c r="V270" s="584"/>
      <c r="W270" s="584"/>
      <c r="X270" s="584"/>
      <c r="Y270" s="584"/>
      <c r="Z270" s="584"/>
      <c r="AA270" s="584"/>
      <c r="AB270" s="584"/>
      <c r="AC270" s="584"/>
      <c r="AD270" s="584"/>
    </row>
    <row r="271" spans="1:30" s="585" customFormat="1" ht="19.5" customHeight="1" x14ac:dyDescent="0.3">
      <c r="A271" s="233">
        <v>263</v>
      </c>
      <c r="B271" s="374"/>
      <c r="C271" s="249">
        <v>67</v>
      </c>
      <c r="D271" s="1952" t="s">
        <v>309</v>
      </c>
      <c r="E271" s="1952"/>
      <c r="F271" s="578"/>
      <c r="G271" s="579"/>
      <c r="H271" s="579"/>
      <c r="I271" s="580">
        <v>129</v>
      </c>
      <c r="J271" s="581"/>
      <c r="K271" s="582"/>
      <c r="L271" s="582"/>
      <c r="M271" s="582"/>
      <c r="N271" s="582"/>
      <c r="O271" s="582"/>
      <c r="P271" s="582"/>
      <c r="Q271" s="582"/>
      <c r="R271" s="583"/>
      <c r="S271" s="584"/>
      <c r="T271" s="584"/>
      <c r="U271" s="584"/>
      <c r="V271" s="584"/>
      <c r="W271" s="584"/>
      <c r="X271" s="584"/>
      <c r="Y271" s="584"/>
      <c r="Z271" s="584"/>
      <c r="AA271" s="584"/>
      <c r="AB271" s="584"/>
      <c r="AC271" s="584"/>
      <c r="AD271" s="584"/>
    </row>
    <row r="272" spans="1:30" s="585" customFormat="1" ht="19.5" customHeight="1" x14ac:dyDescent="0.3">
      <c r="A272" s="233">
        <v>264</v>
      </c>
      <c r="B272" s="374"/>
      <c r="C272" s="249">
        <v>69</v>
      </c>
      <c r="D272" s="1952" t="s">
        <v>348</v>
      </c>
      <c r="E272" s="1952"/>
      <c r="F272" s="578"/>
      <c r="G272" s="579"/>
      <c r="H272" s="579"/>
      <c r="I272" s="580">
        <v>1075</v>
      </c>
      <c r="J272" s="581"/>
      <c r="K272" s="582"/>
      <c r="L272" s="582"/>
      <c r="M272" s="582"/>
      <c r="N272" s="582"/>
      <c r="O272" s="582"/>
      <c r="P272" s="582"/>
      <c r="Q272" s="582"/>
      <c r="R272" s="583"/>
      <c r="S272" s="584"/>
      <c r="T272" s="584"/>
      <c r="U272" s="584"/>
      <c r="V272" s="584"/>
      <c r="W272" s="584"/>
      <c r="X272" s="584"/>
      <c r="Y272" s="584"/>
      <c r="Z272" s="584"/>
      <c r="AA272" s="584"/>
      <c r="AB272" s="584"/>
      <c r="AC272" s="584"/>
      <c r="AD272" s="584"/>
    </row>
    <row r="273" spans="1:31" s="585" customFormat="1" ht="19.5" customHeight="1" x14ac:dyDescent="0.3">
      <c r="A273" s="233">
        <v>265</v>
      </c>
      <c r="B273" s="374"/>
      <c r="C273" s="249">
        <v>72</v>
      </c>
      <c r="D273" s="1952" t="s">
        <v>349</v>
      </c>
      <c r="E273" s="1952"/>
      <c r="F273" s="578"/>
      <c r="G273" s="579"/>
      <c r="H273" s="579"/>
      <c r="I273" s="580">
        <v>1035</v>
      </c>
      <c r="J273" s="581"/>
      <c r="K273" s="582"/>
      <c r="L273" s="582"/>
      <c r="M273" s="582"/>
      <c r="N273" s="582"/>
      <c r="O273" s="582"/>
      <c r="P273" s="582"/>
      <c r="Q273" s="582"/>
      <c r="R273" s="583"/>
      <c r="S273" s="584"/>
      <c r="T273" s="584"/>
      <c r="U273" s="584"/>
      <c r="V273" s="584"/>
      <c r="W273" s="584"/>
      <c r="X273" s="584"/>
      <c r="Y273" s="584"/>
      <c r="Z273" s="584"/>
      <c r="AA273" s="584"/>
      <c r="AB273" s="584"/>
      <c r="AC273" s="584"/>
      <c r="AD273" s="584"/>
    </row>
    <row r="274" spans="1:31" s="585" customFormat="1" ht="19.5" customHeight="1" x14ac:dyDescent="0.3">
      <c r="A274" s="233">
        <v>266</v>
      </c>
      <c r="B274" s="374"/>
      <c r="C274" s="249">
        <v>74</v>
      </c>
      <c r="D274" s="1952" t="s">
        <v>350</v>
      </c>
      <c r="E274" s="1952"/>
      <c r="F274" s="578"/>
      <c r="G274" s="579"/>
      <c r="H274" s="579"/>
      <c r="I274" s="580">
        <v>175</v>
      </c>
      <c r="J274" s="581"/>
      <c r="K274" s="582"/>
      <c r="L274" s="582"/>
      <c r="M274" s="582"/>
      <c r="N274" s="582"/>
      <c r="O274" s="582"/>
      <c r="P274" s="582"/>
      <c r="Q274" s="582"/>
      <c r="R274" s="583"/>
      <c r="S274" s="584"/>
      <c r="T274" s="584"/>
      <c r="U274" s="584"/>
      <c r="V274" s="584"/>
      <c r="W274" s="584"/>
      <c r="X274" s="584"/>
      <c r="Y274" s="584"/>
      <c r="Z274" s="584"/>
      <c r="AA274" s="584"/>
      <c r="AB274" s="584"/>
      <c r="AC274" s="584"/>
      <c r="AD274" s="584"/>
    </row>
    <row r="275" spans="1:31" s="585" customFormat="1" ht="19.5" customHeight="1" x14ac:dyDescent="0.3">
      <c r="A275" s="233">
        <v>267</v>
      </c>
      <c r="B275" s="374"/>
      <c r="C275" s="249">
        <v>78</v>
      </c>
      <c r="D275" s="1953" t="s">
        <v>351</v>
      </c>
      <c r="E275" s="1953"/>
      <c r="F275" s="578"/>
      <c r="G275" s="579"/>
      <c r="H275" s="579"/>
      <c r="I275" s="580">
        <v>2208</v>
      </c>
      <c r="J275" s="581"/>
      <c r="K275" s="582"/>
      <c r="L275" s="582"/>
      <c r="M275" s="582"/>
      <c r="N275" s="582"/>
      <c r="O275" s="582"/>
      <c r="P275" s="582"/>
      <c r="Q275" s="582"/>
      <c r="R275" s="583"/>
      <c r="S275" s="584"/>
      <c r="T275" s="584"/>
      <c r="U275" s="584"/>
      <c r="V275" s="584"/>
      <c r="W275" s="584"/>
      <c r="X275" s="584"/>
      <c r="Y275" s="584"/>
      <c r="Z275" s="584"/>
      <c r="AA275" s="584"/>
      <c r="AB275" s="584"/>
      <c r="AC275" s="584"/>
      <c r="AD275" s="584"/>
    </row>
    <row r="276" spans="1:31" s="330" customFormat="1" ht="22.5" customHeight="1" x14ac:dyDescent="0.3">
      <c r="A276" s="233">
        <v>268</v>
      </c>
      <c r="B276" s="603"/>
      <c r="C276" s="1954" t="s">
        <v>352</v>
      </c>
      <c r="D276" s="1954"/>
      <c r="E276" s="1954"/>
      <c r="F276" s="604"/>
      <c r="G276" s="438">
        <f>SUM(G138:G275)-G144</f>
        <v>1858902</v>
      </c>
      <c r="H276" s="438">
        <f>SUM(H138:H275)-H144</f>
        <v>2293390</v>
      </c>
      <c r="I276" s="438">
        <f>SUM(I138:I275)-I144</f>
        <v>2164505</v>
      </c>
      <c r="J276" s="440"/>
      <c r="K276" s="483"/>
      <c r="L276" s="483"/>
      <c r="M276" s="483"/>
      <c r="N276" s="483"/>
      <c r="O276" s="483"/>
      <c r="P276" s="483"/>
      <c r="Q276" s="483"/>
      <c r="R276" s="484"/>
      <c r="S276" s="422"/>
      <c r="T276" s="422"/>
      <c r="U276" s="422"/>
      <c r="V276" s="422"/>
      <c r="W276" s="422"/>
      <c r="X276" s="422"/>
      <c r="Y276" s="422"/>
      <c r="Z276" s="422"/>
      <c r="AA276" s="422"/>
      <c r="AB276" s="422"/>
      <c r="AC276" s="422"/>
      <c r="AD276" s="422"/>
      <c r="AE276" s="422"/>
    </row>
    <row r="277" spans="1:31" s="264" customFormat="1" ht="18" customHeight="1" x14ac:dyDescent="0.3">
      <c r="A277" s="233">
        <v>269</v>
      </c>
      <c r="B277" s="256"/>
      <c r="C277" s="302"/>
      <c r="D277" s="445"/>
      <c r="E277" s="605" t="s">
        <v>230</v>
      </c>
      <c r="F277" s="606"/>
      <c r="G277" s="446"/>
      <c r="H277" s="446"/>
      <c r="I277" s="447"/>
      <c r="J277" s="607">
        <f>SUM(K277:R277)</f>
        <v>2584822</v>
      </c>
      <c r="K277" s="608">
        <f t="shared" ref="K277:R277" si="14">SUM(K140,K147,K152,K157,K162,K167,K172,K177,K182,K187,K192,K197,K202,K207,K212,K217,K222,K227)</f>
        <v>1767184</v>
      </c>
      <c r="L277" s="608">
        <f t="shared" si="14"/>
        <v>264753</v>
      </c>
      <c r="M277" s="608">
        <f t="shared" si="14"/>
        <v>454735</v>
      </c>
      <c r="N277" s="608">
        <f t="shared" si="14"/>
        <v>0</v>
      </c>
      <c r="O277" s="608">
        <f t="shared" si="14"/>
        <v>0</v>
      </c>
      <c r="P277" s="608">
        <f t="shared" si="14"/>
        <v>98150</v>
      </c>
      <c r="Q277" s="608">
        <f t="shared" si="14"/>
        <v>0</v>
      </c>
      <c r="R277" s="609">
        <f t="shared" si="14"/>
        <v>0</v>
      </c>
      <c r="S277" s="415"/>
      <c r="T277" s="415"/>
      <c r="U277" s="415"/>
      <c r="V277" s="415"/>
      <c r="W277" s="415"/>
      <c r="X277" s="415"/>
      <c r="Y277" s="415"/>
      <c r="Z277" s="415"/>
      <c r="AA277" s="415"/>
      <c r="AB277" s="415"/>
      <c r="AC277" s="415"/>
      <c r="AD277" s="415"/>
      <c r="AE277" s="415"/>
    </row>
    <row r="278" spans="1:31" s="264" customFormat="1" ht="18" customHeight="1" x14ac:dyDescent="0.3">
      <c r="A278" s="233">
        <v>270</v>
      </c>
      <c r="B278" s="610"/>
      <c r="C278" s="302"/>
      <c r="D278" s="445"/>
      <c r="E278" s="266" t="s">
        <v>231</v>
      </c>
      <c r="F278" s="606"/>
      <c r="G278" s="446"/>
      <c r="H278" s="446"/>
      <c r="I278" s="447"/>
      <c r="J278" s="611">
        <f>SUM(K278:R278)</f>
        <v>3433721</v>
      </c>
      <c r="K278" s="612">
        <f t="shared" ref="K278:R278" si="15">SUM(K141,K148,K153,K158,K163,K168,K173,K178,K183,K188,K193,K198,K203,K208,K213,K218,K223,K228)+K232+K236+K240</f>
        <v>2151919</v>
      </c>
      <c r="L278" s="612">
        <f t="shared" si="15"/>
        <v>321127</v>
      </c>
      <c r="M278" s="612">
        <f t="shared" si="15"/>
        <v>759032</v>
      </c>
      <c r="N278" s="612">
        <f t="shared" si="15"/>
        <v>0</v>
      </c>
      <c r="O278" s="612">
        <f t="shared" si="15"/>
        <v>0</v>
      </c>
      <c r="P278" s="612">
        <f t="shared" si="15"/>
        <v>201643</v>
      </c>
      <c r="Q278" s="612">
        <f t="shared" si="15"/>
        <v>0</v>
      </c>
      <c r="R278" s="613">
        <f t="shared" si="15"/>
        <v>0</v>
      </c>
      <c r="S278" s="415"/>
      <c r="T278" s="415"/>
      <c r="U278" s="415"/>
      <c r="V278" s="415"/>
      <c r="W278" s="415"/>
      <c r="X278" s="415"/>
      <c r="Y278" s="415"/>
      <c r="Z278" s="415"/>
      <c r="AA278" s="415"/>
      <c r="AB278" s="415"/>
      <c r="AC278" s="415"/>
      <c r="AD278" s="415"/>
      <c r="AE278" s="415"/>
    </row>
    <row r="279" spans="1:31" s="264" customFormat="1" ht="18" customHeight="1" x14ac:dyDescent="0.3">
      <c r="A279" s="233">
        <v>271</v>
      </c>
      <c r="B279" s="610"/>
      <c r="C279" s="257"/>
      <c r="D279" s="430"/>
      <c r="E279" s="270" t="s">
        <v>245</v>
      </c>
      <c r="F279" s="614"/>
      <c r="G279" s="410"/>
      <c r="H279" s="410"/>
      <c r="I279" s="411"/>
      <c r="J279" s="615">
        <f>SUM(K279:R279)</f>
        <v>5000</v>
      </c>
      <c r="K279" s="418">
        <f t="shared" ref="K279:R279" si="16">K229+K224+K219+K214+K209+K204+K199+K194+K189+K184+K179+K174+K169+K164+K159+K154+K149+K142+K233+K237+K241</f>
        <v>0</v>
      </c>
      <c r="L279" s="418">
        <f t="shared" si="16"/>
        <v>0</v>
      </c>
      <c r="M279" s="418">
        <f t="shared" si="16"/>
        <v>3600</v>
      </c>
      <c r="N279" s="418">
        <f t="shared" si="16"/>
        <v>0</v>
      </c>
      <c r="O279" s="418">
        <f t="shared" si="16"/>
        <v>0</v>
      </c>
      <c r="P279" s="418">
        <f t="shared" si="16"/>
        <v>1400</v>
      </c>
      <c r="Q279" s="418">
        <f t="shared" si="16"/>
        <v>0</v>
      </c>
      <c r="R279" s="454">
        <f t="shared" si="16"/>
        <v>0</v>
      </c>
      <c r="S279" s="415"/>
      <c r="T279" s="415"/>
      <c r="U279" s="415"/>
      <c r="V279" s="415"/>
      <c r="W279" s="415"/>
      <c r="X279" s="415"/>
      <c r="Y279" s="415"/>
      <c r="Z279" s="415"/>
      <c r="AA279" s="415"/>
      <c r="AB279" s="415"/>
      <c r="AC279" s="415"/>
      <c r="AD279" s="415"/>
      <c r="AE279" s="415"/>
    </row>
    <row r="280" spans="1:31" s="264" customFormat="1" ht="18" customHeight="1" x14ac:dyDescent="0.3">
      <c r="A280" s="233">
        <v>272</v>
      </c>
      <c r="B280" s="610"/>
      <c r="C280" s="379"/>
      <c r="D280" s="616"/>
      <c r="E280" s="266" t="s">
        <v>233</v>
      </c>
      <c r="F280" s="617"/>
      <c r="G280" s="618"/>
      <c r="H280" s="618"/>
      <c r="I280" s="542"/>
      <c r="J280" s="619">
        <f>SUM(K280:R280)</f>
        <v>3438721</v>
      </c>
      <c r="K280" s="620">
        <f t="shared" ref="K280:R280" si="17">SUM(K278:K279)</f>
        <v>2151919</v>
      </c>
      <c r="L280" s="620">
        <f t="shared" si="17"/>
        <v>321127</v>
      </c>
      <c r="M280" s="620">
        <f t="shared" si="17"/>
        <v>762632</v>
      </c>
      <c r="N280" s="620">
        <f t="shared" si="17"/>
        <v>0</v>
      </c>
      <c r="O280" s="620">
        <f t="shared" si="17"/>
        <v>0</v>
      </c>
      <c r="P280" s="620">
        <f t="shared" si="17"/>
        <v>203043</v>
      </c>
      <c r="Q280" s="620">
        <f t="shared" si="17"/>
        <v>0</v>
      </c>
      <c r="R280" s="621">
        <f t="shared" si="17"/>
        <v>0</v>
      </c>
      <c r="S280" s="415"/>
      <c r="T280" s="415"/>
      <c r="U280" s="415"/>
      <c r="V280" s="415"/>
      <c r="W280" s="415"/>
      <c r="X280" s="415"/>
      <c r="Y280" s="415"/>
      <c r="Z280" s="415"/>
      <c r="AA280" s="415"/>
      <c r="AB280" s="415"/>
      <c r="AC280" s="415"/>
      <c r="AD280" s="415"/>
      <c r="AE280" s="415"/>
    </row>
    <row r="281" spans="1:31" s="330" customFormat="1" ht="36" customHeight="1" x14ac:dyDescent="0.2">
      <c r="A281" s="233">
        <v>273</v>
      </c>
      <c r="B281" s="1931" t="s">
        <v>278</v>
      </c>
      <c r="C281" s="1931"/>
      <c r="D281" s="1931"/>
      <c r="E281" s="1931"/>
      <c r="F281" s="622"/>
      <c r="G281" s="623">
        <f>SUM(G276,G133)</f>
        <v>10261489</v>
      </c>
      <c r="H281" s="623">
        <f>SUM(H276,H133)</f>
        <v>11771027</v>
      </c>
      <c r="I281" s="623">
        <f>SUM(I276,I133)</f>
        <v>12380731</v>
      </c>
      <c r="J281" s="624"/>
      <c r="K281" s="623"/>
      <c r="L281" s="623"/>
      <c r="M281" s="623"/>
      <c r="N281" s="623"/>
      <c r="O281" s="623"/>
      <c r="P281" s="623"/>
      <c r="Q281" s="623"/>
      <c r="R281" s="625"/>
      <c r="S281" s="422"/>
      <c r="T281" s="422"/>
      <c r="U281" s="422"/>
      <c r="V281" s="422"/>
      <c r="W281" s="422"/>
      <c r="X281" s="422"/>
      <c r="Y281" s="422"/>
      <c r="Z281" s="422"/>
      <c r="AA281" s="422"/>
      <c r="AB281" s="422"/>
      <c r="AC281" s="422"/>
      <c r="AD281" s="422"/>
      <c r="AE281" s="422"/>
    </row>
    <row r="282" spans="1:31" s="264" customFormat="1" ht="18" customHeight="1" x14ac:dyDescent="0.3">
      <c r="A282" s="233">
        <v>274</v>
      </c>
      <c r="B282" s="374"/>
      <c r="C282" s="302"/>
      <c r="D282" s="445"/>
      <c r="E282" s="605" t="s">
        <v>230</v>
      </c>
      <c r="F282" s="606"/>
      <c r="G282" s="446"/>
      <c r="H282" s="446"/>
      <c r="I282" s="447"/>
      <c r="J282" s="448">
        <f>SUM(K282:R282)</f>
        <v>13111714</v>
      </c>
      <c r="K282" s="608">
        <f t="shared" ref="K282:R283" si="18">SUM(K277,K134)</f>
        <v>7373892</v>
      </c>
      <c r="L282" s="608">
        <f t="shared" si="18"/>
        <v>1083960</v>
      </c>
      <c r="M282" s="608">
        <f t="shared" si="18"/>
        <v>4272484</v>
      </c>
      <c r="N282" s="608">
        <f t="shared" si="18"/>
        <v>0</v>
      </c>
      <c r="O282" s="608">
        <f t="shared" si="18"/>
        <v>6754</v>
      </c>
      <c r="P282" s="608">
        <f t="shared" si="18"/>
        <v>374624</v>
      </c>
      <c r="Q282" s="608">
        <f t="shared" si="18"/>
        <v>0</v>
      </c>
      <c r="R282" s="609">
        <f t="shared" si="18"/>
        <v>0</v>
      </c>
      <c r="S282" s="415"/>
      <c r="T282" s="415"/>
      <c r="U282" s="415"/>
      <c r="V282" s="415"/>
      <c r="W282" s="415"/>
      <c r="X282" s="415"/>
      <c r="Y282" s="415"/>
      <c r="Z282" s="415"/>
      <c r="AA282" s="415"/>
      <c r="AB282" s="415"/>
      <c r="AC282" s="415"/>
      <c r="AD282" s="415"/>
      <c r="AE282" s="415"/>
    </row>
    <row r="283" spans="1:31" s="264" customFormat="1" ht="18" customHeight="1" x14ac:dyDescent="0.3">
      <c r="A283" s="233">
        <v>275</v>
      </c>
      <c r="B283" s="374"/>
      <c r="C283" s="626"/>
      <c r="D283" s="445"/>
      <c r="E283" s="266" t="s">
        <v>231</v>
      </c>
      <c r="F283" s="606"/>
      <c r="G283" s="446"/>
      <c r="H283" s="446"/>
      <c r="I283" s="447"/>
      <c r="J283" s="451">
        <f>SUM(K283:R283)</f>
        <v>15624045</v>
      </c>
      <c r="K283" s="612">
        <f t="shared" si="18"/>
        <v>8271879</v>
      </c>
      <c r="L283" s="612">
        <f t="shared" si="18"/>
        <v>1210641</v>
      </c>
      <c r="M283" s="612">
        <f t="shared" si="18"/>
        <v>5450792</v>
      </c>
      <c r="N283" s="612">
        <f t="shared" si="18"/>
        <v>0</v>
      </c>
      <c r="O283" s="612">
        <f t="shared" si="18"/>
        <v>11518</v>
      </c>
      <c r="P283" s="612">
        <f t="shared" si="18"/>
        <v>677240</v>
      </c>
      <c r="Q283" s="612">
        <f t="shared" si="18"/>
        <v>0</v>
      </c>
      <c r="R283" s="613">
        <f t="shared" si="18"/>
        <v>1975</v>
      </c>
      <c r="S283" s="415"/>
      <c r="T283" s="415"/>
      <c r="U283" s="415"/>
      <c r="V283" s="415"/>
      <c r="W283" s="415"/>
      <c r="X283" s="415"/>
      <c r="Y283" s="415"/>
      <c r="Z283" s="415"/>
      <c r="AA283" s="415"/>
      <c r="AB283" s="415"/>
      <c r="AC283" s="415"/>
      <c r="AD283" s="415"/>
      <c r="AE283" s="415"/>
    </row>
    <row r="284" spans="1:31" s="264" customFormat="1" ht="18" customHeight="1" x14ac:dyDescent="0.3">
      <c r="A284" s="233">
        <v>276</v>
      </c>
      <c r="B284" s="256"/>
      <c r="C284" s="627"/>
      <c r="D284" s="409"/>
      <c r="E284" s="270" t="s">
        <v>245</v>
      </c>
      <c r="F284" s="614"/>
      <c r="G284" s="410"/>
      <c r="H284" s="410"/>
      <c r="I284" s="411"/>
      <c r="J284" s="523">
        <f>SUM(K284:R284)</f>
        <v>103716</v>
      </c>
      <c r="K284" s="628">
        <f t="shared" ref="K284:R284" si="19">K279+K136</f>
        <v>30842</v>
      </c>
      <c r="L284" s="628">
        <f t="shared" si="19"/>
        <v>8278</v>
      </c>
      <c r="M284" s="628">
        <f t="shared" si="19"/>
        <v>61851</v>
      </c>
      <c r="N284" s="628">
        <f t="shared" si="19"/>
        <v>0</v>
      </c>
      <c r="O284" s="628">
        <f t="shared" si="19"/>
        <v>0</v>
      </c>
      <c r="P284" s="628">
        <f t="shared" si="19"/>
        <v>2745</v>
      </c>
      <c r="Q284" s="628">
        <f t="shared" si="19"/>
        <v>0</v>
      </c>
      <c r="R284" s="629">
        <f t="shared" si="19"/>
        <v>0</v>
      </c>
      <c r="S284" s="415"/>
      <c r="T284" s="415"/>
      <c r="U284" s="415"/>
      <c r="V284" s="415"/>
      <c r="W284" s="415"/>
      <c r="X284" s="415"/>
      <c r="Y284" s="415"/>
      <c r="Z284" s="415"/>
      <c r="AA284" s="415"/>
      <c r="AB284" s="415"/>
      <c r="AC284" s="415"/>
      <c r="AD284" s="415"/>
      <c r="AE284" s="415"/>
    </row>
    <row r="285" spans="1:31" s="264" customFormat="1" ht="18" customHeight="1" x14ac:dyDescent="0.3">
      <c r="A285" s="233">
        <v>277</v>
      </c>
      <c r="B285" s="364"/>
      <c r="C285" s="630"/>
      <c r="D285" s="631"/>
      <c r="E285" s="266" t="s">
        <v>233</v>
      </c>
      <c r="F285" s="617"/>
      <c r="G285" s="618"/>
      <c r="H285" s="618"/>
      <c r="I285" s="542"/>
      <c r="J285" s="359">
        <f>SUM(K285:R285)</f>
        <v>15727761</v>
      </c>
      <c r="K285" s="620">
        <f t="shared" ref="K285:R285" si="20">SUM(K283:K284)</f>
        <v>8302721</v>
      </c>
      <c r="L285" s="620">
        <f t="shared" si="20"/>
        <v>1218919</v>
      </c>
      <c r="M285" s="620">
        <f t="shared" si="20"/>
        <v>5512643</v>
      </c>
      <c r="N285" s="620">
        <f t="shared" si="20"/>
        <v>0</v>
      </c>
      <c r="O285" s="620">
        <f t="shared" si="20"/>
        <v>11518</v>
      </c>
      <c r="P285" s="620">
        <f t="shared" si="20"/>
        <v>679985</v>
      </c>
      <c r="Q285" s="620">
        <f t="shared" si="20"/>
        <v>0</v>
      </c>
      <c r="R285" s="621">
        <f t="shared" si="20"/>
        <v>1975</v>
      </c>
      <c r="S285" s="415"/>
      <c r="T285" s="415"/>
      <c r="U285" s="415"/>
      <c r="V285" s="415"/>
      <c r="W285" s="415"/>
      <c r="X285" s="415"/>
      <c r="Y285" s="415"/>
      <c r="Z285" s="415"/>
      <c r="AA285" s="415"/>
      <c r="AB285" s="415"/>
      <c r="AC285" s="415"/>
      <c r="AD285" s="415"/>
      <c r="AE285" s="415"/>
    </row>
    <row r="286" spans="1:31" s="237" customFormat="1" ht="15" customHeight="1" x14ac:dyDescent="0.3">
      <c r="A286" s="233">
        <v>278</v>
      </c>
      <c r="B286" s="1951" t="s">
        <v>353</v>
      </c>
      <c r="C286" s="1951"/>
      <c r="D286" s="1951"/>
      <c r="E286" s="1951"/>
      <c r="F286" s="632"/>
      <c r="G286" s="537"/>
      <c r="H286" s="537"/>
      <c r="I286" s="633"/>
      <c r="J286" s="634"/>
      <c r="K286" s="537"/>
      <c r="L286" s="537"/>
      <c r="M286" s="537"/>
      <c r="N286" s="537"/>
      <c r="O286" s="537"/>
      <c r="P286" s="537"/>
      <c r="Q286" s="537"/>
      <c r="R286" s="538"/>
      <c r="S286" s="31"/>
      <c r="T286" s="427"/>
      <c r="U286" s="427"/>
      <c r="V286" s="427"/>
      <c r="W286" s="427"/>
      <c r="X286" s="427"/>
      <c r="Y286" s="427"/>
      <c r="Z286" s="427"/>
      <c r="AA286" s="427"/>
      <c r="AB286" s="427"/>
      <c r="AC286" s="427"/>
      <c r="AD286" s="427"/>
      <c r="AE286" s="427"/>
    </row>
    <row r="287" spans="1:31" s="237" customFormat="1" ht="15" customHeight="1" x14ac:dyDescent="0.3">
      <c r="A287" s="233">
        <v>279</v>
      </c>
      <c r="B287" s="1949" t="s">
        <v>354</v>
      </c>
      <c r="C287" s="1949"/>
      <c r="D287" s="1949"/>
      <c r="E287" s="1949"/>
      <c r="F287" s="1949"/>
      <c r="G287" s="602">
        <f>SUM(G82:G109,G77,G47,G128)</f>
        <v>6971458</v>
      </c>
      <c r="H287" s="602">
        <f>SUM(H82:H109,H77,H47,H128)</f>
        <v>8284258</v>
      </c>
      <c r="I287" s="635">
        <f>SUM(I82:I109,I77,I47,I128)</f>
        <v>8601370</v>
      </c>
      <c r="J287" s="636"/>
      <c r="K287" s="500"/>
      <c r="L287" s="500"/>
      <c r="M287" s="500"/>
      <c r="N287" s="500"/>
      <c r="O287" s="500"/>
      <c r="P287" s="500"/>
      <c r="Q287" s="500"/>
      <c r="R287" s="637"/>
      <c r="S287" s="31"/>
      <c r="T287" s="427"/>
      <c r="U287" s="427"/>
      <c r="V287" s="427"/>
      <c r="W287" s="427"/>
      <c r="X287" s="427"/>
      <c r="Y287" s="427"/>
      <c r="Z287" s="427"/>
      <c r="AA287" s="427"/>
      <c r="AB287" s="427"/>
      <c r="AC287" s="427"/>
      <c r="AD287" s="427"/>
      <c r="AE287" s="427"/>
    </row>
    <row r="288" spans="1:31" s="264" customFormat="1" ht="15" customHeight="1" x14ac:dyDescent="0.3">
      <c r="A288" s="233">
        <v>280</v>
      </c>
      <c r="B288" s="638"/>
      <c r="C288" s="639"/>
      <c r="D288" s="639"/>
      <c r="E288" s="259" t="s">
        <v>230</v>
      </c>
      <c r="F288" s="640"/>
      <c r="G288" s="641"/>
      <c r="H288" s="641"/>
      <c r="I288" s="642"/>
      <c r="J288" s="598">
        <f>SUM(K288:R288)</f>
        <v>9310672</v>
      </c>
      <c r="K288" s="598">
        <f t="shared" ref="K288:R289" si="21">SUM(K48,K78,K83,K91,K97,K103,K129,)</f>
        <v>4905809</v>
      </c>
      <c r="L288" s="598">
        <f t="shared" si="21"/>
        <v>741664</v>
      </c>
      <c r="M288" s="598">
        <f t="shared" si="21"/>
        <v>3385581</v>
      </c>
      <c r="N288" s="598">
        <f t="shared" si="21"/>
        <v>0</v>
      </c>
      <c r="O288" s="598">
        <f t="shared" si="21"/>
        <v>6754</v>
      </c>
      <c r="P288" s="598">
        <f t="shared" si="21"/>
        <v>270864</v>
      </c>
      <c r="Q288" s="598">
        <f t="shared" si="21"/>
        <v>0</v>
      </c>
      <c r="R288" s="643">
        <f t="shared" si="21"/>
        <v>0</v>
      </c>
      <c r="S288" s="423"/>
      <c r="T288" s="415"/>
      <c r="U288" s="415"/>
      <c r="V288" s="415"/>
      <c r="W288" s="415"/>
      <c r="X288" s="415"/>
      <c r="Y288" s="415"/>
      <c r="Z288" s="415"/>
      <c r="AA288" s="415"/>
      <c r="AB288" s="415"/>
      <c r="AC288" s="415"/>
      <c r="AD288" s="415"/>
      <c r="AE288" s="415"/>
    </row>
    <row r="289" spans="1:31" s="264" customFormat="1" ht="15" customHeight="1" x14ac:dyDescent="0.3">
      <c r="A289" s="233">
        <v>281</v>
      </c>
      <c r="B289" s="638"/>
      <c r="C289" s="639"/>
      <c r="D289" s="639"/>
      <c r="E289" s="266" t="s">
        <v>231</v>
      </c>
      <c r="F289" s="640"/>
      <c r="G289" s="641"/>
      <c r="H289" s="641"/>
      <c r="I289" s="642"/>
      <c r="J289" s="599">
        <f>SUM(K289:R289)</f>
        <v>10620965</v>
      </c>
      <c r="K289" s="599">
        <f t="shared" si="21"/>
        <v>5371184</v>
      </c>
      <c r="L289" s="599">
        <f t="shared" si="21"/>
        <v>814218</v>
      </c>
      <c r="M289" s="599">
        <f t="shared" si="21"/>
        <v>4031275</v>
      </c>
      <c r="N289" s="599">
        <f t="shared" si="21"/>
        <v>0</v>
      </c>
      <c r="O289" s="599">
        <f t="shared" si="21"/>
        <v>10465</v>
      </c>
      <c r="P289" s="599">
        <f t="shared" si="21"/>
        <v>391848</v>
      </c>
      <c r="Q289" s="599">
        <f t="shared" si="21"/>
        <v>0</v>
      </c>
      <c r="R289" s="600">
        <f t="shared" si="21"/>
        <v>1975</v>
      </c>
      <c r="S289" s="423"/>
      <c r="T289" s="415"/>
      <c r="U289" s="415"/>
      <c r="V289" s="415"/>
      <c r="W289" s="415"/>
      <c r="X289" s="415"/>
      <c r="Y289" s="415"/>
      <c r="Z289" s="415"/>
      <c r="AA289" s="415"/>
      <c r="AB289" s="415"/>
      <c r="AC289" s="415"/>
      <c r="AD289" s="415"/>
      <c r="AE289" s="415"/>
    </row>
    <row r="290" spans="1:31" s="264" customFormat="1" ht="15" customHeight="1" x14ac:dyDescent="0.3">
      <c r="A290" s="233">
        <v>282</v>
      </c>
      <c r="B290" s="638"/>
      <c r="C290" s="639"/>
      <c r="D290" s="639"/>
      <c r="E290" s="270" t="s">
        <v>245</v>
      </c>
      <c r="F290" s="640"/>
      <c r="G290" s="641"/>
      <c r="H290" s="641"/>
      <c r="I290" s="642"/>
      <c r="J290" s="523">
        <f>SUM(K290:R290)</f>
        <v>44299</v>
      </c>
      <c r="K290" s="628">
        <f t="shared" ref="K290:R290" si="22">K131+K105+K99+K93+K85+K80+K50+K86</f>
        <v>22842</v>
      </c>
      <c r="L290" s="628">
        <f t="shared" si="22"/>
        <v>9778</v>
      </c>
      <c r="M290" s="628">
        <f t="shared" si="22"/>
        <v>14627</v>
      </c>
      <c r="N290" s="628">
        <f t="shared" si="22"/>
        <v>0</v>
      </c>
      <c r="O290" s="628">
        <f t="shared" si="22"/>
        <v>0</v>
      </c>
      <c r="P290" s="628">
        <f t="shared" si="22"/>
        <v>-2948</v>
      </c>
      <c r="Q290" s="628">
        <f t="shared" si="22"/>
        <v>0</v>
      </c>
      <c r="R290" s="629">
        <f t="shared" si="22"/>
        <v>0</v>
      </c>
      <c r="S290" s="423"/>
      <c r="T290" s="415"/>
      <c r="U290" s="415"/>
      <c r="V290" s="415"/>
      <c r="W290" s="415"/>
      <c r="X290" s="415"/>
      <c r="Y290" s="415"/>
      <c r="Z290" s="415"/>
      <c r="AA290" s="415"/>
      <c r="AB290" s="415"/>
      <c r="AC290" s="415"/>
      <c r="AD290" s="415"/>
      <c r="AE290" s="415"/>
    </row>
    <row r="291" spans="1:31" s="264" customFormat="1" ht="15" customHeight="1" x14ac:dyDescent="0.3">
      <c r="A291" s="233">
        <v>283</v>
      </c>
      <c r="B291" s="638"/>
      <c r="C291" s="639"/>
      <c r="D291" s="639"/>
      <c r="E291" s="266" t="s">
        <v>233</v>
      </c>
      <c r="F291" s="640"/>
      <c r="G291" s="641"/>
      <c r="H291" s="641"/>
      <c r="I291" s="642"/>
      <c r="J291" s="407">
        <f>SUM(K291:R291)</f>
        <v>10665264</v>
      </c>
      <c r="K291" s="599">
        <f t="shared" ref="K291:R291" si="23">SUM(K289:K290)</f>
        <v>5394026</v>
      </c>
      <c r="L291" s="599">
        <f t="shared" si="23"/>
        <v>823996</v>
      </c>
      <c r="M291" s="599">
        <f t="shared" si="23"/>
        <v>4045902</v>
      </c>
      <c r="N291" s="599">
        <f t="shared" si="23"/>
        <v>0</v>
      </c>
      <c r="O291" s="599">
        <f t="shared" si="23"/>
        <v>10465</v>
      </c>
      <c r="P291" s="599">
        <f t="shared" si="23"/>
        <v>388900</v>
      </c>
      <c r="Q291" s="599">
        <f t="shared" si="23"/>
        <v>0</v>
      </c>
      <c r="R291" s="600">
        <f t="shared" si="23"/>
        <v>1975</v>
      </c>
      <c r="S291" s="423"/>
      <c r="T291" s="415"/>
      <c r="U291" s="415"/>
      <c r="V291" s="415"/>
      <c r="W291" s="415"/>
      <c r="X291" s="415"/>
      <c r="Y291" s="415"/>
      <c r="Z291" s="415"/>
      <c r="AA291" s="415"/>
      <c r="AB291" s="415"/>
      <c r="AC291" s="415"/>
      <c r="AD291" s="415"/>
      <c r="AE291" s="415"/>
    </row>
    <row r="292" spans="1:31" s="237" customFormat="1" ht="15" customHeight="1" x14ac:dyDescent="0.3">
      <c r="A292" s="233">
        <v>284</v>
      </c>
      <c r="B292" s="1949" t="s">
        <v>353</v>
      </c>
      <c r="C292" s="1949"/>
      <c r="D292" s="1949"/>
      <c r="E292" s="1949"/>
      <c r="F292" s="644"/>
      <c r="G292" s="602"/>
      <c r="H292" s="602"/>
      <c r="I292" s="645"/>
      <c r="J292" s="646"/>
      <c r="K292" s="602"/>
      <c r="L292" s="602"/>
      <c r="M292" s="602"/>
      <c r="N292" s="602"/>
      <c r="O292" s="602"/>
      <c r="P292" s="602"/>
      <c r="Q292" s="602"/>
      <c r="R292" s="647"/>
      <c r="S292" s="31"/>
      <c r="T292" s="427"/>
      <c r="U292" s="427"/>
      <c r="V292" s="427"/>
      <c r="W292" s="427"/>
      <c r="X292" s="427"/>
      <c r="Y292" s="427"/>
      <c r="Z292" s="427"/>
      <c r="AA292" s="427"/>
      <c r="AB292" s="427"/>
      <c r="AC292" s="427"/>
      <c r="AD292" s="427"/>
      <c r="AE292" s="427"/>
    </row>
    <row r="293" spans="1:31" s="237" customFormat="1" ht="15" customHeight="1" x14ac:dyDescent="0.3">
      <c r="A293" s="233">
        <v>285</v>
      </c>
      <c r="B293" s="1949" t="s">
        <v>355</v>
      </c>
      <c r="C293" s="1949"/>
      <c r="D293" s="1949"/>
      <c r="E293" s="1949"/>
      <c r="F293" s="1949"/>
      <c r="G293" s="602">
        <f>SUM(G110:G119)</f>
        <v>1431129</v>
      </c>
      <c r="H293" s="602">
        <f>SUM(H110:H119)</f>
        <v>1193379</v>
      </c>
      <c r="I293" s="645">
        <f>SUM(I110:I119)</f>
        <v>1614856</v>
      </c>
      <c r="J293" s="648"/>
      <c r="K293" s="602"/>
      <c r="L293" s="602"/>
      <c r="M293" s="602"/>
      <c r="N293" s="602"/>
      <c r="O293" s="602"/>
      <c r="P293" s="602"/>
      <c r="Q293" s="602"/>
      <c r="R293" s="647"/>
      <c r="S293" s="31"/>
      <c r="T293" s="427"/>
      <c r="U293" s="427"/>
      <c r="V293" s="427"/>
      <c r="W293" s="427"/>
      <c r="X293" s="427"/>
      <c r="Y293" s="427"/>
      <c r="Z293" s="427"/>
      <c r="AA293" s="427"/>
      <c r="AB293" s="427"/>
      <c r="AC293" s="427"/>
      <c r="AD293" s="427"/>
      <c r="AE293" s="427"/>
    </row>
    <row r="294" spans="1:31" s="264" customFormat="1" ht="15" customHeight="1" x14ac:dyDescent="0.3">
      <c r="A294" s="233">
        <v>286</v>
      </c>
      <c r="B294" s="638"/>
      <c r="C294" s="639"/>
      <c r="D294" s="639"/>
      <c r="E294" s="259" t="s">
        <v>230</v>
      </c>
      <c r="F294" s="640"/>
      <c r="G294" s="641"/>
      <c r="H294" s="641"/>
      <c r="I294" s="642"/>
      <c r="J294" s="649">
        <f>SUM(K294:R294)</f>
        <v>1216220</v>
      </c>
      <c r="K294" s="598">
        <f t="shared" ref="K294:R295" si="24">SUM(K111,K119)</f>
        <v>700899</v>
      </c>
      <c r="L294" s="598">
        <f t="shared" si="24"/>
        <v>77543</v>
      </c>
      <c r="M294" s="598">
        <f t="shared" si="24"/>
        <v>432168</v>
      </c>
      <c r="N294" s="598">
        <f t="shared" si="24"/>
        <v>0</v>
      </c>
      <c r="O294" s="598">
        <f t="shared" si="24"/>
        <v>0</v>
      </c>
      <c r="P294" s="598">
        <f t="shared" si="24"/>
        <v>5610</v>
      </c>
      <c r="Q294" s="598">
        <f t="shared" si="24"/>
        <v>0</v>
      </c>
      <c r="R294" s="643">
        <f t="shared" si="24"/>
        <v>0</v>
      </c>
      <c r="S294" s="423"/>
      <c r="T294" s="415"/>
      <c r="U294" s="415"/>
      <c r="V294" s="415"/>
      <c r="W294" s="415"/>
      <c r="X294" s="415"/>
      <c r="Y294" s="415"/>
      <c r="Z294" s="415"/>
      <c r="AA294" s="415"/>
      <c r="AB294" s="415"/>
      <c r="AC294" s="415"/>
      <c r="AD294" s="415"/>
      <c r="AE294" s="415"/>
    </row>
    <row r="295" spans="1:31" s="264" customFormat="1" ht="15" customHeight="1" x14ac:dyDescent="0.3">
      <c r="A295" s="233">
        <v>287</v>
      </c>
      <c r="B295" s="638"/>
      <c r="C295" s="639"/>
      <c r="D295" s="639"/>
      <c r="E295" s="266" t="s">
        <v>231</v>
      </c>
      <c r="F295" s="640"/>
      <c r="G295" s="641"/>
      <c r="H295" s="641"/>
      <c r="I295" s="642"/>
      <c r="J295" s="650">
        <f>SUM(K295:R295)</f>
        <v>1569359</v>
      </c>
      <c r="K295" s="599">
        <f t="shared" si="24"/>
        <v>748776</v>
      </c>
      <c r="L295" s="599">
        <f t="shared" si="24"/>
        <v>75296</v>
      </c>
      <c r="M295" s="599">
        <f t="shared" si="24"/>
        <v>660485</v>
      </c>
      <c r="N295" s="599">
        <f t="shared" si="24"/>
        <v>0</v>
      </c>
      <c r="O295" s="599">
        <f t="shared" si="24"/>
        <v>1053</v>
      </c>
      <c r="P295" s="599">
        <f t="shared" si="24"/>
        <v>83749</v>
      </c>
      <c r="Q295" s="599">
        <f t="shared" si="24"/>
        <v>0</v>
      </c>
      <c r="R295" s="600">
        <f t="shared" si="24"/>
        <v>0</v>
      </c>
      <c r="S295" s="423"/>
      <c r="T295" s="415"/>
      <c r="U295" s="415"/>
      <c r="V295" s="415"/>
      <c r="W295" s="415"/>
      <c r="X295" s="415"/>
      <c r="Y295" s="415"/>
      <c r="Z295" s="415"/>
      <c r="AA295" s="415"/>
      <c r="AB295" s="415"/>
      <c r="AC295" s="415"/>
      <c r="AD295" s="415"/>
      <c r="AE295" s="415"/>
    </row>
    <row r="296" spans="1:31" s="264" customFormat="1" ht="15" customHeight="1" x14ac:dyDescent="0.3">
      <c r="A296" s="233">
        <v>288</v>
      </c>
      <c r="B296" s="638"/>
      <c r="C296" s="639"/>
      <c r="D296" s="639"/>
      <c r="E296" s="270" t="s">
        <v>245</v>
      </c>
      <c r="F296" s="640"/>
      <c r="G296" s="641"/>
      <c r="H296" s="641"/>
      <c r="I296" s="642"/>
      <c r="J296" s="523">
        <f>SUM(K296:R296)</f>
        <v>54417</v>
      </c>
      <c r="K296" s="628">
        <f t="shared" ref="K296:R296" si="25">K121+K113</f>
        <v>8000</v>
      </c>
      <c r="L296" s="628">
        <f t="shared" si="25"/>
        <v>-1500</v>
      </c>
      <c r="M296" s="628">
        <f t="shared" si="25"/>
        <v>43624</v>
      </c>
      <c r="N296" s="628">
        <f t="shared" si="25"/>
        <v>0</v>
      </c>
      <c r="O296" s="628">
        <f t="shared" si="25"/>
        <v>0</v>
      </c>
      <c r="P296" s="628">
        <f t="shared" si="25"/>
        <v>4293</v>
      </c>
      <c r="Q296" s="628">
        <f t="shared" si="25"/>
        <v>0</v>
      </c>
      <c r="R296" s="629">
        <f t="shared" si="25"/>
        <v>0</v>
      </c>
      <c r="S296" s="423"/>
      <c r="T296" s="415"/>
      <c r="U296" s="415"/>
      <c r="V296" s="415"/>
      <c r="W296" s="415"/>
      <c r="X296" s="415"/>
      <c r="Y296" s="415"/>
      <c r="Z296" s="415"/>
      <c r="AA296" s="415"/>
      <c r="AB296" s="415"/>
      <c r="AC296" s="415"/>
      <c r="AD296" s="415"/>
      <c r="AE296" s="415"/>
    </row>
    <row r="297" spans="1:31" s="264" customFormat="1" ht="15" customHeight="1" x14ac:dyDescent="0.3">
      <c r="A297" s="233">
        <v>289</v>
      </c>
      <c r="B297" s="638"/>
      <c r="C297" s="639"/>
      <c r="D297" s="639"/>
      <c r="E297" s="266" t="s">
        <v>233</v>
      </c>
      <c r="F297" s="640"/>
      <c r="G297" s="641"/>
      <c r="H297" s="641"/>
      <c r="I297" s="642"/>
      <c r="J297" s="407">
        <f>SUM(K297:R297)</f>
        <v>1623776</v>
      </c>
      <c r="K297" s="599">
        <f t="shared" ref="K297:R297" si="26">SUM(K295:K296)</f>
        <v>756776</v>
      </c>
      <c r="L297" s="599">
        <f t="shared" si="26"/>
        <v>73796</v>
      </c>
      <c r="M297" s="599">
        <f t="shared" si="26"/>
        <v>704109</v>
      </c>
      <c r="N297" s="599">
        <f t="shared" si="26"/>
        <v>0</v>
      </c>
      <c r="O297" s="599">
        <f t="shared" si="26"/>
        <v>1053</v>
      </c>
      <c r="P297" s="599">
        <f t="shared" si="26"/>
        <v>88042</v>
      </c>
      <c r="Q297" s="599">
        <f t="shared" si="26"/>
        <v>0</v>
      </c>
      <c r="R297" s="600">
        <f t="shared" si="26"/>
        <v>0</v>
      </c>
      <c r="S297" s="423"/>
      <c r="T297" s="415"/>
      <c r="U297" s="415"/>
      <c r="V297" s="415"/>
      <c r="W297" s="415"/>
      <c r="X297" s="415"/>
      <c r="Y297" s="415"/>
      <c r="Z297" s="415"/>
      <c r="AA297" s="415"/>
      <c r="AB297" s="415"/>
      <c r="AC297" s="415"/>
      <c r="AD297" s="415"/>
      <c r="AE297" s="415"/>
    </row>
    <row r="298" spans="1:31" s="237" customFormat="1" ht="15" customHeight="1" x14ac:dyDescent="0.3">
      <c r="A298" s="233">
        <v>290</v>
      </c>
      <c r="B298" s="1949" t="s">
        <v>353</v>
      </c>
      <c r="C298" s="1949"/>
      <c r="D298" s="1949"/>
      <c r="E298" s="1949"/>
      <c r="F298" s="644"/>
      <c r="G298" s="602"/>
      <c r="H298" s="602"/>
      <c r="I298" s="645"/>
      <c r="J298" s="646"/>
      <c r="K298" s="599"/>
      <c r="L298" s="599"/>
      <c r="M298" s="599"/>
      <c r="N298" s="599"/>
      <c r="O298" s="599"/>
      <c r="P298" s="599"/>
      <c r="Q298" s="599"/>
      <c r="R298" s="600"/>
      <c r="S298" s="31"/>
      <c r="T298" s="427"/>
      <c r="U298" s="427"/>
      <c r="V298" s="427"/>
      <c r="W298" s="427"/>
      <c r="X298" s="427"/>
      <c r="Y298" s="427"/>
      <c r="Z298" s="427"/>
      <c r="AA298" s="427"/>
      <c r="AB298" s="427"/>
      <c r="AC298" s="427"/>
      <c r="AD298" s="427"/>
      <c r="AE298" s="427"/>
    </row>
    <row r="299" spans="1:31" s="237" customFormat="1" ht="15" customHeight="1" x14ac:dyDescent="0.3">
      <c r="A299" s="233">
        <v>291</v>
      </c>
      <c r="B299" s="1950" t="s">
        <v>356</v>
      </c>
      <c r="C299" s="1950"/>
      <c r="D299" s="1950"/>
      <c r="E299" s="1950"/>
      <c r="F299" s="1950"/>
      <c r="G299" s="651">
        <f>SUM(G276)</f>
        <v>1858902</v>
      </c>
      <c r="H299" s="651">
        <f>SUM(H276)</f>
        <v>2293390</v>
      </c>
      <c r="I299" s="652">
        <f>SUM(I276)</f>
        <v>2164505</v>
      </c>
      <c r="J299" s="648"/>
      <c r="K299" s="602"/>
      <c r="L299" s="602"/>
      <c r="M299" s="602"/>
      <c r="N299" s="602"/>
      <c r="O299" s="602"/>
      <c r="P299" s="602"/>
      <c r="Q299" s="602"/>
      <c r="R299" s="647"/>
      <c r="S299" s="31"/>
      <c r="T299" s="427"/>
      <c r="U299" s="427"/>
      <c r="V299" s="427"/>
      <c r="W299" s="427"/>
      <c r="X299" s="427"/>
      <c r="Y299" s="427"/>
      <c r="Z299" s="427"/>
      <c r="AA299" s="427"/>
      <c r="AB299" s="427"/>
      <c r="AC299" s="427"/>
      <c r="AD299" s="427"/>
      <c r="AE299" s="427"/>
    </row>
    <row r="300" spans="1:31" s="286" customFormat="1" ht="15" customHeight="1" x14ac:dyDescent="0.3">
      <c r="A300" s="233">
        <v>292</v>
      </c>
      <c r="B300" s="653"/>
      <c r="C300" s="654"/>
      <c r="D300" s="654"/>
      <c r="E300" s="375" t="s">
        <v>230</v>
      </c>
      <c r="F300" s="655"/>
      <c r="G300" s="656"/>
      <c r="H300" s="656"/>
      <c r="I300" s="657"/>
      <c r="J300" s="658">
        <f>SUM(K300:R300)</f>
        <v>2584822</v>
      </c>
      <c r="K300" s="608">
        <f t="shared" ref="K300:R302" si="27">K277</f>
        <v>1767184</v>
      </c>
      <c r="L300" s="608">
        <f t="shared" si="27"/>
        <v>264753</v>
      </c>
      <c r="M300" s="608">
        <f t="shared" si="27"/>
        <v>454735</v>
      </c>
      <c r="N300" s="608">
        <f t="shared" si="27"/>
        <v>0</v>
      </c>
      <c r="O300" s="608">
        <f t="shared" si="27"/>
        <v>0</v>
      </c>
      <c r="P300" s="608">
        <f t="shared" si="27"/>
        <v>98150</v>
      </c>
      <c r="Q300" s="608">
        <f t="shared" si="27"/>
        <v>0</v>
      </c>
      <c r="R300" s="609">
        <f t="shared" si="27"/>
        <v>0</v>
      </c>
      <c r="S300" s="423"/>
      <c r="T300" s="423"/>
      <c r="U300" s="423"/>
      <c r="V300" s="423"/>
      <c r="W300" s="423"/>
      <c r="X300" s="423"/>
      <c r="Y300" s="423"/>
      <c r="Z300" s="423"/>
      <c r="AA300" s="423"/>
      <c r="AB300" s="423"/>
      <c r="AC300" s="423"/>
      <c r="AD300" s="423"/>
      <c r="AE300" s="423"/>
    </row>
    <row r="301" spans="1:31" s="286" customFormat="1" ht="15" customHeight="1" x14ac:dyDescent="0.3">
      <c r="A301" s="233">
        <v>293</v>
      </c>
      <c r="B301" s="659"/>
      <c r="C301" s="640"/>
      <c r="D301" s="660"/>
      <c r="E301" s="266" t="s">
        <v>231</v>
      </c>
      <c r="F301" s="660"/>
      <c r="G301" s="661"/>
      <c r="H301" s="662"/>
      <c r="I301" s="663"/>
      <c r="J301" s="664">
        <f>SUM(K301:R301)</f>
        <v>3433721</v>
      </c>
      <c r="K301" s="612">
        <f t="shared" si="27"/>
        <v>2151919</v>
      </c>
      <c r="L301" s="612">
        <f t="shared" si="27"/>
        <v>321127</v>
      </c>
      <c r="M301" s="612">
        <f t="shared" si="27"/>
        <v>759032</v>
      </c>
      <c r="N301" s="612">
        <f t="shared" si="27"/>
        <v>0</v>
      </c>
      <c r="O301" s="612">
        <f t="shared" si="27"/>
        <v>0</v>
      </c>
      <c r="P301" s="612">
        <f t="shared" si="27"/>
        <v>201643</v>
      </c>
      <c r="Q301" s="612">
        <f t="shared" si="27"/>
        <v>0</v>
      </c>
      <c r="R301" s="613">
        <f t="shared" si="27"/>
        <v>0</v>
      </c>
      <c r="S301" s="423"/>
      <c r="T301" s="423"/>
      <c r="U301" s="423"/>
      <c r="V301" s="423"/>
      <c r="W301" s="423"/>
      <c r="X301" s="423"/>
      <c r="Y301" s="423"/>
      <c r="Z301" s="423"/>
      <c r="AA301" s="423"/>
      <c r="AB301" s="423"/>
      <c r="AC301" s="423"/>
      <c r="AD301" s="423"/>
      <c r="AE301" s="423"/>
    </row>
    <row r="302" spans="1:31" s="286" customFormat="1" ht="15" customHeight="1" x14ac:dyDescent="0.3">
      <c r="A302" s="233">
        <v>294</v>
      </c>
      <c r="B302" s="665"/>
      <c r="C302" s="666"/>
      <c r="D302" s="667"/>
      <c r="E302" s="270" t="s">
        <v>245</v>
      </c>
      <c r="F302" s="667"/>
      <c r="G302" s="668"/>
      <c r="H302" s="669"/>
      <c r="I302" s="670"/>
      <c r="J302" s="523">
        <f>SUM(K302:R302)</f>
        <v>5000</v>
      </c>
      <c r="K302" s="671">
        <f t="shared" si="27"/>
        <v>0</v>
      </c>
      <c r="L302" s="672">
        <f t="shared" si="27"/>
        <v>0</v>
      </c>
      <c r="M302" s="672">
        <f t="shared" si="27"/>
        <v>3600</v>
      </c>
      <c r="N302" s="672">
        <f t="shared" si="27"/>
        <v>0</v>
      </c>
      <c r="O302" s="672">
        <f t="shared" si="27"/>
        <v>0</v>
      </c>
      <c r="P302" s="672">
        <f t="shared" si="27"/>
        <v>1400</v>
      </c>
      <c r="Q302" s="672">
        <f t="shared" si="27"/>
        <v>0</v>
      </c>
      <c r="R302" s="673">
        <f t="shared" si="27"/>
        <v>0</v>
      </c>
      <c r="S302" s="423"/>
      <c r="T302" s="423"/>
      <c r="U302" s="423"/>
      <c r="V302" s="423"/>
      <c r="W302" s="423"/>
      <c r="X302" s="423"/>
      <c r="Y302" s="423"/>
      <c r="Z302" s="423"/>
      <c r="AA302" s="423"/>
      <c r="AB302" s="423"/>
      <c r="AC302" s="423"/>
      <c r="AD302" s="423"/>
      <c r="AE302" s="423"/>
    </row>
    <row r="303" spans="1:31" s="286" customFormat="1" ht="15" customHeight="1" x14ac:dyDescent="0.3">
      <c r="A303" s="233">
        <v>295</v>
      </c>
      <c r="B303" s="674"/>
      <c r="C303" s="675"/>
      <c r="D303" s="676"/>
      <c r="E303" s="391" t="s">
        <v>233</v>
      </c>
      <c r="F303" s="676"/>
      <c r="G303" s="677"/>
      <c r="H303" s="678"/>
      <c r="I303" s="679"/>
      <c r="J303" s="359">
        <f>SUM(K303:R303)</f>
        <v>3438721</v>
      </c>
      <c r="K303" s="680">
        <f t="shared" ref="K303:R303" si="28">SUM(K301:K302)</f>
        <v>2151919</v>
      </c>
      <c r="L303" s="680">
        <f t="shared" si="28"/>
        <v>321127</v>
      </c>
      <c r="M303" s="680">
        <f t="shared" si="28"/>
        <v>762632</v>
      </c>
      <c r="N303" s="680">
        <f t="shared" si="28"/>
        <v>0</v>
      </c>
      <c r="O303" s="680">
        <f t="shared" si="28"/>
        <v>0</v>
      </c>
      <c r="P303" s="680">
        <f t="shared" si="28"/>
        <v>203043</v>
      </c>
      <c r="Q303" s="680">
        <f t="shared" si="28"/>
        <v>0</v>
      </c>
      <c r="R303" s="681">
        <f t="shared" si="28"/>
        <v>0</v>
      </c>
      <c r="S303" s="423"/>
      <c r="T303" s="423"/>
      <c r="U303" s="423"/>
      <c r="V303" s="423"/>
      <c r="W303" s="423"/>
      <c r="X303" s="423"/>
      <c r="Y303" s="423"/>
      <c r="Z303" s="423"/>
      <c r="AA303" s="423"/>
      <c r="AB303" s="423"/>
      <c r="AC303" s="423"/>
      <c r="AD303" s="423"/>
      <c r="AE303" s="423"/>
    </row>
    <row r="304" spans="1:31" s="32" customFormat="1" ht="18" customHeight="1" x14ac:dyDescent="0.3">
      <c r="A304" s="36"/>
      <c r="B304" s="682" t="s">
        <v>357</v>
      </c>
      <c r="C304" s="682"/>
      <c r="D304" s="682"/>
      <c r="E304" s="683"/>
      <c r="F304" s="684"/>
      <c r="G304" s="685"/>
      <c r="H304" s="685"/>
      <c r="I304" s="685"/>
      <c r="J304" s="686"/>
      <c r="K304" s="685"/>
      <c r="L304" s="685"/>
      <c r="M304" s="685"/>
      <c r="N304" s="685"/>
      <c r="O304" s="685"/>
      <c r="P304" s="685"/>
      <c r="Q304" s="685"/>
      <c r="R304" s="685"/>
      <c r="S304" s="31"/>
      <c r="T304" s="31"/>
      <c r="U304" s="31"/>
      <c r="V304" s="31"/>
      <c r="W304" s="31"/>
      <c r="X304" s="31"/>
      <c r="Y304" s="31"/>
      <c r="Z304" s="31"/>
      <c r="AA304" s="31"/>
      <c r="AB304" s="31"/>
      <c r="AC304" s="31"/>
      <c r="AD304" s="31"/>
      <c r="AE304" s="31"/>
    </row>
    <row r="305" spans="1:31" s="366" customFormat="1" ht="18" customHeight="1" x14ac:dyDescent="0.3">
      <c r="A305" s="36"/>
      <c r="B305" s="687" t="s">
        <v>358</v>
      </c>
      <c r="C305" s="687"/>
      <c r="D305" s="687"/>
      <c r="E305" s="30"/>
      <c r="F305" s="30"/>
      <c r="G305" s="30"/>
      <c r="H305" s="30"/>
      <c r="I305" s="30"/>
      <c r="J305" s="30"/>
      <c r="K305" s="395"/>
      <c r="L305" s="395"/>
      <c r="M305" s="395"/>
      <c r="N305" s="395"/>
      <c r="O305" s="395"/>
      <c r="P305" s="395"/>
      <c r="Q305" s="395"/>
      <c r="R305" s="395"/>
      <c r="S305" s="396"/>
      <c r="T305" s="396"/>
      <c r="U305" s="396"/>
      <c r="V305" s="396"/>
      <c r="W305" s="396"/>
      <c r="X305" s="396"/>
      <c r="Y305" s="396"/>
      <c r="Z305" s="396"/>
      <c r="AA305" s="396"/>
      <c r="AB305" s="396"/>
      <c r="AC305" s="396"/>
      <c r="AD305" s="396"/>
      <c r="AE305" s="396"/>
    </row>
    <row r="306" spans="1:31" ht="18" customHeight="1" x14ac:dyDescent="0.3">
      <c r="A306" s="36"/>
      <c r="B306" s="687" t="s">
        <v>359</v>
      </c>
      <c r="C306" s="687"/>
      <c r="D306" s="687"/>
    </row>
    <row r="307" spans="1:31" x14ac:dyDescent="0.3">
      <c r="K307" s="396"/>
      <c r="L307" s="396"/>
      <c r="M307" s="396"/>
      <c r="N307" s="396"/>
      <c r="O307" s="396"/>
      <c r="P307" s="396"/>
      <c r="Q307" s="396"/>
      <c r="R307" s="396"/>
    </row>
  </sheetData>
  <mergeCells count="82">
    <mergeCell ref="B2:G2"/>
    <mergeCell ref="B3:R3"/>
    <mergeCell ref="B4:R4"/>
    <mergeCell ref="Q5:R5"/>
    <mergeCell ref="D6:E6"/>
    <mergeCell ref="B7:B8"/>
    <mergeCell ref="C7:C8"/>
    <mergeCell ref="D7:E8"/>
    <mergeCell ref="F7:F8"/>
    <mergeCell ref="G7:G8"/>
    <mergeCell ref="H7:H8"/>
    <mergeCell ref="I7:I8"/>
    <mergeCell ref="J7:J8"/>
    <mergeCell ref="K7:O7"/>
    <mergeCell ref="P7:R7"/>
    <mergeCell ref="C47:E47"/>
    <mergeCell ref="D76:E76"/>
    <mergeCell ref="C77:E77"/>
    <mergeCell ref="D88:E88"/>
    <mergeCell ref="D89:E89"/>
    <mergeCell ref="D108:E108"/>
    <mergeCell ref="D109:E109"/>
    <mergeCell ref="D117:E117"/>
    <mergeCell ref="C123:E123"/>
    <mergeCell ref="B133:E133"/>
    <mergeCell ref="D144:E144"/>
    <mergeCell ref="D156:E156"/>
    <mergeCell ref="D161:E161"/>
    <mergeCell ref="D166:E166"/>
    <mergeCell ref="D171:E171"/>
    <mergeCell ref="D176:E176"/>
    <mergeCell ref="D181:E181"/>
    <mergeCell ref="D186:E186"/>
    <mergeCell ref="D191:E191"/>
    <mergeCell ref="D196:E196"/>
    <mergeCell ref="D201:E201"/>
    <mergeCell ref="D206:E206"/>
    <mergeCell ref="D211:E211"/>
    <mergeCell ref="D216:E216"/>
    <mergeCell ref="D221:E221"/>
    <mergeCell ref="D226:E226"/>
    <mergeCell ref="D231:E231"/>
    <mergeCell ref="D235:E235"/>
    <mergeCell ref="D239:E239"/>
    <mergeCell ref="D246:E246"/>
    <mergeCell ref="D247:E247"/>
    <mergeCell ref="D248:E248"/>
    <mergeCell ref="D249:E249"/>
    <mergeCell ref="D250:E250"/>
    <mergeCell ref="D251:E251"/>
    <mergeCell ref="D252:E252"/>
    <mergeCell ref="D253:E253"/>
    <mergeCell ref="D254:E254"/>
    <mergeCell ref="D255:E255"/>
    <mergeCell ref="D256:E256"/>
    <mergeCell ref="D257:E257"/>
    <mergeCell ref="D258:E258"/>
    <mergeCell ref="D259:E259"/>
    <mergeCell ref="D260:E260"/>
    <mergeCell ref="D261:E261"/>
    <mergeCell ref="D262:E262"/>
    <mergeCell ref="D263:E263"/>
    <mergeCell ref="D264:E264"/>
    <mergeCell ref="D265:E265"/>
    <mergeCell ref="D266:E266"/>
    <mergeCell ref="D267:E267"/>
    <mergeCell ref="D268:E268"/>
    <mergeCell ref="D269:E269"/>
    <mergeCell ref="D270:E270"/>
    <mergeCell ref="D271:E271"/>
    <mergeCell ref="D272:E272"/>
    <mergeCell ref="D273:E273"/>
    <mergeCell ref="D274:E274"/>
    <mergeCell ref="D275:E275"/>
    <mergeCell ref="C276:E276"/>
    <mergeCell ref="B298:E298"/>
    <mergeCell ref="B299:F299"/>
    <mergeCell ref="B281:E281"/>
    <mergeCell ref="B286:E286"/>
    <mergeCell ref="B287:F287"/>
    <mergeCell ref="B292:E292"/>
    <mergeCell ref="B293:F293"/>
  </mergeCells>
  <printOptions horizontalCentered="1"/>
  <pageMargins left="0.196527777777778" right="0.196527777777778" top="0.59027777777777801" bottom="0.59027777777777801" header="0.511811023622047" footer="0.51180555555555596"/>
  <pageSetup paperSize="9" scale="58" fitToHeight="0" orientation="landscape" verticalDpi="300" r:id="rId1"/>
  <headerFooter>
    <oddFooter>&amp;C -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N229"/>
  <sheetViews>
    <sheetView view="pageBreakPreview" zoomScaleNormal="100" workbookViewId="0">
      <selection activeCell="B1" sqref="B1:K1"/>
    </sheetView>
  </sheetViews>
  <sheetFormatPr defaultColWidth="9.28515625" defaultRowHeight="15" x14ac:dyDescent="0.3"/>
  <cols>
    <col min="1" max="1" width="3.7109375" style="688" customWidth="1"/>
    <col min="2" max="2" width="5.7109375" style="689" customWidth="1"/>
    <col min="3" max="3" width="5.7109375" style="690" customWidth="1"/>
    <col min="4" max="4" width="59.7109375" style="691" customWidth="1"/>
    <col min="5" max="5" width="6.7109375" style="692" customWidth="1"/>
    <col min="6" max="6" width="13.7109375" style="693" customWidth="1"/>
    <col min="7" max="7" width="14.5703125" style="693" customWidth="1"/>
    <col min="8" max="8" width="13.7109375" style="694" customWidth="1"/>
    <col min="9" max="10" width="14.28515625" style="694" customWidth="1"/>
    <col min="11" max="11" width="14.28515625" style="695" customWidth="1"/>
    <col min="12" max="12" width="14.28515625" style="696" customWidth="1"/>
    <col min="13" max="16384" width="9.28515625" style="696"/>
  </cols>
  <sheetData>
    <row r="1" spans="1:248" x14ac:dyDescent="0.3">
      <c r="B1" s="1968" t="s">
        <v>1105</v>
      </c>
      <c r="C1" s="1968"/>
      <c r="D1" s="1968"/>
      <c r="E1" s="1968"/>
      <c r="F1" s="1968"/>
      <c r="G1" s="1968"/>
      <c r="H1" s="1968"/>
      <c r="I1" s="1968"/>
      <c r="J1" s="1968"/>
      <c r="K1" s="1968"/>
    </row>
    <row r="2" spans="1:248" s="704" customFormat="1" ht="18" customHeight="1" x14ac:dyDescent="0.35">
      <c r="A2" s="697"/>
      <c r="B2" s="1969" t="s">
        <v>360</v>
      </c>
      <c r="C2" s="1969"/>
      <c r="D2" s="1969"/>
      <c r="E2" s="698"/>
      <c r="F2" s="699"/>
      <c r="G2" s="699"/>
      <c r="H2" s="700"/>
      <c r="I2" s="701"/>
      <c r="J2" s="701"/>
      <c r="K2" s="702"/>
      <c r="L2" s="703"/>
      <c r="M2" s="703"/>
      <c r="N2" s="703"/>
      <c r="O2" s="703"/>
      <c r="P2" s="703"/>
      <c r="Q2" s="703"/>
      <c r="R2" s="703"/>
      <c r="S2" s="703"/>
      <c r="T2" s="703"/>
      <c r="U2" s="703"/>
      <c r="V2" s="703"/>
      <c r="W2" s="703"/>
      <c r="X2" s="703"/>
      <c r="Y2" s="703"/>
      <c r="Z2" s="703"/>
      <c r="AA2" s="703"/>
      <c r="AB2" s="703"/>
      <c r="AC2" s="703"/>
      <c r="AD2" s="703"/>
      <c r="AE2" s="703"/>
      <c r="AF2" s="703"/>
      <c r="AG2" s="703"/>
      <c r="AH2" s="703"/>
      <c r="AI2" s="703"/>
      <c r="AJ2" s="703"/>
      <c r="AK2" s="703"/>
      <c r="AL2" s="703"/>
      <c r="AM2" s="703"/>
      <c r="AN2" s="703"/>
      <c r="AO2" s="703"/>
      <c r="AP2" s="703"/>
      <c r="AQ2" s="703"/>
      <c r="AR2" s="703"/>
      <c r="AS2" s="703"/>
      <c r="AT2" s="703"/>
      <c r="AU2" s="703"/>
      <c r="AV2" s="703"/>
      <c r="AW2" s="703"/>
      <c r="AX2" s="703"/>
      <c r="AY2" s="703"/>
      <c r="AZ2" s="703"/>
      <c r="BA2" s="703"/>
      <c r="BB2" s="703"/>
      <c r="BC2" s="703"/>
      <c r="BD2" s="703"/>
      <c r="BE2" s="703"/>
      <c r="BF2" s="703"/>
      <c r="BG2" s="703"/>
      <c r="BH2" s="703"/>
      <c r="BI2" s="703"/>
      <c r="BJ2" s="703"/>
      <c r="BK2" s="703"/>
      <c r="BL2" s="703"/>
      <c r="BM2" s="703"/>
      <c r="BN2" s="703"/>
      <c r="BO2" s="703"/>
      <c r="BP2" s="703"/>
      <c r="BQ2" s="703"/>
      <c r="BR2" s="703"/>
      <c r="BS2" s="703"/>
      <c r="BT2" s="703"/>
      <c r="BU2" s="703"/>
      <c r="BV2" s="703"/>
      <c r="BW2" s="703"/>
      <c r="BX2" s="703"/>
      <c r="BY2" s="703"/>
      <c r="BZ2" s="703"/>
      <c r="CA2" s="703"/>
      <c r="CB2" s="703"/>
      <c r="CC2" s="703"/>
      <c r="CD2" s="703"/>
      <c r="CE2" s="703"/>
      <c r="CF2" s="703"/>
      <c r="CG2" s="703"/>
      <c r="CH2" s="703"/>
      <c r="CI2" s="703"/>
      <c r="CJ2" s="703"/>
      <c r="CK2" s="703"/>
      <c r="CL2" s="703"/>
      <c r="CM2" s="703"/>
      <c r="CN2" s="703"/>
      <c r="CO2" s="703"/>
      <c r="CP2" s="703"/>
      <c r="CQ2" s="703"/>
      <c r="CR2" s="703"/>
      <c r="CS2" s="703"/>
      <c r="CT2" s="703"/>
      <c r="CU2" s="703"/>
      <c r="CV2" s="703"/>
      <c r="CW2" s="703"/>
      <c r="CX2" s="703"/>
      <c r="CY2" s="703"/>
      <c r="CZ2" s="703"/>
      <c r="DA2" s="703"/>
      <c r="DB2" s="703"/>
      <c r="DC2" s="703"/>
      <c r="DD2" s="703"/>
      <c r="DE2" s="703"/>
      <c r="DF2" s="703"/>
      <c r="DG2" s="703"/>
      <c r="DH2" s="703"/>
      <c r="DI2" s="703"/>
      <c r="DJ2" s="703"/>
      <c r="DK2" s="703"/>
      <c r="DL2" s="703"/>
      <c r="DM2" s="703"/>
      <c r="DN2" s="703"/>
      <c r="DO2" s="703"/>
      <c r="DP2" s="703"/>
      <c r="DQ2" s="703"/>
      <c r="DR2" s="703"/>
      <c r="DS2" s="703"/>
      <c r="DT2" s="703"/>
      <c r="DU2" s="703"/>
      <c r="DV2" s="703"/>
      <c r="DW2" s="703"/>
      <c r="DX2" s="703"/>
      <c r="DY2" s="703"/>
      <c r="DZ2" s="703"/>
      <c r="EA2" s="703"/>
      <c r="EB2" s="703"/>
      <c r="EC2" s="703"/>
      <c r="ED2" s="703"/>
      <c r="EE2" s="703"/>
      <c r="EF2" s="703"/>
      <c r="EG2" s="703"/>
      <c r="EH2" s="703"/>
      <c r="EI2" s="703"/>
      <c r="EJ2" s="703"/>
      <c r="EK2" s="703"/>
      <c r="EL2" s="703"/>
      <c r="EM2" s="703"/>
      <c r="EN2" s="703"/>
      <c r="EO2" s="703"/>
      <c r="EP2" s="703"/>
      <c r="EQ2" s="703"/>
      <c r="ER2" s="703"/>
      <c r="ES2" s="703"/>
      <c r="ET2" s="703"/>
      <c r="EU2" s="703"/>
      <c r="EV2" s="703"/>
      <c r="EW2" s="703"/>
      <c r="EX2" s="703"/>
      <c r="EY2" s="703"/>
      <c r="EZ2" s="703"/>
      <c r="FA2" s="703"/>
      <c r="FB2" s="703"/>
      <c r="FC2" s="703"/>
      <c r="FD2" s="703"/>
      <c r="FE2" s="703"/>
      <c r="FF2" s="703"/>
      <c r="FG2" s="703"/>
      <c r="FH2" s="703"/>
      <c r="FI2" s="703"/>
      <c r="FJ2" s="703"/>
      <c r="FK2" s="703"/>
      <c r="FL2" s="703"/>
      <c r="FM2" s="703"/>
      <c r="FN2" s="703"/>
      <c r="FO2" s="703"/>
      <c r="FP2" s="703"/>
      <c r="FQ2" s="703"/>
      <c r="FR2" s="703"/>
      <c r="FS2" s="703"/>
      <c r="FT2" s="703"/>
      <c r="FU2" s="703"/>
      <c r="FV2" s="703"/>
      <c r="FW2" s="703"/>
      <c r="FX2" s="703"/>
      <c r="FY2" s="703"/>
      <c r="FZ2" s="703"/>
      <c r="GA2" s="703"/>
      <c r="GB2" s="703"/>
      <c r="GC2" s="703"/>
      <c r="GD2" s="703"/>
      <c r="GE2" s="703"/>
      <c r="GF2" s="703"/>
      <c r="GG2" s="703"/>
      <c r="GH2" s="703"/>
      <c r="GI2" s="703"/>
      <c r="GJ2" s="703"/>
      <c r="GK2" s="703"/>
      <c r="GL2" s="703"/>
      <c r="GM2" s="703"/>
      <c r="GN2" s="703"/>
      <c r="GO2" s="703"/>
      <c r="GP2" s="703"/>
      <c r="GQ2" s="703"/>
      <c r="GR2" s="703"/>
      <c r="GS2" s="703"/>
      <c r="GT2" s="703"/>
      <c r="GU2" s="703"/>
      <c r="GV2" s="703"/>
      <c r="GW2" s="703"/>
      <c r="GX2" s="703"/>
      <c r="GY2" s="703"/>
      <c r="GZ2" s="703"/>
      <c r="HA2" s="703"/>
      <c r="HB2" s="703"/>
      <c r="HC2" s="703"/>
      <c r="HD2" s="703"/>
      <c r="HE2" s="703"/>
      <c r="HF2" s="703"/>
      <c r="HG2" s="703"/>
      <c r="HH2" s="703"/>
      <c r="HI2" s="703"/>
      <c r="HJ2" s="703"/>
      <c r="HK2" s="703"/>
      <c r="HL2" s="703"/>
      <c r="HM2" s="703"/>
      <c r="HN2" s="703"/>
      <c r="HO2" s="703"/>
      <c r="HP2" s="703"/>
      <c r="HQ2" s="703"/>
      <c r="HR2" s="703"/>
      <c r="HS2" s="703"/>
      <c r="HT2" s="703"/>
      <c r="HU2" s="703"/>
      <c r="HV2" s="703"/>
      <c r="HW2" s="703"/>
      <c r="HX2" s="703"/>
      <c r="HY2" s="703"/>
      <c r="HZ2" s="703"/>
      <c r="IA2" s="703"/>
      <c r="IB2" s="703"/>
      <c r="IC2" s="703"/>
      <c r="ID2" s="703"/>
      <c r="IE2" s="703"/>
      <c r="IF2" s="703"/>
      <c r="IG2" s="703"/>
      <c r="IH2" s="703"/>
      <c r="II2" s="703"/>
      <c r="IJ2" s="703"/>
      <c r="IK2" s="703"/>
      <c r="IL2" s="703"/>
      <c r="IM2" s="703"/>
      <c r="IN2" s="703"/>
    </row>
    <row r="3" spans="1:248" s="704" customFormat="1" ht="24.75" customHeight="1" x14ac:dyDescent="0.35">
      <c r="A3" s="705"/>
      <c r="B3" s="1970" t="s">
        <v>214</v>
      </c>
      <c r="C3" s="1970"/>
      <c r="D3" s="1970"/>
      <c r="E3" s="1970"/>
      <c r="F3" s="1970"/>
      <c r="G3" s="1970"/>
      <c r="H3" s="1970"/>
      <c r="I3" s="1970"/>
      <c r="J3" s="1970"/>
      <c r="K3" s="1970"/>
      <c r="L3" s="1970"/>
    </row>
    <row r="4" spans="1:248" s="704" customFormat="1" ht="24.75" customHeight="1" x14ac:dyDescent="0.3">
      <c r="A4" s="705"/>
      <c r="B4" s="1971" t="s">
        <v>361</v>
      </c>
      <c r="C4" s="1971"/>
      <c r="D4" s="1971"/>
      <c r="E4" s="1971"/>
      <c r="F4" s="1971"/>
      <c r="G4" s="1971"/>
      <c r="H4" s="1971"/>
      <c r="I4" s="1971"/>
      <c r="J4" s="1971"/>
      <c r="K4" s="1971"/>
      <c r="L4" s="1971"/>
    </row>
    <row r="5" spans="1:248" ht="11.25" customHeight="1" x14ac:dyDescent="0.3">
      <c r="A5" s="689"/>
      <c r="I5" s="706"/>
      <c r="J5" s="706"/>
      <c r="L5" s="706" t="s">
        <v>0</v>
      </c>
    </row>
    <row r="6" spans="1:248" s="711" customFormat="1" ht="18" customHeight="1" x14ac:dyDescent="0.3">
      <c r="A6" s="707"/>
      <c r="B6" s="708" t="s">
        <v>1</v>
      </c>
      <c r="C6" s="709" t="s">
        <v>2</v>
      </c>
      <c r="D6" s="709" t="s">
        <v>98</v>
      </c>
      <c r="E6" s="709" t="s">
        <v>99</v>
      </c>
      <c r="F6" s="709" t="s">
        <v>100</v>
      </c>
      <c r="G6" s="709" t="s">
        <v>101</v>
      </c>
      <c r="H6" s="709" t="s">
        <v>102</v>
      </c>
      <c r="I6" s="709" t="s">
        <v>103</v>
      </c>
      <c r="J6" s="709" t="s">
        <v>104</v>
      </c>
      <c r="K6" s="710" t="s">
        <v>105</v>
      </c>
      <c r="L6" s="707" t="s">
        <v>106</v>
      </c>
      <c r="M6" s="707"/>
      <c r="N6" s="707"/>
      <c r="O6" s="707"/>
      <c r="P6" s="707"/>
      <c r="Q6" s="707"/>
      <c r="R6" s="707"/>
      <c r="S6" s="707"/>
      <c r="T6" s="707"/>
      <c r="U6" s="707"/>
      <c r="V6" s="707"/>
      <c r="W6" s="707"/>
      <c r="X6" s="707"/>
      <c r="Y6" s="707"/>
      <c r="Z6" s="707"/>
      <c r="AA6" s="707"/>
      <c r="AB6" s="707"/>
      <c r="AC6" s="707"/>
      <c r="AD6" s="707"/>
      <c r="AE6" s="707"/>
      <c r="AF6" s="707"/>
      <c r="AG6" s="707"/>
      <c r="AH6" s="707"/>
      <c r="AI6" s="707"/>
      <c r="AJ6" s="707"/>
      <c r="AK6" s="707"/>
      <c r="AL6" s="707"/>
      <c r="AM6" s="707"/>
      <c r="AN6" s="707"/>
      <c r="AO6" s="707"/>
      <c r="AP6" s="707"/>
      <c r="AQ6" s="707"/>
      <c r="AR6" s="707"/>
      <c r="AS6" s="707"/>
      <c r="AT6" s="707"/>
      <c r="AU6" s="707"/>
      <c r="AV6" s="707"/>
      <c r="AW6" s="707"/>
      <c r="AX6" s="707"/>
      <c r="AY6" s="707"/>
      <c r="AZ6" s="707"/>
      <c r="BA6" s="707"/>
      <c r="BB6" s="707"/>
      <c r="BC6" s="707"/>
      <c r="BD6" s="707"/>
      <c r="BE6" s="707"/>
      <c r="BF6" s="707"/>
      <c r="BG6" s="707"/>
      <c r="BH6" s="707"/>
      <c r="BI6" s="707"/>
      <c r="BJ6" s="707"/>
      <c r="BK6" s="707"/>
      <c r="BL6" s="707"/>
      <c r="BM6" s="707"/>
      <c r="BN6" s="707"/>
      <c r="BO6" s="707"/>
      <c r="BP6" s="707"/>
      <c r="BQ6" s="707"/>
      <c r="BR6" s="707"/>
      <c r="BS6" s="707"/>
      <c r="BT6" s="707"/>
      <c r="BU6" s="707"/>
      <c r="BV6" s="707"/>
      <c r="BW6" s="707"/>
      <c r="BX6" s="707"/>
      <c r="BY6" s="707"/>
      <c r="BZ6" s="707"/>
      <c r="CA6" s="707"/>
      <c r="CB6" s="707"/>
      <c r="CC6" s="707"/>
      <c r="CD6" s="707"/>
      <c r="CE6" s="707"/>
      <c r="CF6" s="707"/>
      <c r="CG6" s="707"/>
      <c r="CH6" s="707"/>
      <c r="CI6" s="707"/>
      <c r="CJ6" s="707"/>
      <c r="CK6" s="707"/>
      <c r="CL6" s="707"/>
      <c r="CM6" s="707"/>
      <c r="CN6" s="707"/>
      <c r="CO6" s="707"/>
      <c r="CP6" s="707"/>
      <c r="CQ6" s="707"/>
      <c r="CR6" s="707"/>
      <c r="CS6" s="707"/>
      <c r="CT6" s="707"/>
      <c r="CU6" s="707"/>
      <c r="CV6" s="707"/>
      <c r="CW6" s="707"/>
      <c r="CX6" s="707"/>
      <c r="CY6" s="707"/>
      <c r="CZ6" s="707"/>
      <c r="DA6" s="707"/>
      <c r="DB6" s="707"/>
      <c r="DC6" s="707"/>
      <c r="DD6" s="707"/>
      <c r="DE6" s="707"/>
      <c r="DF6" s="707"/>
      <c r="DG6" s="707"/>
      <c r="DH6" s="707"/>
      <c r="DI6" s="707"/>
      <c r="DJ6" s="707"/>
      <c r="DK6" s="707"/>
      <c r="DL6" s="707"/>
      <c r="DM6" s="707"/>
      <c r="DN6" s="707"/>
      <c r="DO6" s="707"/>
      <c r="DP6" s="707"/>
      <c r="DQ6" s="707"/>
      <c r="DR6" s="707"/>
      <c r="DS6" s="707"/>
      <c r="DT6" s="707"/>
      <c r="DU6" s="707"/>
      <c r="DV6" s="707"/>
      <c r="DW6" s="707"/>
      <c r="DX6" s="707"/>
      <c r="DY6" s="707"/>
      <c r="DZ6" s="707"/>
      <c r="EA6" s="707"/>
      <c r="EB6" s="707"/>
      <c r="EC6" s="707"/>
      <c r="ED6" s="707"/>
      <c r="EE6" s="707"/>
      <c r="EF6" s="707"/>
      <c r="EG6" s="707"/>
      <c r="EH6" s="707"/>
      <c r="EI6" s="707"/>
      <c r="EJ6" s="707"/>
      <c r="EK6" s="707"/>
      <c r="EL6" s="707"/>
      <c r="EM6" s="707"/>
      <c r="EN6" s="707"/>
      <c r="EO6" s="707"/>
      <c r="EP6" s="707"/>
      <c r="EQ6" s="707"/>
      <c r="ER6" s="707"/>
      <c r="ES6" s="707"/>
      <c r="ET6" s="707"/>
      <c r="EU6" s="707"/>
      <c r="EV6" s="707"/>
      <c r="EW6" s="707"/>
      <c r="EX6" s="707"/>
      <c r="EY6" s="707"/>
      <c r="EZ6" s="707"/>
      <c r="FA6" s="707"/>
      <c r="FB6" s="707"/>
      <c r="FC6" s="707"/>
      <c r="FD6" s="707"/>
      <c r="FE6" s="707"/>
      <c r="FF6" s="707"/>
      <c r="FG6" s="707"/>
      <c r="FH6" s="707"/>
      <c r="FI6" s="707"/>
      <c r="FJ6" s="707"/>
      <c r="FK6" s="707"/>
      <c r="FL6" s="707"/>
      <c r="FM6" s="707"/>
      <c r="FN6" s="707"/>
      <c r="FO6" s="707"/>
      <c r="FP6" s="707"/>
      <c r="FQ6" s="707"/>
      <c r="FR6" s="707"/>
      <c r="FS6" s="707"/>
      <c r="FT6" s="707"/>
      <c r="FU6" s="707"/>
      <c r="FV6" s="707"/>
      <c r="FW6" s="707"/>
      <c r="FX6" s="707"/>
      <c r="FY6" s="707"/>
      <c r="FZ6" s="707"/>
      <c r="GA6" s="707"/>
      <c r="GB6" s="707"/>
      <c r="GC6" s="707"/>
      <c r="GD6" s="707"/>
      <c r="GE6" s="707"/>
      <c r="GF6" s="707"/>
      <c r="GG6" s="707"/>
      <c r="GH6" s="707"/>
      <c r="GI6" s="707"/>
      <c r="GJ6" s="707"/>
      <c r="GK6" s="707"/>
      <c r="GL6" s="707"/>
      <c r="GM6" s="707"/>
      <c r="GN6" s="707"/>
      <c r="GO6" s="707"/>
      <c r="GP6" s="707"/>
      <c r="GQ6" s="707"/>
      <c r="GR6" s="707"/>
      <c r="GS6" s="707"/>
      <c r="GT6" s="707"/>
      <c r="GU6" s="707"/>
      <c r="GV6" s="707"/>
      <c r="GW6" s="707"/>
      <c r="GX6" s="707"/>
      <c r="GY6" s="707"/>
      <c r="GZ6" s="707"/>
      <c r="HA6" s="707"/>
      <c r="HB6" s="707"/>
      <c r="HC6" s="707"/>
      <c r="HD6" s="707"/>
      <c r="HE6" s="707"/>
      <c r="HF6" s="707"/>
      <c r="HG6" s="707"/>
      <c r="HH6" s="707"/>
      <c r="HI6" s="707"/>
      <c r="HJ6" s="707"/>
      <c r="HK6" s="707"/>
      <c r="HL6" s="707"/>
      <c r="HM6" s="707"/>
      <c r="HN6" s="707"/>
      <c r="HO6" s="707"/>
      <c r="HP6" s="707"/>
      <c r="HQ6" s="707"/>
      <c r="HR6" s="707"/>
      <c r="HS6" s="707"/>
      <c r="HT6" s="707"/>
      <c r="HU6" s="707"/>
      <c r="HV6" s="707"/>
      <c r="HW6" s="707"/>
      <c r="HX6" s="707"/>
      <c r="HY6" s="707"/>
      <c r="HZ6" s="707"/>
      <c r="IA6" s="707"/>
      <c r="IB6" s="707"/>
      <c r="IC6" s="707"/>
      <c r="ID6" s="707"/>
      <c r="IE6" s="707"/>
      <c r="IF6" s="707"/>
      <c r="IG6" s="707"/>
      <c r="IH6" s="707"/>
      <c r="II6" s="707"/>
      <c r="IJ6" s="707"/>
      <c r="IK6" s="707"/>
      <c r="IL6" s="707"/>
      <c r="IM6" s="707"/>
      <c r="IN6" s="707"/>
    </row>
    <row r="7" spans="1:248" ht="30" customHeight="1" x14ac:dyDescent="0.3">
      <c r="B7" s="1972" t="s">
        <v>108</v>
      </c>
      <c r="C7" s="1973" t="s">
        <v>109</v>
      </c>
      <c r="D7" s="1974" t="s">
        <v>3</v>
      </c>
      <c r="E7" s="1975" t="s">
        <v>362</v>
      </c>
      <c r="F7" s="1976" t="s">
        <v>363</v>
      </c>
      <c r="G7" s="1976" t="s">
        <v>113</v>
      </c>
      <c r="H7" s="1977" t="s">
        <v>364</v>
      </c>
      <c r="I7" s="1978" t="s">
        <v>365</v>
      </c>
      <c r="J7" s="1979" t="s">
        <v>116</v>
      </c>
      <c r="K7" s="1980" t="s">
        <v>117</v>
      </c>
      <c r="L7" s="1981" t="s">
        <v>118</v>
      </c>
    </row>
    <row r="8" spans="1:248" ht="60.75" customHeight="1" x14ac:dyDescent="0.3">
      <c r="B8" s="1972"/>
      <c r="C8" s="1973"/>
      <c r="D8" s="1974"/>
      <c r="E8" s="1975"/>
      <c r="F8" s="1976"/>
      <c r="G8" s="1976"/>
      <c r="H8" s="1977"/>
      <c r="I8" s="1978"/>
      <c r="J8" s="1979"/>
      <c r="K8" s="1980"/>
      <c r="L8" s="1981"/>
    </row>
    <row r="9" spans="1:248" s="724" customFormat="1" ht="22.5" customHeight="1" x14ac:dyDescent="0.3">
      <c r="A9" s="712">
        <v>1</v>
      </c>
      <c r="B9" s="713">
        <v>1</v>
      </c>
      <c r="C9" s="714" t="s">
        <v>41</v>
      </c>
      <c r="D9" s="715"/>
      <c r="E9" s="716" t="s">
        <v>106</v>
      </c>
      <c r="F9" s="717">
        <v>6932</v>
      </c>
      <c r="G9" s="718"/>
      <c r="H9" s="719">
        <v>2090</v>
      </c>
      <c r="I9" s="720"/>
      <c r="J9" s="721"/>
      <c r="K9" s="722"/>
      <c r="L9" s="723"/>
    </row>
    <row r="10" spans="1:248" ht="46.5" customHeight="1" x14ac:dyDescent="0.3">
      <c r="A10" s="712">
        <v>2</v>
      </c>
      <c r="B10" s="713"/>
      <c r="C10" s="725">
        <v>1</v>
      </c>
      <c r="D10" s="726" t="s">
        <v>366</v>
      </c>
      <c r="E10" s="716"/>
      <c r="F10" s="727"/>
      <c r="G10" s="728"/>
      <c r="H10" s="729"/>
      <c r="I10" s="730">
        <v>600</v>
      </c>
      <c r="J10" s="731">
        <v>856</v>
      </c>
      <c r="K10" s="732"/>
      <c r="L10" s="733">
        <f>SUM(J10:K10)</f>
        <v>856</v>
      </c>
    </row>
    <row r="11" spans="1:248" ht="18" customHeight="1" x14ac:dyDescent="0.3">
      <c r="A11" s="712">
        <v>3</v>
      </c>
      <c r="B11" s="713"/>
      <c r="C11" s="734">
        <v>3</v>
      </c>
      <c r="D11" s="726" t="s">
        <v>367</v>
      </c>
      <c r="E11" s="716"/>
      <c r="F11" s="727"/>
      <c r="G11" s="728"/>
      <c r="H11" s="729"/>
      <c r="I11" s="730"/>
      <c r="J11" s="731">
        <v>8680</v>
      </c>
      <c r="K11" s="732"/>
      <c r="L11" s="733">
        <f>SUM(J11:K11)</f>
        <v>8680</v>
      </c>
    </row>
    <row r="12" spans="1:248" ht="18" customHeight="1" x14ac:dyDescent="0.3">
      <c r="A12" s="712">
        <v>4</v>
      </c>
      <c r="B12" s="713"/>
      <c r="C12" s="735" t="s">
        <v>368</v>
      </c>
      <c r="D12" s="736"/>
      <c r="E12" s="716"/>
      <c r="F12" s="717">
        <v>948</v>
      </c>
      <c r="G12" s="718"/>
      <c r="H12" s="719">
        <v>314</v>
      </c>
      <c r="I12" s="730"/>
      <c r="J12" s="731"/>
      <c r="K12" s="732"/>
      <c r="L12" s="737"/>
    </row>
    <row r="13" spans="1:248" ht="28.5" customHeight="1" x14ac:dyDescent="0.3">
      <c r="A13" s="712">
        <v>5</v>
      </c>
      <c r="B13" s="713"/>
      <c r="C13" s="725">
        <v>2</v>
      </c>
      <c r="D13" s="726" t="s">
        <v>369</v>
      </c>
      <c r="E13" s="716"/>
      <c r="F13" s="727"/>
      <c r="G13" s="728"/>
      <c r="H13" s="729"/>
      <c r="I13" s="730">
        <v>300</v>
      </c>
      <c r="J13" s="731">
        <v>225</v>
      </c>
      <c r="K13" s="732"/>
      <c r="L13" s="733">
        <f>SUM(J13:K13)</f>
        <v>225</v>
      </c>
    </row>
    <row r="14" spans="1:248" ht="18" customHeight="1" x14ac:dyDescent="0.3">
      <c r="A14" s="712">
        <v>6</v>
      </c>
      <c r="B14" s="713"/>
      <c r="C14" s="734">
        <v>4</v>
      </c>
      <c r="D14" s="726" t="s">
        <v>370</v>
      </c>
      <c r="E14" s="716"/>
      <c r="F14" s="727"/>
      <c r="G14" s="728"/>
      <c r="H14" s="729"/>
      <c r="I14" s="730"/>
      <c r="J14" s="731">
        <v>200</v>
      </c>
      <c r="K14" s="732"/>
      <c r="L14" s="733">
        <f>SUM(J14:K14)</f>
        <v>200</v>
      </c>
    </row>
    <row r="15" spans="1:248" ht="18" customHeight="1" x14ac:dyDescent="0.3">
      <c r="A15" s="712">
        <v>7</v>
      </c>
      <c r="B15" s="713"/>
      <c r="C15" s="734">
        <v>5</v>
      </c>
      <c r="D15" s="726" t="s">
        <v>371</v>
      </c>
      <c r="E15" s="716"/>
      <c r="F15" s="727"/>
      <c r="G15" s="728"/>
      <c r="H15" s="729"/>
      <c r="I15" s="730"/>
      <c r="J15" s="731">
        <v>580</v>
      </c>
      <c r="K15" s="732"/>
      <c r="L15" s="733">
        <f>SUM(J15:K15)</f>
        <v>580</v>
      </c>
    </row>
    <row r="16" spans="1:248" s="724" customFormat="1" ht="22.5" customHeight="1" x14ac:dyDescent="0.3">
      <c r="A16" s="712">
        <v>8</v>
      </c>
      <c r="B16" s="713">
        <v>2</v>
      </c>
      <c r="C16" s="738" t="s">
        <v>42</v>
      </c>
      <c r="D16" s="715"/>
      <c r="E16" s="716" t="s">
        <v>106</v>
      </c>
      <c r="F16" s="717">
        <v>2478</v>
      </c>
      <c r="G16" s="718"/>
      <c r="H16" s="719">
        <v>2754</v>
      </c>
      <c r="I16" s="720"/>
      <c r="J16" s="721"/>
      <c r="K16" s="739"/>
      <c r="L16" s="740"/>
    </row>
    <row r="17" spans="1:12" ht="138.75" customHeight="1" x14ac:dyDescent="0.3">
      <c r="A17" s="712">
        <v>9</v>
      </c>
      <c r="B17" s="713"/>
      <c r="C17" s="725">
        <v>1</v>
      </c>
      <c r="D17" s="726" t="s">
        <v>372</v>
      </c>
      <c r="E17" s="716"/>
      <c r="F17" s="727"/>
      <c r="G17" s="728"/>
      <c r="H17" s="729"/>
      <c r="I17" s="730">
        <v>1100</v>
      </c>
      <c r="J17" s="731">
        <v>3700</v>
      </c>
      <c r="K17" s="732">
        <v>2500</v>
      </c>
      <c r="L17" s="733">
        <f>SUM(J17:K17)</f>
        <v>6200</v>
      </c>
    </row>
    <row r="18" spans="1:12" ht="49.5" customHeight="1" x14ac:dyDescent="0.3">
      <c r="A18" s="712">
        <v>10</v>
      </c>
      <c r="B18" s="713"/>
      <c r="C18" s="725">
        <v>2</v>
      </c>
      <c r="D18" s="726" t="s">
        <v>373</v>
      </c>
      <c r="E18" s="716"/>
      <c r="F18" s="727"/>
      <c r="G18" s="728"/>
      <c r="H18" s="729"/>
      <c r="I18" s="730"/>
      <c r="J18" s="731">
        <v>400</v>
      </c>
      <c r="K18" s="732"/>
      <c r="L18" s="733">
        <f>SUM(J18:K18)</f>
        <v>400</v>
      </c>
    </row>
    <row r="19" spans="1:12" ht="18" customHeight="1" x14ac:dyDescent="0.3">
      <c r="A19" s="712">
        <v>11</v>
      </c>
      <c r="B19" s="713"/>
      <c r="C19" s="735" t="s">
        <v>58</v>
      </c>
      <c r="D19" s="736"/>
      <c r="E19" s="716"/>
      <c r="F19" s="717">
        <v>336</v>
      </c>
      <c r="G19" s="718"/>
      <c r="H19" s="719">
        <v>764</v>
      </c>
      <c r="I19" s="730"/>
      <c r="J19" s="731"/>
      <c r="K19" s="732"/>
      <c r="L19" s="737"/>
    </row>
    <row r="20" spans="1:12" ht="123.75" customHeight="1" x14ac:dyDescent="0.3">
      <c r="A20" s="712">
        <v>12</v>
      </c>
      <c r="B20" s="713"/>
      <c r="C20" s="725">
        <v>3</v>
      </c>
      <c r="D20" s="726" t="s">
        <v>374</v>
      </c>
      <c r="E20" s="716"/>
      <c r="F20" s="727"/>
      <c r="G20" s="728"/>
      <c r="H20" s="729"/>
      <c r="I20" s="730">
        <v>600</v>
      </c>
      <c r="J20" s="731">
        <v>3000</v>
      </c>
      <c r="K20" s="732">
        <v>500</v>
      </c>
      <c r="L20" s="733">
        <f>SUM(J20:K20)</f>
        <v>3500</v>
      </c>
    </row>
    <row r="21" spans="1:12" ht="18" customHeight="1" x14ac:dyDescent="0.3">
      <c r="A21" s="712">
        <v>13</v>
      </c>
      <c r="B21" s="713"/>
      <c r="C21" s="725">
        <v>4</v>
      </c>
      <c r="D21" s="726" t="s">
        <v>375</v>
      </c>
      <c r="E21" s="716"/>
      <c r="F21" s="727"/>
      <c r="G21" s="728"/>
      <c r="H21" s="729"/>
      <c r="I21" s="730"/>
      <c r="J21" s="731">
        <v>1000</v>
      </c>
      <c r="K21" s="732"/>
      <c r="L21" s="733">
        <f>SUM(J21:K21)</f>
        <v>1000</v>
      </c>
    </row>
    <row r="22" spans="1:12" ht="18" customHeight="1" x14ac:dyDescent="0.3">
      <c r="A22" s="712">
        <v>14</v>
      </c>
      <c r="B22" s="713"/>
      <c r="C22" s="725">
        <v>5</v>
      </c>
      <c r="D22" s="726" t="s">
        <v>376</v>
      </c>
      <c r="E22" s="716"/>
      <c r="F22" s="727"/>
      <c r="G22" s="728"/>
      <c r="H22" s="729"/>
      <c r="I22" s="730"/>
      <c r="J22" s="731">
        <v>500</v>
      </c>
      <c r="K22" s="732"/>
      <c r="L22" s="733">
        <f>SUM(J22:K22)</f>
        <v>500</v>
      </c>
    </row>
    <row r="23" spans="1:12" s="724" customFormat="1" ht="22.5" customHeight="1" x14ac:dyDescent="0.3">
      <c r="A23" s="712">
        <v>15</v>
      </c>
      <c r="B23" s="713">
        <v>3</v>
      </c>
      <c r="C23" s="738" t="s">
        <v>44</v>
      </c>
      <c r="D23" s="715"/>
      <c r="E23" s="716" t="s">
        <v>106</v>
      </c>
      <c r="F23" s="717">
        <v>1197</v>
      </c>
      <c r="G23" s="718"/>
      <c r="H23" s="719">
        <v>2251</v>
      </c>
      <c r="I23" s="720"/>
      <c r="J23" s="721"/>
      <c r="K23" s="739"/>
      <c r="L23" s="740"/>
    </row>
    <row r="24" spans="1:12" ht="62.25" customHeight="1" x14ac:dyDescent="0.3">
      <c r="A24" s="712">
        <v>16</v>
      </c>
      <c r="B24" s="713"/>
      <c r="C24" s="734">
        <v>1</v>
      </c>
      <c r="D24" s="726" t="s">
        <v>377</v>
      </c>
      <c r="E24" s="716"/>
      <c r="F24" s="727"/>
      <c r="G24" s="728"/>
      <c r="H24" s="729"/>
      <c r="I24" s="730">
        <v>1000</v>
      </c>
      <c r="J24" s="731">
        <v>1961</v>
      </c>
      <c r="K24" s="732"/>
      <c r="L24" s="733">
        <f>SUM(J24:K24)</f>
        <v>1961</v>
      </c>
    </row>
    <row r="25" spans="1:12" ht="18" customHeight="1" x14ac:dyDescent="0.3">
      <c r="A25" s="712">
        <v>17</v>
      </c>
      <c r="B25" s="713"/>
      <c r="C25" s="734">
        <v>3</v>
      </c>
      <c r="D25" s="726" t="s">
        <v>378</v>
      </c>
      <c r="E25" s="716"/>
      <c r="F25" s="727"/>
      <c r="G25" s="728"/>
      <c r="H25" s="729"/>
      <c r="I25" s="730"/>
      <c r="J25" s="731">
        <v>400</v>
      </c>
      <c r="K25" s="732">
        <v>250</v>
      </c>
      <c r="L25" s="733">
        <f>SUM(J25:K25)</f>
        <v>650</v>
      </c>
    </row>
    <row r="26" spans="1:12" ht="18" customHeight="1" x14ac:dyDescent="0.3">
      <c r="A26" s="712">
        <v>18</v>
      </c>
      <c r="B26" s="713"/>
      <c r="C26" s="734">
        <v>4</v>
      </c>
      <c r="D26" s="726" t="s">
        <v>379</v>
      </c>
      <c r="E26" s="716"/>
      <c r="F26" s="727"/>
      <c r="G26" s="728"/>
      <c r="H26" s="729"/>
      <c r="I26" s="730"/>
      <c r="J26" s="731">
        <v>4000</v>
      </c>
      <c r="K26" s="732">
        <v>-4000</v>
      </c>
      <c r="L26" s="733">
        <f>SUM(J26:K26)</f>
        <v>0</v>
      </c>
    </row>
    <row r="27" spans="1:12" ht="18" customHeight="1" x14ac:dyDescent="0.3">
      <c r="A27" s="712">
        <v>19</v>
      </c>
      <c r="B27" s="713"/>
      <c r="C27" s="734">
        <v>5</v>
      </c>
      <c r="D27" s="726" t="s">
        <v>380</v>
      </c>
      <c r="E27" s="716"/>
      <c r="F27" s="727"/>
      <c r="G27" s="728"/>
      <c r="H27" s="729"/>
      <c r="I27" s="730"/>
      <c r="J27" s="731">
        <v>400</v>
      </c>
      <c r="K27" s="732"/>
      <c r="L27" s="733">
        <f>SUM(J27:K27)</f>
        <v>400</v>
      </c>
    </row>
    <row r="28" spans="1:12" ht="18" customHeight="1" x14ac:dyDescent="0.3">
      <c r="A28" s="712">
        <v>20</v>
      </c>
      <c r="B28" s="713"/>
      <c r="C28" s="735" t="s">
        <v>381</v>
      </c>
      <c r="D28" s="736"/>
      <c r="E28" s="716"/>
      <c r="F28" s="717">
        <v>328</v>
      </c>
      <c r="G28" s="718"/>
      <c r="H28" s="719">
        <v>414</v>
      </c>
      <c r="I28" s="730"/>
      <c r="J28" s="731"/>
      <c r="K28" s="732"/>
      <c r="L28" s="737"/>
    </row>
    <row r="29" spans="1:12" ht="29.25" customHeight="1" x14ac:dyDescent="0.3">
      <c r="A29" s="712">
        <v>21</v>
      </c>
      <c r="B29" s="713"/>
      <c r="C29" s="734">
        <v>2</v>
      </c>
      <c r="D29" s="726" t="s">
        <v>382</v>
      </c>
      <c r="E29" s="716"/>
      <c r="F29" s="727"/>
      <c r="G29" s="728"/>
      <c r="H29" s="729"/>
      <c r="I29" s="730">
        <v>1000</v>
      </c>
      <c r="J29" s="731">
        <v>850</v>
      </c>
      <c r="K29" s="732"/>
      <c r="L29" s="733">
        <f>SUM(J29:K29)</f>
        <v>850</v>
      </c>
    </row>
    <row r="30" spans="1:12" s="724" customFormat="1" ht="22.5" customHeight="1" x14ac:dyDescent="0.3">
      <c r="A30" s="712">
        <v>22</v>
      </c>
      <c r="B30" s="713">
        <v>4</v>
      </c>
      <c r="C30" s="738" t="s">
        <v>238</v>
      </c>
      <c r="D30" s="715"/>
      <c r="E30" s="716" t="s">
        <v>106</v>
      </c>
      <c r="F30" s="717">
        <v>5084</v>
      </c>
      <c r="G30" s="718"/>
      <c r="H30" s="719">
        <v>2906</v>
      </c>
      <c r="I30" s="720"/>
      <c r="J30" s="721"/>
      <c r="K30" s="739"/>
      <c r="L30" s="740"/>
    </row>
    <row r="31" spans="1:12" ht="18" customHeight="1" x14ac:dyDescent="0.3">
      <c r="A31" s="712">
        <v>23</v>
      </c>
      <c r="B31" s="713"/>
      <c r="C31" s="734">
        <v>1</v>
      </c>
      <c r="D31" s="726" t="s">
        <v>383</v>
      </c>
      <c r="E31" s="716"/>
      <c r="F31" s="727"/>
      <c r="G31" s="728"/>
      <c r="H31" s="729"/>
      <c r="I31" s="730">
        <v>1100</v>
      </c>
      <c r="J31" s="731">
        <v>530</v>
      </c>
      <c r="K31" s="732"/>
      <c r="L31" s="733">
        <f t="shared" ref="L31:L37" si="0">SUM(J31:K31)</f>
        <v>530</v>
      </c>
    </row>
    <row r="32" spans="1:12" ht="18" customHeight="1" x14ac:dyDescent="0.3">
      <c r="A32" s="712">
        <v>24</v>
      </c>
      <c r="B32" s="713"/>
      <c r="C32" s="734">
        <v>2</v>
      </c>
      <c r="D32" s="726" t="s">
        <v>384</v>
      </c>
      <c r="E32" s="716"/>
      <c r="F32" s="727"/>
      <c r="G32" s="728"/>
      <c r="H32" s="729"/>
      <c r="I32" s="730"/>
      <c r="J32" s="731">
        <v>800</v>
      </c>
      <c r="K32" s="732"/>
      <c r="L32" s="733">
        <f t="shared" si="0"/>
        <v>800</v>
      </c>
    </row>
    <row r="33" spans="1:12" ht="18" customHeight="1" x14ac:dyDescent="0.3">
      <c r="A33" s="712">
        <v>25</v>
      </c>
      <c r="B33" s="713"/>
      <c r="C33" s="734">
        <v>3</v>
      </c>
      <c r="D33" s="726" t="s">
        <v>379</v>
      </c>
      <c r="E33" s="716"/>
      <c r="F33" s="727"/>
      <c r="G33" s="728"/>
      <c r="H33" s="729"/>
      <c r="I33" s="730"/>
      <c r="J33" s="731">
        <v>2100</v>
      </c>
      <c r="K33" s="732"/>
      <c r="L33" s="733">
        <f t="shared" si="0"/>
        <v>2100</v>
      </c>
    </row>
    <row r="34" spans="1:12" ht="18" customHeight="1" x14ac:dyDescent="0.3">
      <c r="A34" s="712">
        <v>26</v>
      </c>
      <c r="B34" s="713"/>
      <c r="C34" s="734">
        <v>4</v>
      </c>
      <c r="D34" s="726" t="s">
        <v>385</v>
      </c>
      <c r="E34" s="716"/>
      <c r="F34" s="727"/>
      <c r="G34" s="728"/>
      <c r="H34" s="729"/>
      <c r="I34" s="730"/>
      <c r="J34" s="731">
        <v>315</v>
      </c>
      <c r="K34" s="732"/>
      <c r="L34" s="733">
        <f t="shared" si="0"/>
        <v>315</v>
      </c>
    </row>
    <row r="35" spans="1:12" ht="18" customHeight="1" x14ac:dyDescent="0.3">
      <c r="A35" s="712">
        <v>27</v>
      </c>
      <c r="B35" s="713"/>
      <c r="C35" s="734">
        <v>5</v>
      </c>
      <c r="D35" s="726" t="s">
        <v>386</v>
      </c>
      <c r="E35" s="716"/>
      <c r="F35" s="727"/>
      <c r="G35" s="728"/>
      <c r="H35" s="729"/>
      <c r="I35" s="730"/>
      <c r="J35" s="731">
        <v>300</v>
      </c>
      <c r="K35" s="732"/>
      <c r="L35" s="733">
        <f t="shared" si="0"/>
        <v>300</v>
      </c>
    </row>
    <row r="36" spans="1:12" ht="18" customHeight="1" x14ac:dyDescent="0.3">
      <c r="A36" s="712">
        <v>28</v>
      </c>
      <c r="B36" s="713"/>
      <c r="C36" s="734">
        <v>6</v>
      </c>
      <c r="D36" s="726" t="s">
        <v>387</v>
      </c>
      <c r="E36" s="716"/>
      <c r="F36" s="727"/>
      <c r="G36" s="728"/>
      <c r="H36" s="729"/>
      <c r="I36" s="730"/>
      <c r="J36" s="731">
        <v>440</v>
      </c>
      <c r="K36" s="732"/>
      <c r="L36" s="733">
        <f t="shared" si="0"/>
        <v>440</v>
      </c>
    </row>
    <row r="37" spans="1:12" ht="18" customHeight="1" x14ac:dyDescent="0.3">
      <c r="A37" s="712">
        <v>29</v>
      </c>
      <c r="B37" s="713"/>
      <c r="C37" s="734">
        <v>7</v>
      </c>
      <c r="D37" s="726" t="s">
        <v>388</v>
      </c>
      <c r="E37" s="716"/>
      <c r="F37" s="727"/>
      <c r="G37" s="728"/>
      <c r="H37" s="729"/>
      <c r="I37" s="730"/>
      <c r="J37" s="731">
        <v>315</v>
      </c>
      <c r="K37" s="732"/>
      <c r="L37" s="733">
        <f t="shared" si="0"/>
        <v>315</v>
      </c>
    </row>
    <row r="38" spans="1:12" ht="18" customHeight="1" x14ac:dyDescent="0.3">
      <c r="A38" s="712">
        <v>30</v>
      </c>
      <c r="B38" s="713"/>
      <c r="C38" s="741" t="s">
        <v>389</v>
      </c>
      <c r="D38" s="742"/>
      <c r="E38" s="716"/>
      <c r="F38" s="717">
        <v>1157</v>
      </c>
      <c r="G38" s="718"/>
      <c r="H38" s="719">
        <v>1235</v>
      </c>
      <c r="I38" s="730"/>
      <c r="J38" s="731"/>
      <c r="K38" s="732"/>
      <c r="L38" s="737"/>
    </row>
    <row r="39" spans="1:12" ht="32.25" customHeight="1" x14ac:dyDescent="0.3">
      <c r="A39" s="712">
        <v>31</v>
      </c>
      <c r="B39" s="713"/>
      <c r="C39" s="725">
        <v>8</v>
      </c>
      <c r="D39" s="726" t="s">
        <v>390</v>
      </c>
      <c r="E39" s="716"/>
      <c r="F39" s="727"/>
      <c r="G39" s="728"/>
      <c r="H39" s="729"/>
      <c r="I39" s="730">
        <v>300</v>
      </c>
      <c r="J39" s="731">
        <v>605</v>
      </c>
      <c r="K39" s="732"/>
      <c r="L39" s="733">
        <f>SUM(J39:K39)</f>
        <v>605</v>
      </c>
    </row>
    <row r="40" spans="1:12" ht="18" customHeight="1" x14ac:dyDescent="0.3">
      <c r="A40" s="712">
        <v>32</v>
      </c>
      <c r="B40" s="713"/>
      <c r="C40" s="734">
        <v>9</v>
      </c>
      <c r="D40" s="726" t="s">
        <v>384</v>
      </c>
      <c r="E40" s="716"/>
      <c r="F40" s="727"/>
      <c r="G40" s="728"/>
      <c r="H40" s="729"/>
      <c r="I40" s="730"/>
      <c r="J40" s="731">
        <v>265</v>
      </c>
      <c r="K40" s="732"/>
      <c r="L40" s="733">
        <f>SUM(J40:K40)</f>
        <v>265</v>
      </c>
    </row>
    <row r="41" spans="1:12" ht="18" customHeight="1" x14ac:dyDescent="0.3">
      <c r="A41" s="712">
        <v>33</v>
      </c>
      <c r="B41" s="713"/>
      <c r="C41" s="734">
        <v>10</v>
      </c>
      <c r="D41" s="726" t="s">
        <v>391</v>
      </c>
      <c r="E41" s="716"/>
      <c r="F41" s="727"/>
      <c r="G41" s="728"/>
      <c r="H41" s="729"/>
      <c r="I41" s="730"/>
      <c r="J41" s="731">
        <v>350</v>
      </c>
      <c r="K41" s="732"/>
      <c r="L41" s="733">
        <f>SUM(J41:K41)</f>
        <v>350</v>
      </c>
    </row>
    <row r="42" spans="1:12" s="724" customFormat="1" ht="22.5" customHeight="1" x14ac:dyDescent="0.3">
      <c r="A42" s="712">
        <v>34</v>
      </c>
      <c r="B42" s="713">
        <v>5</v>
      </c>
      <c r="C42" s="738" t="s">
        <v>241</v>
      </c>
      <c r="D42" s="715"/>
      <c r="E42" s="716" t="s">
        <v>106</v>
      </c>
      <c r="F42" s="717">
        <v>1178</v>
      </c>
      <c r="G42" s="718"/>
      <c r="H42" s="719">
        <v>1668</v>
      </c>
      <c r="I42" s="720"/>
      <c r="J42" s="721"/>
      <c r="K42" s="739"/>
      <c r="L42" s="740"/>
    </row>
    <row r="43" spans="1:12" ht="18" customHeight="1" x14ac:dyDescent="0.3">
      <c r="A43" s="712">
        <v>35</v>
      </c>
      <c r="B43" s="713"/>
      <c r="C43" s="734">
        <v>1</v>
      </c>
      <c r="D43" s="726" t="s">
        <v>392</v>
      </c>
      <c r="E43" s="716"/>
      <c r="F43" s="727"/>
      <c r="G43" s="728"/>
      <c r="H43" s="729"/>
      <c r="I43" s="730">
        <v>800</v>
      </c>
      <c r="J43" s="731">
        <v>973</v>
      </c>
      <c r="K43" s="732"/>
      <c r="L43" s="733">
        <f>SUM(J43:K43)</f>
        <v>973</v>
      </c>
    </row>
    <row r="44" spans="1:12" ht="32.25" customHeight="1" x14ac:dyDescent="0.3">
      <c r="A44" s="712">
        <v>36</v>
      </c>
      <c r="B44" s="713"/>
      <c r="C44" s="725">
        <v>2</v>
      </c>
      <c r="D44" s="726" t="s">
        <v>393</v>
      </c>
      <c r="E44" s="716"/>
      <c r="F44" s="727"/>
      <c r="G44" s="728"/>
      <c r="H44" s="729"/>
      <c r="I44" s="730"/>
      <c r="J44" s="731">
        <v>0</v>
      </c>
      <c r="K44" s="732"/>
      <c r="L44" s="733">
        <f>SUM(J44:K44)</f>
        <v>0</v>
      </c>
    </row>
    <row r="45" spans="1:12" ht="18" customHeight="1" x14ac:dyDescent="0.3">
      <c r="A45" s="712">
        <v>37</v>
      </c>
      <c r="B45" s="713"/>
      <c r="C45" s="725">
        <v>3</v>
      </c>
      <c r="D45" s="726" t="s">
        <v>394</v>
      </c>
      <c r="E45" s="716"/>
      <c r="F45" s="727"/>
      <c r="G45" s="728"/>
      <c r="H45" s="729"/>
      <c r="I45" s="730"/>
      <c r="J45" s="731">
        <v>0</v>
      </c>
      <c r="K45" s="732"/>
      <c r="L45" s="733">
        <f>SUM(J45:K45)</f>
        <v>0</v>
      </c>
    </row>
    <row r="46" spans="1:12" ht="18" customHeight="1" x14ac:dyDescent="0.3">
      <c r="A46" s="712">
        <v>38</v>
      </c>
      <c r="B46" s="713"/>
      <c r="C46" s="725">
        <v>7</v>
      </c>
      <c r="D46" s="726" t="s">
        <v>395</v>
      </c>
      <c r="E46" s="716"/>
      <c r="F46" s="727"/>
      <c r="G46" s="728"/>
      <c r="H46" s="729"/>
      <c r="I46" s="730"/>
      <c r="J46" s="731">
        <v>1200</v>
      </c>
      <c r="K46" s="732">
        <v>-1200</v>
      </c>
      <c r="L46" s="733">
        <f>SUM(J46:K46)</f>
        <v>0</v>
      </c>
    </row>
    <row r="47" spans="1:12" ht="33" customHeight="1" x14ac:dyDescent="0.3">
      <c r="A47" s="712">
        <v>39</v>
      </c>
      <c r="B47" s="713"/>
      <c r="C47" s="725">
        <v>9</v>
      </c>
      <c r="D47" s="726" t="s">
        <v>396</v>
      </c>
      <c r="E47" s="716"/>
      <c r="F47" s="727"/>
      <c r="G47" s="728"/>
      <c r="H47" s="729"/>
      <c r="I47" s="730"/>
      <c r="J47" s="731">
        <v>2000</v>
      </c>
      <c r="K47" s="732"/>
      <c r="L47" s="733">
        <f>SUM(J47:K47)</f>
        <v>2000</v>
      </c>
    </row>
    <row r="48" spans="1:12" ht="18" customHeight="1" x14ac:dyDescent="0.3">
      <c r="A48" s="712">
        <v>40</v>
      </c>
      <c r="B48" s="713"/>
      <c r="C48" s="741" t="s">
        <v>397</v>
      </c>
      <c r="D48" s="742"/>
      <c r="E48" s="716"/>
      <c r="F48" s="717">
        <v>1229</v>
      </c>
      <c r="G48" s="718"/>
      <c r="H48" s="719">
        <v>2017</v>
      </c>
      <c r="I48" s="730"/>
      <c r="J48" s="731"/>
      <c r="K48" s="732"/>
      <c r="L48" s="737"/>
    </row>
    <row r="49" spans="1:12" ht="18" customHeight="1" x14ac:dyDescent="0.3">
      <c r="A49" s="712">
        <v>41</v>
      </c>
      <c r="B49" s="713"/>
      <c r="C49" s="734">
        <v>4</v>
      </c>
      <c r="D49" s="726" t="s">
        <v>398</v>
      </c>
      <c r="E49" s="716"/>
      <c r="F49" s="727"/>
      <c r="G49" s="728"/>
      <c r="H49" s="729"/>
      <c r="I49" s="730">
        <v>800</v>
      </c>
      <c r="J49" s="731">
        <v>800</v>
      </c>
      <c r="K49" s="732"/>
      <c r="L49" s="733">
        <f>SUM(J49:K49)</f>
        <v>800</v>
      </c>
    </row>
    <row r="50" spans="1:12" ht="33" customHeight="1" x14ac:dyDescent="0.3">
      <c r="A50" s="712">
        <v>42</v>
      </c>
      <c r="B50" s="713"/>
      <c r="C50" s="725">
        <v>5</v>
      </c>
      <c r="D50" s="726" t="s">
        <v>399</v>
      </c>
      <c r="E50" s="716"/>
      <c r="F50" s="727"/>
      <c r="G50" s="728"/>
      <c r="H50" s="729"/>
      <c r="I50" s="730"/>
      <c r="J50" s="731">
        <v>200</v>
      </c>
      <c r="K50" s="732"/>
      <c r="L50" s="733">
        <f>SUM(J50:K50)</f>
        <v>200</v>
      </c>
    </row>
    <row r="51" spans="1:12" ht="18" customHeight="1" x14ac:dyDescent="0.3">
      <c r="A51" s="712">
        <v>43</v>
      </c>
      <c r="B51" s="713"/>
      <c r="C51" s="725">
        <v>6</v>
      </c>
      <c r="D51" s="726" t="s">
        <v>394</v>
      </c>
      <c r="E51" s="716"/>
      <c r="F51" s="727"/>
      <c r="G51" s="728"/>
      <c r="H51" s="729"/>
      <c r="I51" s="730"/>
      <c r="J51" s="731">
        <v>0</v>
      </c>
      <c r="K51" s="732"/>
      <c r="L51" s="733">
        <f>SUM(J51:K51)</f>
        <v>0</v>
      </c>
    </row>
    <row r="52" spans="1:12" ht="18" customHeight="1" x14ac:dyDescent="0.3">
      <c r="A52" s="712">
        <v>44</v>
      </c>
      <c r="B52" s="713"/>
      <c r="C52" s="725">
        <v>8</v>
      </c>
      <c r="D52" s="726" t="s">
        <v>395</v>
      </c>
      <c r="E52" s="716"/>
      <c r="F52" s="727"/>
      <c r="G52" s="728"/>
      <c r="H52" s="729"/>
      <c r="I52" s="730"/>
      <c r="J52" s="731">
        <v>1000</v>
      </c>
      <c r="K52" s="732"/>
      <c r="L52" s="733">
        <f>SUM(J52:K52)</f>
        <v>1000</v>
      </c>
    </row>
    <row r="53" spans="1:12" ht="30.75" customHeight="1" x14ac:dyDescent="0.3">
      <c r="A53" s="712">
        <v>45</v>
      </c>
      <c r="B53" s="713"/>
      <c r="C53" s="725">
        <v>10</v>
      </c>
      <c r="D53" s="726" t="s">
        <v>396</v>
      </c>
      <c r="E53" s="716"/>
      <c r="F53" s="727"/>
      <c r="G53" s="728"/>
      <c r="H53" s="729"/>
      <c r="I53" s="730"/>
      <c r="J53" s="731">
        <v>2200</v>
      </c>
      <c r="K53" s="732"/>
      <c r="L53" s="733">
        <f>SUM(J53:K53)</f>
        <v>2200</v>
      </c>
    </row>
    <row r="54" spans="1:12" s="724" customFormat="1" ht="22.5" customHeight="1" x14ac:dyDescent="0.3">
      <c r="A54" s="712">
        <v>46</v>
      </c>
      <c r="B54" s="713">
        <v>6</v>
      </c>
      <c r="C54" s="738" t="s">
        <v>45</v>
      </c>
      <c r="D54" s="715"/>
      <c r="E54" s="716" t="s">
        <v>106</v>
      </c>
      <c r="F54" s="717">
        <v>1240</v>
      </c>
      <c r="G54" s="718"/>
      <c r="H54" s="719">
        <v>1615</v>
      </c>
      <c r="I54" s="720"/>
      <c r="J54" s="721"/>
      <c r="K54" s="739"/>
      <c r="L54" s="740"/>
    </row>
    <row r="55" spans="1:12" ht="63.75" customHeight="1" x14ac:dyDescent="0.3">
      <c r="A55" s="712">
        <v>47</v>
      </c>
      <c r="B55" s="713"/>
      <c r="C55" s="734">
        <v>1</v>
      </c>
      <c r="D55" s="726" t="s">
        <v>400</v>
      </c>
      <c r="E55" s="716"/>
      <c r="F55" s="727"/>
      <c r="G55" s="728"/>
      <c r="H55" s="729"/>
      <c r="I55" s="730">
        <v>500</v>
      </c>
      <c r="J55" s="731">
        <v>1468</v>
      </c>
      <c r="K55" s="732"/>
      <c r="L55" s="733">
        <f>SUM(J55:K55)</f>
        <v>1468</v>
      </c>
    </row>
    <row r="56" spans="1:12" ht="18" customHeight="1" x14ac:dyDescent="0.3">
      <c r="A56" s="712">
        <v>48</v>
      </c>
      <c r="B56" s="713"/>
      <c r="C56" s="734">
        <v>3</v>
      </c>
      <c r="D56" s="726" t="s">
        <v>401</v>
      </c>
      <c r="E56" s="716"/>
      <c r="F56" s="727"/>
      <c r="G56" s="728"/>
      <c r="H56" s="729"/>
      <c r="I56" s="730"/>
      <c r="J56" s="731">
        <v>874</v>
      </c>
      <c r="K56" s="732">
        <v>80</v>
      </c>
      <c r="L56" s="733">
        <f>SUM(J56:K56)</f>
        <v>954</v>
      </c>
    </row>
    <row r="57" spans="1:12" ht="18" customHeight="1" x14ac:dyDescent="0.3">
      <c r="A57" s="712">
        <v>49</v>
      </c>
      <c r="B57" s="713"/>
      <c r="C57" s="734">
        <v>4</v>
      </c>
      <c r="D57" s="726" t="s">
        <v>402</v>
      </c>
      <c r="E57" s="716"/>
      <c r="F57" s="727"/>
      <c r="G57" s="728"/>
      <c r="H57" s="729"/>
      <c r="I57" s="730"/>
      <c r="J57" s="731">
        <v>1100</v>
      </c>
      <c r="K57" s="732">
        <v>-80</v>
      </c>
      <c r="L57" s="733">
        <f>SUM(J57:K57)</f>
        <v>1020</v>
      </c>
    </row>
    <row r="58" spans="1:12" ht="18" customHeight="1" x14ac:dyDescent="0.3">
      <c r="A58" s="712">
        <v>50</v>
      </c>
      <c r="B58" s="713"/>
      <c r="C58" s="741" t="s">
        <v>403</v>
      </c>
      <c r="D58" s="742"/>
      <c r="E58" s="716"/>
      <c r="F58" s="717">
        <v>6284</v>
      </c>
      <c r="G58" s="718"/>
      <c r="H58" s="719">
        <v>1438</v>
      </c>
      <c r="I58" s="730"/>
      <c r="J58" s="731"/>
      <c r="K58" s="732"/>
      <c r="L58" s="737"/>
    </row>
    <row r="59" spans="1:12" ht="18" customHeight="1" x14ac:dyDescent="0.3">
      <c r="A59" s="712">
        <v>51</v>
      </c>
      <c r="B59" s="713"/>
      <c r="C59" s="734">
        <v>2</v>
      </c>
      <c r="D59" s="726" t="s">
        <v>404</v>
      </c>
      <c r="E59" s="716"/>
      <c r="F59" s="727"/>
      <c r="G59" s="728"/>
      <c r="H59" s="729"/>
      <c r="I59" s="730">
        <v>200</v>
      </c>
      <c r="J59" s="731">
        <v>200</v>
      </c>
      <c r="K59" s="732"/>
      <c r="L59" s="733">
        <f>SUM(J59:K59)</f>
        <v>200</v>
      </c>
    </row>
    <row r="60" spans="1:12" ht="18" customHeight="1" x14ac:dyDescent="0.3">
      <c r="A60" s="712">
        <v>52</v>
      </c>
      <c r="B60" s="713"/>
      <c r="C60" s="743">
        <v>4</v>
      </c>
      <c r="D60" s="726" t="s">
        <v>401</v>
      </c>
      <c r="E60" s="716"/>
      <c r="F60" s="727"/>
      <c r="G60" s="728"/>
      <c r="H60" s="729"/>
      <c r="I60" s="730"/>
      <c r="J60" s="731">
        <v>316</v>
      </c>
      <c r="K60" s="732"/>
      <c r="L60" s="733">
        <f>SUM(J60:K60)</f>
        <v>316</v>
      </c>
    </row>
    <row r="61" spans="1:12" ht="18" customHeight="1" x14ac:dyDescent="0.3">
      <c r="A61" s="712">
        <v>53</v>
      </c>
      <c r="B61" s="713"/>
      <c r="C61" s="743">
        <v>5</v>
      </c>
      <c r="D61" s="726" t="s">
        <v>405</v>
      </c>
      <c r="E61" s="716"/>
      <c r="F61" s="727"/>
      <c r="G61" s="728"/>
      <c r="H61" s="729"/>
      <c r="I61" s="730"/>
      <c r="J61" s="731">
        <v>100</v>
      </c>
      <c r="K61" s="732"/>
      <c r="L61" s="733">
        <f>SUM(J61:K61)</f>
        <v>100</v>
      </c>
    </row>
    <row r="62" spans="1:12" ht="18" customHeight="1" x14ac:dyDescent="0.3">
      <c r="A62" s="712">
        <v>54</v>
      </c>
      <c r="B62" s="713"/>
      <c r="C62" s="743">
        <v>6</v>
      </c>
      <c r="D62" s="726" t="s">
        <v>406</v>
      </c>
      <c r="E62" s="716"/>
      <c r="F62" s="727"/>
      <c r="G62" s="728"/>
      <c r="H62" s="729"/>
      <c r="I62" s="730"/>
      <c r="J62" s="731">
        <v>500</v>
      </c>
      <c r="K62" s="732"/>
      <c r="L62" s="733">
        <f>SUM(J62:K62)</f>
        <v>500</v>
      </c>
    </row>
    <row r="63" spans="1:12" ht="18" customHeight="1" x14ac:dyDescent="0.3">
      <c r="A63" s="712">
        <v>55</v>
      </c>
      <c r="B63" s="713"/>
      <c r="C63" s="743">
        <v>7</v>
      </c>
      <c r="D63" s="726" t="s">
        <v>407</v>
      </c>
      <c r="E63" s="716"/>
      <c r="F63" s="727"/>
      <c r="G63" s="728"/>
      <c r="H63" s="729"/>
      <c r="I63" s="730"/>
      <c r="J63" s="731">
        <v>280</v>
      </c>
      <c r="K63" s="732"/>
      <c r="L63" s="733">
        <f>SUM(J63:K63)</f>
        <v>280</v>
      </c>
    </row>
    <row r="64" spans="1:12" s="724" customFormat="1" ht="22.5" customHeight="1" x14ac:dyDescent="0.3">
      <c r="A64" s="712">
        <v>56</v>
      </c>
      <c r="B64" s="713">
        <v>7</v>
      </c>
      <c r="C64" s="714" t="s">
        <v>46</v>
      </c>
      <c r="D64" s="715"/>
      <c r="E64" s="716" t="s">
        <v>106</v>
      </c>
      <c r="F64" s="744"/>
      <c r="G64" s="718"/>
      <c r="H64" s="745"/>
      <c r="I64" s="720"/>
      <c r="J64" s="721"/>
      <c r="K64" s="739"/>
      <c r="L64" s="740"/>
    </row>
    <row r="65" spans="1:12" ht="18" customHeight="1" x14ac:dyDescent="0.3">
      <c r="A65" s="712">
        <v>57</v>
      </c>
      <c r="B65" s="713"/>
      <c r="C65" s="741" t="s">
        <v>59</v>
      </c>
      <c r="D65" s="746"/>
      <c r="E65" s="716"/>
      <c r="F65" s="717">
        <v>610</v>
      </c>
      <c r="G65" s="718"/>
      <c r="H65" s="719">
        <v>480</v>
      </c>
      <c r="I65" s="730"/>
      <c r="J65" s="731"/>
      <c r="K65" s="732"/>
      <c r="L65" s="737"/>
    </row>
    <row r="66" spans="1:12" ht="18" customHeight="1" x14ac:dyDescent="0.3">
      <c r="A66" s="712">
        <v>58</v>
      </c>
      <c r="B66" s="713"/>
      <c r="C66" s="734">
        <v>1</v>
      </c>
      <c r="D66" s="726" t="s">
        <v>60</v>
      </c>
      <c r="E66" s="716"/>
      <c r="F66" s="727"/>
      <c r="G66" s="728"/>
      <c r="H66" s="729"/>
      <c r="I66" s="730">
        <v>400</v>
      </c>
      <c r="J66" s="731">
        <v>1400</v>
      </c>
      <c r="K66" s="732">
        <f>-837+500</f>
        <v>-337</v>
      </c>
      <c r="L66" s="733">
        <f>SUM(J66:K66)</f>
        <v>1063</v>
      </c>
    </row>
    <row r="67" spans="1:12" ht="18" customHeight="1" x14ac:dyDescent="0.3">
      <c r="A67" s="712">
        <v>59</v>
      </c>
      <c r="B67" s="713"/>
      <c r="C67" s="734">
        <v>25</v>
      </c>
      <c r="D67" s="726" t="s">
        <v>61</v>
      </c>
      <c r="E67" s="716"/>
      <c r="F67" s="727"/>
      <c r="G67" s="728"/>
      <c r="H67" s="729"/>
      <c r="I67" s="730"/>
      <c r="J67" s="731"/>
      <c r="K67" s="732">
        <v>837</v>
      </c>
      <c r="L67" s="733">
        <f>SUM(J67:K67)</f>
        <v>837</v>
      </c>
    </row>
    <row r="68" spans="1:12" ht="18" customHeight="1" x14ac:dyDescent="0.3">
      <c r="A68" s="712">
        <v>60</v>
      </c>
      <c r="B68" s="713"/>
      <c r="C68" s="741" t="s">
        <v>62</v>
      </c>
      <c r="D68" s="746"/>
      <c r="E68" s="716"/>
      <c r="F68" s="717">
        <v>647</v>
      </c>
      <c r="G68" s="718"/>
      <c r="H68" s="719">
        <v>1193</v>
      </c>
      <c r="I68" s="730"/>
      <c r="J68" s="731"/>
      <c r="K68" s="732"/>
      <c r="L68" s="737"/>
    </row>
    <row r="69" spans="1:12" ht="32.25" customHeight="1" x14ac:dyDescent="0.3">
      <c r="A69" s="712">
        <v>61</v>
      </c>
      <c r="B69" s="713"/>
      <c r="C69" s="725">
        <v>2</v>
      </c>
      <c r="D69" s="726" t="s">
        <v>63</v>
      </c>
      <c r="E69" s="716"/>
      <c r="F69" s="727"/>
      <c r="G69" s="728"/>
      <c r="H69" s="729"/>
      <c r="I69" s="730">
        <v>800</v>
      </c>
      <c r="J69" s="731">
        <v>2800</v>
      </c>
      <c r="K69" s="732">
        <v>-643</v>
      </c>
      <c r="L69" s="733">
        <f>SUM(J69:K69)</f>
        <v>2157</v>
      </c>
    </row>
    <row r="70" spans="1:12" ht="29.25" customHeight="1" x14ac:dyDescent="0.3">
      <c r="A70" s="712">
        <v>62</v>
      </c>
      <c r="B70" s="713"/>
      <c r="C70" s="725">
        <v>24</v>
      </c>
      <c r="D70" s="726" t="s">
        <v>408</v>
      </c>
      <c r="E70" s="716"/>
      <c r="F70" s="727"/>
      <c r="G70" s="728"/>
      <c r="H70" s="729"/>
      <c r="I70" s="730"/>
      <c r="J70" s="731">
        <v>135</v>
      </c>
      <c r="K70" s="732"/>
      <c r="L70" s="733">
        <f>SUM(J70:K70)</f>
        <v>135</v>
      </c>
    </row>
    <row r="71" spans="1:12" ht="18" customHeight="1" x14ac:dyDescent="0.3">
      <c r="A71" s="712">
        <v>63</v>
      </c>
      <c r="B71" s="713"/>
      <c r="C71" s="725">
        <v>26</v>
      </c>
      <c r="D71" s="726" t="s">
        <v>64</v>
      </c>
      <c r="E71" s="716"/>
      <c r="F71" s="727"/>
      <c r="G71" s="728"/>
      <c r="H71" s="729"/>
      <c r="I71" s="730"/>
      <c r="J71" s="731"/>
      <c r="K71" s="732">
        <v>643</v>
      </c>
      <c r="L71" s="733">
        <f>SUM(J71:K71)</f>
        <v>643</v>
      </c>
    </row>
    <row r="72" spans="1:12" ht="18" customHeight="1" x14ac:dyDescent="0.3">
      <c r="A72" s="712">
        <v>64</v>
      </c>
      <c r="B72" s="713"/>
      <c r="C72" s="741" t="s">
        <v>409</v>
      </c>
      <c r="D72" s="746"/>
      <c r="E72" s="716"/>
      <c r="F72" s="717">
        <v>1045</v>
      </c>
      <c r="G72" s="718"/>
      <c r="H72" s="719">
        <v>1436</v>
      </c>
      <c r="I72" s="730"/>
      <c r="J72" s="731"/>
      <c r="K72" s="732"/>
      <c r="L72" s="737"/>
    </row>
    <row r="73" spans="1:12" ht="18" customHeight="1" x14ac:dyDescent="0.3">
      <c r="A73" s="712">
        <v>65</v>
      </c>
      <c r="B73" s="713"/>
      <c r="C73" s="734">
        <v>3</v>
      </c>
      <c r="D73" s="726" t="s">
        <v>60</v>
      </c>
      <c r="E73" s="716"/>
      <c r="F73" s="727"/>
      <c r="G73" s="728"/>
      <c r="H73" s="729"/>
      <c r="I73" s="730">
        <v>1200</v>
      </c>
      <c r="J73" s="731">
        <v>1712</v>
      </c>
      <c r="K73" s="732"/>
      <c r="L73" s="733">
        <f>SUM(J73:K73)</f>
        <v>1712</v>
      </c>
    </row>
    <row r="74" spans="1:12" ht="18" customHeight="1" x14ac:dyDescent="0.3">
      <c r="A74" s="712">
        <v>66</v>
      </c>
      <c r="B74" s="713"/>
      <c r="C74" s="734">
        <v>23</v>
      </c>
      <c r="D74" s="726" t="s">
        <v>410</v>
      </c>
      <c r="E74" s="716"/>
      <c r="F74" s="727"/>
      <c r="G74" s="728"/>
      <c r="H74" s="729"/>
      <c r="I74" s="730"/>
      <c r="J74" s="731">
        <v>2488</v>
      </c>
      <c r="K74" s="732"/>
      <c r="L74" s="733">
        <f>SUM(J74:K74)</f>
        <v>2488</v>
      </c>
    </row>
    <row r="75" spans="1:12" ht="18" customHeight="1" x14ac:dyDescent="0.3">
      <c r="A75" s="712">
        <v>67</v>
      </c>
      <c r="B75" s="713"/>
      <c r="C75" s="741" t="s">
        <v>65</v>
      </c>
      <c r="D75" s="742"/>
      <c r="E75" s="716"/>
      <c r="F75" s="717">
        <v>1285</v>
      </c>
      <c r="G75" s="718"/>
      <c r="H75" s="719">
        <v>1420</v>
      </c>
      <c r="I75" s="730"/>
      <c r="J75" s="731"/>
      <c r="K75" s="732"/>
      <c r="L75" s="737"/>
    </row>
    <row r="76" spans="1:12" ht="18" customHeight="1" x14ac:dyDescent="0.3">
      <c r="A76" s="712">
        <v>68</v>
      </c>
      <c r="B76" s="713"/>
      <c r="C76" s="734">
        <v>4</v>
      </c>
      <c r="D76" s="726" t="s">
        <v>60</v>
      </c>
      <c r="E76" s="716"/>
      <c r="F76" s="727"/>
      <c r="G76" s="728"/>
      <c r="H76" s="729"/>
      <c r="I76" s="730">
        <v>1000</v>
      </c>
      <c r="J76" s="731">
        <v>4700</v>
      </c>
      <c r="K76" s="732">
        <f>-281-1900</f>
        <v>-2181</v>
      </c>
      <c r="L76" s="733">
        <f>SUM(J76:K76)</f>
        <v>2519</v>
      </c>
    </row>
    <row r="77" spans="1:12" ht="18" customHeight="1" x14ac:dyDescent="0.3">
      <c r="A77" s="712">
        <v>69</v>
      </c>
      <c r="B77" s="713"/>
      <c r="C77" s="734">
        <v>27</v>
      </c>
      <c r="D77" s="726" t="s">
        <v>66</v>
      </c>
      <c r="E77" s="716"/>
      <c r="F77" s="727"/>
      <c r="G77" s="728"/>
      <c r="H77" s="729"/>
      <c r="I77" s="730"/>
      <c r="J77" s="731"/>
      <c r="K77" s="732">
        <v>281</v>
      </c>
      <c r="L77" s="733">
        <f>SUM(J77:K77)</f>
        <v>281</v>
      </c>
    </row>
    <row r="78" spans="1:12" ht="18" customHeight="1" x14ac:dyDescent="0.3">
      <c r="A78" s="712">
        <v>70</v>
      </c>
      <c r="B78" s="713"/>
      <c r="C78" s="734">
        <v>28</v>
      </c>
      <c r="D78" s="726" t="s">
        <v>67</v>
      </c>
      <c r="E78" s="716"/>
      <c r="F78" s="727"/>
      <c r="G78" s="728"/>
      <c r="H78" s="729"/>
      <c r="I78" s="730"/>
      <c r="J78" s="731"/>
      <c r="K78" s="732">
        <v>1900</v>
      </c>
      <c r="L78" s="733">
        <f>SUM(J78:K78)</f>
        <v>1900</v>
      </c>
    </row>
    <row r="79" spans="1:12" ht="18" customHeight="1" x14ac:dyDescent="0.3">
      <c r="A79" s="712">
        <v>71</v>
      </c>
      <c r="B79" s="713"/>
      <c r="C79" s="741" t="s">
        <v>68</v>
      </c>
      <c r="D79" s="746"/>
      <c r="E79" s="716"/>
      <c r="F79" s="717">
        <v>982</v>
      </c>
      <c r="G79" s="718"/>
      <c r="H79" s="719">
        <v>949</v>
      </c>
      <c r="I79" s="730"/>
      <c r="J79" s="731"/>
      <c r="K79" s="732"/>
      <c r="L79" s="737"/>
    </row>
    <row r="80" spans="1:12" ht="18" customHeight="1" x14ac:dyDescent="0.3">
      <c r="A80" s="712">
        <v>72</v>
      </c>
      <c r="B80" s="713"/>
      <c r="C80" s="734">
        <v>5</v>
      </c>
      <c r="D80" s="726" t="s">
        <v>60</v>
      </c>
      <c r="E80" s="716"/>
      <c r="F80" s="727"/>
      <c r="G80" s="728"/>
      <c r="H80" s="729"/>
      <c r="I80" s="730">
        <v>800</v>
      </c>
      <c r="J80" s="731">
        <v>2800</v>
      </c>
      <c r="K80" s="732">
        <v>-950</v>
      </c>
      <c r="L80" s="733">
        <f>SUM(J80:K80)</f>
        <v>1850</v>
      </c>
    </row>
    <row r="81" spans="1:12" ht="18" customHeight="1" x14ac:dyDescent="0.3">
      <c r="A81" s="712">
        <v>73</v>
      </c>
      <c r="B81" s="713"/>
      <c r="C81" s="734">
        <v>29</v>
      </c>
      <c r="D81" s="726" t="s">
        <v>69</v>
      </c>
      <c r="E81" s="716"/>
      <c r="F81" s="727"/>
      <c r="G81" s="728"/>
      <c r="H81" s="729"/>
      <c r="I81" s="730"/>
      <c r="J81" s="731"/>
      <c r="K81" s="732">
        <v>950</v>
      </c>
      <c r="L81" s="733">
        <f>SUM(J81:K81)</f>
        <v>950</v>
      </c>
    </row>
    <row r="82" spans="1:12" ht="18" customHeight="1" x14ac:dyDescent="0.3">
      <c r="A82" s="712">
        <v>74</v>
      </c>
      <c r="B82" s="713"/>
      <c r="C82" s="741" t="s">
        <v>70</v>
      </c>
      <c r="D82" s="746"/>
      <c r="E82" s="716"/>
      <c r="F82" s="717">
        <v>128</v>
      </c>
      <c r="G82" s="718"/>
      <c r="H82" s="719">
        <v>60</v>
      </c>
      <c r="I82" s="730"/>
      <c r="J82" s="731"/>
      <c r="K82" s="732"/>
      <c r="L82" s="737"/>
    </row>
    <row r="83" spans="1:12" ht="18" customHeight="1" x14ac:dyDescent="0.3">
      <c r="A83" s="712">
        <v>75</v>
      </c>
      <c r="B83" s="713"/>
      <c r="C83" s="734">
        <v>6</v>
      </c>
      <c r="D83" s="726" t="s">
        <v>60</v>
      </c>
      <c r="E83" s="716"/>
      <c r="F83" s="727"/>
      <c r="G83" s="728"/>
      <c r="H83" s="729"/>
      <c r="I83" s="730">
        <v>100</v>
      </c>
      <c r="J83" s="731">
        <v>900</v>
      </c>
      <c r="K83" s="732">
        <v>-500</v>
      </c>
      <c r="L83" s="733">
        <f>SUM(J83:K83)</f>
        <v>400</v>
      </c>
    </row>
    <row r="84" spans="1:12" ht="18" customHeight="1" x14ac:dyDescent="0.3">
      <c r="A84" s="712">
        <v>76</v>
      </c>
      <c r="B84" s="713"/>
      <c r="C84" s="741" t="s">
        <v>411</v>
      </c>
      <c r="D84" s="742"/>
      <c r="E84" s="716"/>
      <c r="F84" s="717">
        <v>1980</v>
      </c>
      <c r="G84" s="718"/>
      <c r="H84" s="719">
        <v>21889</v>
      </c>
      <c r="I84" s="720"/>
      <c r="J84" s="721"/>
      <c r="K84" s="732"/>
      <c r="L84" s="737"/>
    </row>
    <row r="85" spans="1:12" ht="18" customHeight="1" x14ac:dyDescent="0.3">
      <c r="A85" s="712">
        <v>77</v>
      </c>
      <c r="B85" s="713"/>
      <c r="C85" s="747" t="s">
        <v>412</v>
      </c>
      <c r="D85" s="742"/>
      <c r="E85" s="716"/>
      <c r="F85" s="717"/>
      <c r="G85" s="718"/>
      <c r="H85" s="719"/>
      <c r="I85" s="720"/>
      <c r="J85" s="721"/>
      <c r="K85" s="732"/>
      <c r="L85" s="737"/>
    </row>
    <row r="86" spans="1:12" ht="18" customHeight="1" x14ac:dyDescent="0.3">
      <c r="A86" s="712">
        <v>78</v>
      </c>
      <c r="B86" s="713"/>
      <c r="C86" s="734">
        <v>7</v>
      </c>
      <c r="D86" s="726" t="s">
        <v>413</v>
      </c>
      <c r="E86" s="716"/>
      <c r="F86" s="717"/>
      <c r="G86" s="718"/>
      <c r="H86" s="719"/>
      <c r="I86" s="730">
        <v>900</v>
      </c>
      <c r="J86" s="731">
        <v>900</v>
      </c>
      <c r="K86" s="732"/>
      <c r="L86" s="733">
        <f t="shared" ref="L86:L96" si="1">SUM(J86:K86)</f>
        <v>900</v>
      </c>
    </row>
    <row r="87" spans="1:12" ht="18" customHeight="1" x14ac:dyDescent="0.3">
      <c r="A87" s="712">
        <v>79</v>
      </c>
      <c r="B87" s="713"/>
      <c r="C87" s="734">
        <v>8</v>
      </c>
      <c r="D87" s="726" t="s">
        <v>72</v>
      </c>
      <c r="E87" s="716"/>
      <c r="F87" s="717"/>
      <c r="G87" s="718"/>
      <c r="H87" s="719"/>
      <c r="I87" s="730">
        <v>450</v>
      </c>
      <c r="J87" s="731">
        <v>450</v>
      </c>
      <c r="K87" s="732"/>
      <c r="L87" s="733">
        <f t="shared" si="1"/>
        <v>450</v>
      </c>
    </row>
    <row r="88" spans="1:12" ht="18" customHeight="1" x14ac:dyDescent="0.3">
      <c r="A88" s="712">
        <v>80</v>
      </c>
      <c r="B88" s="713"/>
      <c r="C88" s="734">
        <v>9</v>
      </c>
      <c r="D88" s="726" t="s">
        <v>414</v>
      </c>
      <c r="E88" s="716"/>
      <c r="F88" s="717"/>
      <c r="G88" s="718"/>
      <c r="H88" s="719"/>
      <c r="I88" s="730">
        <v>270</v>
      </c>
      <c r="J88" s="731">
        <v>270</v>
      </c>
      <c r="K88" s="732"/>
      <c r="L88" s="733">
        <f t="shared" si="1"/>
        <v>270</v>
      </c>
    </row>
    <row r="89" spans="1:12" ht="18" customHeight="1" x14ac:dyDescent="0.3">
      <c r="A89" s="712">
        <v>81</v>
      </c>
      <c r="B89" s="713"/>
      <c r="C89" s="734">
        <v>10</v>
      </c>
      <c r="D89" s="726" t="s">
        <v>415</v>
      </c>
      <c r="E89" s="716"/>
      <c r="F89" s="717"/>
      <c r="G89" s="718"/>
      <c r="H89" s="719"/>
      <c r="I89" s="730">
        <v>200</v>
      </c>
      <c r="J89" s="731">
        <v>200</v>
      </c>
      <c r="K89" s="732"/>
      <c r="L89" s="733">
        <f t="shared" si="1"/>
        <v>200</v>
      </c>
    </row>
    <row r="90" spans="1:12" ht="18" customHeight="1" x14ac:dyDescent="0.3">
      <c r="A90" s="712">
        <v>82</v>
      </c>
      <c r="B90" s="713"/>
      <c r="C90" s="734">
        <v>11</v>
      </c>
      <c r="D90" s="726" t="s">
        <v>416</v>
      </c>
      <c r="E90" s="716"/>
      <c r="F90" s="717"/>
      <c r="G90" s="718"/>
      <c r="H90" s="719"/>
      <c r="I90" s="730">
        <v>111</v>
      </c>
      <c r="J90" s="731">
        <v>111</v>
      </c>
      <c r="K90" s="732"/>
      <c r="L90" s="733">
        <f t="shared" si="1"/>
        <v>111</v>
      </c>
    </row>
    <row r="91" spans="1:12" ht="18" customHeight="1" x14ac:dyDescent="0.3">
      <c r="A91" s="712">
        <v>83</v>
      </c>
      <c r="B91" s="713"/>
      <c r="C91" s="734">
        <v>12</v>
      </c>
      <c r="D91" s="726" t="s">
        <v>417</v>
      </c>
      <c r="E91" s="716"/>
      <c r="F91" s="717"/>
      <c r="G91" s="718"/>
      <c r="H91" s="719"/>
      <c r="I91" s="730">
        <v>60</v>
      </c>
      <c r="J91" s="731">
        <v>60</v>
      </c>
      <c r="K91" s="732"/>
      <c r="L91" s="733">
        <f t="shared" si="1"/>
        <v>60</v>
      </c>
    </row>
    <row r="92" spans="1:12" ht="18" customHeight="1" x14ac:dyDescent="0.3">
      <c r="A92" s="712">
        <v>84</v>
      </c>
      <c r="B92" s="713"/>
      <c r="C92" s="734">
        <v>13</v>
      </c>
      <c r="D92" s="726" t="s">
        <v>418</v>
      </c>
      <c r="E92" s="716"/>
      <c r="F92" s="717"/>
      <c r="G92" s="718"/>
      <c r="H92" s="719"/>
      <c r="I92" s="730">
        <v>100</v>
      </c>
      <c r="J92" s="731">
        <v>100</v>
      </c>
      <c r="K92" s="732"/>
      <c r="L92" s="733">
        <f t="shared" si="1"/>
        <v>100</v>
      </c>
    </row>
    <row r="93" spans="1:12" ht="18" customHeight="1" x14ac:dyDescent="0.3">
      <c r="A93" s="712">
        <v>85</v>
      </c>
      <c r="B93" s="713"/>
      <c r="C93" s="734">
        <v>14</v>
      </c>
      <c r="D93" s="726" t="s">
        <v>419</v>
      </c>
      <c r="E93" s="716"/>
      <c r="F93" s="717"/>
      <c r="G93" s="718"/>
      <c r="H93" s="719"/>
      <c r="I93" s="730">
        <v>230</v>
      </c>
      <c r="J93" s="731">
        <v>230</v>
      </c>
      <c r="K93" s="732"/>
      <c r="L93" s="733">
        <f t="shared" si="1"/>
        <v>230</v>
      </c>
    </row>
    <row r="94" spans="1:12" ht="18" customHeight="1" x14ac:dyDescent="0.3">
      <c r="A94" s="712">
        <v>86</v>
      </c>
      <c r="B94" s="713"/>
      <c r="C94" s="734">
        <v>15</v>
      </c>
      <c r="D94" s="726" t="s">
        <v>420</v>
      </c>
      <c r="E94" s="716"/>
      <c r="F94" s="717"/>
      <c r="G94" s="718"/>
      <c r="H94" s="719"/>
      <c r="I94" s="730">
        <v>150</v>
      </c>
      <c r="J94" s="731">
        <v>150</v>
      </c>
      <c r="K94" s="732"/>
      <c r="L94" s="733">
        <f t="shared" si="1"/>
        <v>150</v>
      </c>
    </row>
    <row r="95" spans="1:12" ht="30" customHeight="1" x14ac:dyDescent="0.3">
      <c r="A95" s="712">
        <v>87</v>
      </c>
      <c r="B95" s="713"/>
      <c r="C95" s="725">
        <v>22</v>
      </c>
      <c r="D95" s="726" t="s">
        <v>421</v>
      </c>
      <c r="E95" s="716"/>
      <c r="F95" s="717"/>
      <c r="G95" s="718"/>
      <c r="H95" s="719"/>
      <c r="I95" s="730"/>
      <c r="J95" s="731">
        <v>3000</v>
      </c>
      <c r="K95" s="732"/>
      <c r="L95" s="733">
        <f t="shared" si="1"/>
        <v>3000</v>
      </c>
    </row>
    <row r="96" spans="1:12" ht="48" customHeight="1" x14ac:dyDescent="0.3">
      <c r="A96" s="712">
        <v>88</v>
      </c>
      <c r="B96" s="713"/>
      <c r="C96" s="725">
        <v>23</v>
      </c>
      <c r="D96" s="726" t="s">
        <v>422</v>
      </c>
      <c r="E96" s="716"/>
      <c r="F96" s="717"/>
      <c r="G96" s="718"/>
      <c r="H96" s="719"/>
      <c r="I96" s="730"/>
      <c r="J96" s="731">
        <v>4000</v>
      </c>
      <c r="K96" s="732"/>
      <c r="L96" s="733">
        <f t="shared" si="1"/>
        <v>4000</v>
      </c>
    </row>
    <row r="97" spans="1:12" ht="18" customHeight="1" x14ac:dyDescent="0.3">
      <c r="A97" s="712">
        <v>89</v>
      </c>
      <c r="B97" s="713"/>
      <c r="C97" s="741" t="s">
        <v>423</v>
      </c>
      <c r="D97" s="726"/>
      <c r="E97" s="716"/>
      <c r="F97" s="717"/>
      <c r="G97" s="718"/>
      <c r="H97" s="719"/>
      <c r="I97" s="730"/>
      <c r="J97" s="731"/>
      <c r="K97" s="732"/>
      <c r="L97" s="737"/>
    </row>
    <row r="98" spans="1:12" ht="18" customHeight="1" x14ac:dyDescent="0.3">
      <c r="A98" s="712">
        <v>90</v>
      </c>
      <c r="B98" s="713"/>
      <c r="C98" s="734">
        <v>16</v>
      </c>
      <c r="D98" s="726" t="s">
        <v>424</v>
      </c>
      <c r="E98" s="716"/>
      <c r="F98" s="717"/>
      <c r="G98" s="718"/>
      <c r="H98" s="719"/>
      <c r="I98" s="730">
        <v>258</v>
      </c>
      <c r="J98" s="731">
        <v>258</v>
      </c>
      <c r="K98" s="732"/>
      <c r="L98" s="733">
        <f>SUM(J98:K98)</f>
        <v>258</v>
      </c>
    </row>
    <row r="99" spans="1:12" ht="18" customHeight="1" x14ac:dyDescent="0.3">
      <c r="A99" s="712">
        <v>91</v>
      </c>
      <c r="B99" s="713"/>
      <c r="C99" s="741" t="s">
        <v>425</v>
      </c>
      <c r="D99" s="726"/>
      <c r="E99" s="716"/>
      <c r="F99" s="717"/>
      <c r="G99" s="718"/>
      <c r="H99" s="719"/>
      <c r="I99" s="730"/>
      <c r="J99" s="731"/>
      <c r="K99" s="732"/>
      <c r="L99" s="737"/>
    </row>
    <row r="100" spans="1:12" ht="18" customHeight="1" x14ac:dyDescent="0.3">
      <c r="A100" s="712">
        <v>92</v>
      </c>
      <c r="B100" s="713"/>
      <c r="C100" s="734">
        <v>17</v>
      </c>
      <c r="D100" s="726" t="s">
        <v>426</v>
      </c>
      <c r="E100" s="716"/>
      <c r="F100" s="717"/>
      <c r="G100" s="718"/>
      <c r="H100" s="719"/>
      <c r="I100" s="730">
        <v>100</v>
      </c>
      <c r="J100" s="731">
        <v>100</v>
      </c>
      <c r="K100" s="732"/>
      <c r="L100" s="733">
        <f>SUM(J100:K100)</f>
        <v>100</v>
      </c>
    </row>
    <row r="101" spans="1:12" ht="18" customHeight="1" x14ac:dyDescent="0.3">
      <c r="A101" s="712">
        <v>93</v>
      </c>
      <c r="B101" s="713"/>
      <c r="C101" s="741" t="s">
        <v>427</v>
      </c>
      <c r="D101" s="726"/>
      <c r="E101" s="716"/>
      <c r="F101" s="717"/>
      <c r="G101" s="718"/>
      <c r="H101" s="719"/>
      <c r="I101" s="730"/>
      <c r="J101" s="731"/>
      <c r="K101" s="732"/>
      <c r="L101" s="737"/>
    </row>
    <row r="102" spans="1:12" ht="18" customHeight="1" x14ac:dyDescent="0.3">
      <c r="A102" s="712">
        <v>94</v>
      </c>
      <c r="B102" s="713"/>
      <c r="C102" s="734">
        <v>18</v>
      </c>
      <c r="D102" s="726" t="s">
        <v>428</v>
      </c>
      <c r="E102" s="716"/>
      <c r="F102" s="717"/>
      <c r="G102" s="718"/>
      <c r="H102" s="719"/>
      <c r="I102" s="730">
        <v>130</v>
      </c>
      <c r="J102" s="731">
        <v>130</v>
      </c>
      <c r="K102" s="732"/>
      <c r="L102" s="733">
        <f>SUM(J102:K102)</f>
        <v>130</v>
      </c>
    </row>
    <row r="103" spans="1:12" ht="18" customHeight="1" x14ac:dyDescent="0.3">
      <c r="A103" s="712">
        <v>95</v>
      </c>
      <c r="B103" s="713"/>
      <c r="C103" s="734">
        <v>19</v>
      </c>
      <c r="D103" s="726" t="s">
        <v>429</v>
      </c>
      <c r="E103" s="716"/>
      <c r="F103" s="717"/>
      <c r="G103" s="718"/>
      <c r="H103" s="719"/>
      <c r="I103" s="730">
        <v>115</v>
      </c>
      <c r="J103" s="731">
        <v>115</v>
      </c>
      <c r="K103" s="732"/>
      <c r="L103" s="733">
        <f>SUM(J103:K103)</f>
        <v>115</v>
      </c>
    </row>
    <row r="104" spans="1:12" ht="18" customHeight="1" x14ac:dyDescent="0.3">
      <c r="A104" s="712">
        <v>96</v>
      </c>
      <c r="B104" s="713"/>
      <c r="C104" s="734">
        <v>20</v>
      </c>
      <c r="D104" s="726" t="s">
        <v>430</v>
      </c>
      <c r="E104" s="716"/>
      <c r="F104" s="717"/>
      <c r="G104" s="718"/>
      <c r="H104" s="719"/>
      <c r="I104" s="730">
        <v>100</v>
      </c>
      <c r="J104" s="731">
        <v>100</v>
      </c>
      <c r="K104" s="732"/>
      <c r="L104" s="733">
        <f>SUM(J104:K104)</f>
        <v>100</v>
      </c>
    </row>
    <row r="105" spans="1:12" ht="18" customHeight="1" x14ac:dyDescent="0.3">
      <c r="A105" s="712">
        <v>97</v>
      </c>
      <c r="B105" s="713"/>
      <c r="C105" s="734">
        <v>21</v>
      </c>
      <c r="D105" s="726" t="s">
        <v>431</v>
      </c>
      <c r="E105" s="716"/>
      <c r="F105" s="717"/>
      <c r="G105" s="718"/>
      <c r="H105" s="719"/>
      <c r="I105" s="730">
        <v>855</v>
      </c>
      <c r="J105" s="731">
        <v>855</v>
      </c>
      <c r="K105" s="732"/>
      <c r="L105" s="733">
        <f>SUM(J105:K105)</f>
        <v>855</v>
      </c>
    </row>
    <row r="106" spans="1:12" s="724" customFormat="1" ht="22.5" customHeight="1" x14ac:dyDescent="0.3">
      <c r="A106" s="712">
        <v>98</v>
      </c>
      <c r="B106" s="713">
        <v>8</v>
      </c>
      <c r="C106" s="738" t="s">
        <v>47</v>
      </c>
      <c r="D106" s="715"/>
      <c r="E106" s="716" t="s">
        <v>106</v>
      </c>
      <c r="F106" s="717">
        <v>565</v>
      </c>
      <c r="G106" s="718"/>
      <c r="H106" s="719">
        <v>875</v>
      </c>
      <c r="I106" s="720"/>
      <c r="J106" s="721"/>
      <c r="K106" s="739"/>
      <c r="L106" s="740"/>
    </row>
    <row r="107" spans="1:12" ht="18" customHeight="1" x14ac:dyDescent="0.3">
      <c r="A107" s="712">
        <v>99</v>
      </c>
      <c r="B107" s="713"/>
      <c r="C107" s="734">
        <v>1</v>
      </c>
      <c r="D107" s="726" t="s">
        <v>71</v>
      </c>
      <c r="E107" s="716"/>
      <c r="F107" s="727"/>
      <c r="G107" s="728"/>
      <c r="H107" s="729"/>
      <c r="I107" s="730">
        <v>500</v>
      </c>
      <c r="J107" s="731">
        <v>1100</v>
      </c>
      <c r="K107" s="732">
        <v>-500</v>
      </c>
      <c r="L107" s="733">
        <f>SUM(J107:K107)</f>
        <v>600</v>
      </c>
    </row>
    <row r="108" spans="1:12" ht="18" customHeight="1" x14ac:dyDescent="0.3">
      <c r="A108" s="712">
        <v>100</v>
      </c>
      <c r="B108" s="713"/>
      <c r="C108" s="734">
        <v>2</v>
      </c>
      <c r="D108" s="726" t="s">
        <v>72</v>
      </c>
      <c r="E108" s="716"/>
      <c r="F108" s="727"/>
      <c r="G108" s="728"/>
      <c r="H108" s="729"/>
      <c r="I108" s="730"/>
      <c r="J108" s="731"/>
      <c r="K108" s="732">
        <v>500</v>
      </c>
      <c r="L108" s="733">
        <f>SUM(J108:K108)</f>
        <v>500</v>
      </c>
    </row>
    <row r="109" spans="1:12" s="724" customFormat="1" ht="22.5" customHeight="1" x14ac:dyDescent="0.3">
      <c r="A109" s="712">
        <v>101</v>
      </c>
      <c r="B109" s="713">
        <v>9</v>
      </c>
      <c r="C109" s="738" t="s">
        <v>48</v>
      </c>
      <c r="D109" s="715"/>
      <c r="E109" s="716" t="s">
        <v>106</v>
      </c>
      <c r="F109" s="717">
        <v>3578</v>
      </c>
      <c r="G109" s="718"/>
      <c r="H109" s="719">
        <v>940</v>
      </c>
      <c r="I109" s="720"/>
      <c r="J109" s="721"/>
      <c r="K109" s="739"/>
      <c r="L109" s="740"/>
    </row>
    <row r="110" spans="1:12" ht="18" customHeight="1" x14ac:dyDescent="0.3">
      <c r="A110" s="712">
        <v>102</v>
      </c>
      <c r="B110" s="713"/>
      <c r="C110" s="734">
        <v>1</v>
      </c>
      <c r="D110" s="726" t="s">
        <v>432</v>
      </c>
      <c r="E110" s="716"/>
      <c r="F110" s="727"/>
      <c r="G110" s="728"/>
      <c r="H110" s="729"/>
      <c r="I110" s="730">
        <v>500</v>
      </c>
      <c r="J110" s="731">
        <v>1500</v>
      </c>
      <c r="K110" s="732"/>
      <c r="L110" s="733">
        <f>SUM(J110:K110)</f>
        <v>1500</v>
      </c>
    </row>
    <row r="111" spans="1:12" ht="94.5" customHeight="1" x14ac:dyDescent="0.3">
      <c r="A111" s="712">
        <v>103</v>
      </c>
      <c r="B111" s="713"/>
      <c r="C111" s="748">
        <v>2</v>
      </c>
      <c r="D111" s="742" t="s">
        <v>433</v>
      </c>
      <c r="E111" s="716"/>
      <c r="F111" s="727"/>
      <c r="G111" s="728"/>
      <c r="H111" s="729"/>
      <c r="I111" s="730"/>
      <c r="J111" s="731">
        <v>400</v>
      </c>
      <c r="K111" s="732"/>
      <c r="L111" s="733">
        <f>SUM(J111:K111)</f>
        <v>400</v>
      </c>
    </row>
    <row r="112" spans="1:12" ht="94.5" customHeight="1" x14ac:dyDescent="0.3">
      <c r="A112" s="712">
        <v>104</v>
      </c>
      <c r="B112" s="713"/>
      <c r="C112" s="748">
        <v>3</v>
      </c>
      <c r="D112" s="742" t="s">
        <v>434</v>
      </c>
      <c r="E112" s="716"/>
      <c r="F112" s="727"/>
      <c r="G112" s="728"/>
      <c r="H112" s="729"/>
      <c r="I112" s="730"/>
      <c r="J112" s="731">
        <v>400</v>
      </c>
      <c r="K112" s="732"/>
      <c r="L112" s="733">
        <f>SUM(J112:K112)</f>
        <v>400</v>
      </c>
    </row>
    <row r="113" spans="1:12" ht="95.25" customHeight="1" x14ac:dyDescent="0.3">
      <c r="A113" s="712">
        <v>105</v>
      </c>
      <c r="B113" s="713"/>
      <c r="C113" s="748">
        <v>4</v>
      </c>
      <c r="D113" s="742" t="s">
        <v>435</v>
      </c>
      <c r="E113" s="716"/>
      <c r="F113" s="727"/>
      <c r="G113" s="728"/>
      <c r="H113" s="729"/>
      <c r="I113" s="730"/>
      <c r="J113" s="731">
        <v>200</v>
      </c>
      <c r="K113" s="732"/>
      <c r="L113" s="733">
        <f>SUM(J113:K113)</f>
        <v>200</v>
      </c>
    </row>
    <row r="114" spans="1:12" ht="18" customHeight="1" x14ac:dyDescent="0.3">
      <c r="A114" s="712">
        <v>106</v>
      </c>
      <c r="B114" s="713"/>
      <c r="C114" s="748">
        <v>5</v>
      </c>
      <c r="D114" s="726" t="s">
        <v>436</v>
      </c>
      <c r="E114" s="716"/>
      <c r="F114" s="727"/>
      <c r="G114" s="728"/>
      <c r="H114" s="729"/>
      <c r="I114" s="730"/>
      <c r="J114" s="731">
        <v>1550</v>
      </c>
      <c r="K114" s="732"/>
      <c r="L114" s="733">
        <f>SUM(J114:K114)</f>
        <v>1550</v>
      </c>
    </row>
    <row r="115" spans="1:12" s="724" customFormat="1" ht="22.5" customHeight="1" x14ac:dyDescent="0.3">
      <c r="A115" s="712">
        <v>107</v>
      </c>
      <c r="B115" s="713">
        <v>10</v>
      </c>
      <c r="C115" s="714" t="s">
        <v>254</v>
      </c>
      <c r="D115" s="715"/>
      <c r="E115" s="716" t="s">
        <v>106</v>
      </c>
      <c r="F115" s="717">
        <v>6735</v>
      </c>
      <c r="G115" s="718"/>
      <c r="H115" s="719">
        <v>7669</v>
      </c>
      <c r="I115" s="720"/>
      <c r="J115" s="721"/>
      <c r="K115" s="739"/>
      <c r="L115" s="740"/>
    </row>
    <row r="116" spans="1:12" ht="18" customHeight="1" x14ac:dyDescent="0.3">
      <c r="A116" s="712">
        <v>108</v>
      </c>
      <c r="B116" s="713"/>
      <c r="C116" s="734">
        <v>1</v>
      </c>
      <c r="D116" s="726" t="s">
        <v>83</v>
      </c>
      <c r="E116" s="716"/>
      <c r="F116" s="727"/>
      <c r="G116" s="728"/>
      <c r="H116" s="729"/>
      <c r="I116" s="730">
        <v>4800</v>
      </c>
      <c r="J116" s="731">
        <v>4800</v>
      </c>
      <c r="K116" s="732">
        <v>8000</v>
      </c>
      <c r="L116" s="733">
        <f t="shared" ref="L116:L122" si="2">SUM(J116:K116)</f>
        <v>12800</v>
      </c>
    </row>
    <row r="117" spans="1:12" ht="18" customHeight="1" x14ac:dyDescent="0.3">
      <c r="A117" s="712">
        <v>109</v>
      </c>
      <c r="B117" s="713"/>
      <c r="C117" s="734">
        <v>12</v>
      </c>
      <c r="D117" s="742" t="s">
        <v>437</v>
      </c>
      <c r="E117" s="716"/>
      <c r="F117" s="717"/>
      <c r="G117" s="718"/>
      <c r="H117" s="719"/>
      <c r="I117" s="730">
        <v>82</v>
      </c>
      <c r="J117" s="731">
        <v>82</v>
      </c>
      <c r="K117" s="732"/>
      <c r="L117" s="733">
        <f t="shared" si="2"/>
        <v>82</v>
      </c>
    </row>
    <row r="118" spans="1:12" ht="18" customHeight="1" x14ac:dyDescent="0.3">
      <c r="A118" s="712">
        <v>110</v>
      </c>
      <c r="B118" s="713"/>
      <c r="C118" s="734">
        <v>13</v>
      </c>
      <c r="D118" s="742" t="s">
        <v>84</v>
      </c>
      <c r="E118" s="716"/>
      <c r="F118" s="717"/>
      <c r="G118" s="718"/>
      <c r="H118" s="719"/>
      <c r="I118" s="730">
        <v>20000</v>
      </c>
      <c r="J118" s="731">
        <v>20000</v>
      </c>
      <c r="K118" s="732">
        <v>-14608</v>
      </c>
      <c r="L118" s="733">
        <f t="shared" si="2"/>
        <v>5392</v>
      </c>
    </row>
    <row r="119" spans="1:12" ht="18" customHeight="1" x14ac:dyDescent="0.3">
      <c r="A119" s="712">
        <v>111</v>
      </c>
      <c r="B119" s="713"/>
      <c r="C119" s="734">
        <v>14</v>
      </c>
      <c r="D119" s="742" t="s">
        <v>438</v>
      </c>
      <c r="E119" s="716"/>
      <c r="F119" s="717"/>
      <c r="G119" s="718"/>
      <c r="H119" s="719"/>
      <c r="I119" s="730"/>
      <c r="J119" s="731">
        <v>23750</v>
      </c>
      <c r="K119" s="732"/>
      <c r="L119" s="733">
        <f t="shared" si="2"/>
        <v>23750</v>
      </c>
    </row>
    <row r="120" spans="1:12" ht="31.5" customHeight="1" x14ac:dyDescent="0.3">
      <c r="A120" s="712">
        <v>112</v>
      </c>
      <c r="B120" s="713"/>
      <c r="C120" s="725">
        <v>15</v>
      </c>
      <c r="D120" s="726" t="s">
        <v>439</v>
      </c>
      <c r="E120" s="716"/>
      <c r="F120" s="717"/>
      <c r="G120" s="718"/>
      <c r="H120" s="719"/>
      <c r="I120" s="730"/>
      <c r="J120" s="731">
        <v>300</v>
      </c>
      <c r="K120" s="732"/>
      <c r="L120" s="733">
        <f t="shared" si="2"/>
        <v>300</v>
      </c>
    </row>
    <row r="121" spans="1:12" ht="18" customHeight="1" x14ac:dyDescent="0.3">
      <c r="A121" s="712">
        <v>113</v>
      </c>
      <c r="B121" s="713"/>
      <c r="C121" s="725">
        <v>16</v>
      </c>
      <c r="D121" s="726" t="s">
        <v>82</v>
      </c>
      <c r="E121" s="716"/>
      <c r="F121" s="717"/>
      <c r="G121" s="718"/>
      <c r="H121" s="719"/>
      <c r="I121" s="730"/>
      <c r="J121" s="731"/>
      <c r="K121" s="732">
        <v>508</v>
      </c>
      <c r="L121" s="733">
        <f t="shared" si="2"/>
        <v>508</v>
      </c>
    </row>
    <row r="122" spans="1:12" ht="18" customHeight="1" x14ac:dyDescent="0.3">
      <c r="A122" s="712">
        <v>114</v>
      </c>
      <c r="B122" s="713"/>
      <c r="C122" s="725">
        <v>17</v>
      </c>
      <c r="D122" s="726" t="s">
        <v>85</v>
      </c>
      <c r="E122" s="716"/>
      <c r="F122" s="717"/>
      <c r="G122" s="718"/>
      <c r="H122" s="719"/>
      <c r="I122" s="730"/>
      <c r="J122" s="731"/>
      <c r="K122" s="732">
        <v>500</v>
      </c>
      <c r="L122" s="733">
        <f t="shared" si="2"/>
        <v>500</v>
      </c>
    </row>
    <row r="123" spans="1:12" s="755" customFormat="1" ht="30" x14ac:dyDescent="0.3">
      <c r="A123" s="712">
        <v>115</v>
      </c>
      <c r="B123" s="749"/>
      <c r="C123" s="725">
        <v>2</v>
      </c>
      <c r="D123" s="750" t="s">
        <v>440</v>
      </c>
      <c r="E123" s="751"/>
      <c r="F123" s="717"/>
      <c r="G123" s="752">
        <v>2741</v>
      </c>
      <c r="H123" s="719">
        <v>2741</v>
      </c>
      <c r="I123" s="730"/>
      <c r="J123" s="731"/>
      <c r="K123" s="753"/>
      <c r="L123" s="754"/>
    </row>
    <row r="124" spans="1:12" s="755" customFormat="1" ht="30" x14ac:dyDescent="0.3">
      <c r="A124" s="712">
        <v>116</v>
      </c>
      <c r="B124" s="749"/>
      <c r="C124" s="725">
        <v>5</v>
      </c>
      <c r="D124" s="742" t="s">
        <v>441</v>
      </c>
      <c r="E124" s="751"/>
      <c r="F124" s="717">
        <v>1374</v>
      </c>
      <c r="G124" s="752"/>
      <c r="H124" s="719"/>
      <c r="I124" s="730"/>
      <c r="J124" s="731"/>
      <c r="K124" s="753"/>
      <c r="L124" s="754"/>
    </row>
    <row r="125" spans="1:12" ht="45.75" customHeight="1" x14ac:dyDescent="0.3">
      <c r="A125" s="712">
        <v>117</v>
      </c>
      <c r="B125" s="713"/>
      <c r="C125" s="725">
        <v>6</v>
      </c>
      <c r="D125" s="742" t="s">
        <v>442</v>
      </c>
      <c r="E125" s="716"/>
      <c r="F125" s="717">
        <v>2026</v>
      </c>
      <c r="G125" s="718">
        <v>914</v>
      </c>
      <c r="H125" s="719">
        <v>775</v>
      </c>
      <c r="I125" s="730"/>
      <c r="J125" s="731"/>
      <c r="K125" s="732"/>
      <c r="L125" s="737"/>
    </row>
    <row r="126" spans="1:12" ht="18" customHeight="1" x14ac:dyDescent="0.3">
      <c r="A126" s="712">
        <v>118</v>
      </c>
      <c r="B126" s="713"/>
      <c r="C126" s="734">
        <v>7</v>
      </c>
      <c r="D126" s="742" t="s">
        <v>443</v>
      </c>
      <c r="E126" s="716"/>
      <c r="F126" s="717"/>
      <c r="G126" s="718">
        <v>200</v>
      </c>
      <c r="H126" s="719">
        <v>1622</v>
      </c>
      <c r="I126" s="730"/>
      <c r="J126" s="731"/>
      <c r="K126" s="732"/>
      <c r="L126" s="737"/>
    </row>
    <row r="127" spans="1:12" ht="30" x14ac:dyDescent="0.3">
      <c r="A127" s="712">
        <v>119</v>
      </c>
      <c r="B127" s="713"/>
      <c r="C127" s="725">
        <v>8</v>
      </c>
      <c r="D127" s="742" t="s">
        <v>444</v>
      </c>
      <c r="E127" s="716"/>
      <c r="F127" s="717">
        <v>7112</v>
      </c>
      <c r="G127" s="718">
        <v>41877</v>
      </c>
      <c r="H127" s="719">
        <v>42015</v>
      </c>
      <c r="I127" s="730"/>
      <c r="J127" s="731"/>
      <c r="K127" s="732"/>
      <c r="L127" s="737"/>
    </row>
    <row r="128" spans="1:12" ht="18" customHeight="1" x14ac:dyDescent="0.3">
      <c r="A128" s="712">
        <v>120</v>
      </c>
      <c r="B128" s="713"/>
      <c r="C128" s="734">
        <v>9</v>
      </c>
      <c r="D128" s="742" t="s">
        <v>445</v>
      </c>
      <c r="E128" s="716"/>
      <c r="F128" s="717"/>
      <c r="G128" s="718">
        <v>80</v>
      </c>
      <c r="H128" s="719"/>
      <c r="I128" s="730"/>
      <c r="J128" s="731"/>
      <c r="K128" s="732"/>
      <c r="L128" s="737"/>
    </row>
    <row r="129" spans="1:12" s="724" customFormat="1" ht="22.5" customHeight="1" x14ac:dyDescent="0.3">
      <c r="A129" s="712">
        <v>121</v>
      </c>
      <c r="B129" s="713">
        <v>11</v>
      </c>
      <c r="C129" s="738" t="s">
        <v>51</v>
      </c>
      <c r="D129" s="715"/>
      <c r="E129" s="716" t="s">
        <v>106</v>
      </c>
      <c r="F129" s="717">
        <v>14312</v>
      </c>
      <c r="G129" s="718"/>
      <c r="H129" s="719"/>
      <c r="I129" s="720"/>
      <c r="J129" s="721"/>
      <c r="K129" s="739"/>
      <c r="L129" s="740"/>
    </row>
    <row r="130" spans="1:12" ht="18" customHeight="1" x14ac:dyDescent="0.3">
      <c r="A130" s="712">
        <v>122</v>
      </c>
      <c r="B130" s="713"/>
      <c r="C130" s="734">
        <v>1</v>
      </c>
      <c r="D130" s="742" t="s">
        <v>446</v>
      </c>
      <c r="E130" s="716"/>
      <c r="F130" s="717"/>
      <c r="G130" s="718"/>
      <c r="H130" s="719"/>
      <c r="I130" s="730">
        <v>1269</v>
      </c>
      <c r="J130" s="731">
        <v>1269</v>
      </c>
      <c r="K130" s="732"/>
      <c r="L130" s="733">
        <f>SUM(J130:K130)</f>
        <v>1269</v>
      </c>
    </row>
    <row r="131" spans="1:12" ht="18" customHeight="1" x14ac:dyDescent="0.3">
      <c r="A131" s="712">
        <v>123</v>
      </c>
      <c r="B131" s="713"/>
      <c r="C131" s="734">
        <v>2</v>
      </c>
      <c r="D131" s="750" t="s">
        <v>447</v>
      </c>
      <c r="E131" s="716"/>
      <c r="F131" s="717">
        <v>21</v>
      </c>
      <c r="G131" s="718"/>
      <c r="H131" s="719"/>
      <c r="I131" s="730" t="s">
        <v>448</v>
      </c>
      <c r="J131" s="731"/>
      <c r="K131" s="732"/>
      <c r="L131" s="737"/>
    </row>
    <row r="132" spans="1:12" ht="18" customHeight="1" x14ac:dyDescent="0.3">
      <c r="A132" s="712">
        <v>124</v>
      </c>
      <c r="B132" s="713"/>
      <c r="C132" s="734">
        <v>6</v>
      </c>
      <c r="D132" s="742" t="s">
        <v>449</v>
      </c>
      <c r="E132" s="716"/>
      <c r="F132" s="717">
        <v>2348</v>
      </c>
      <c r="G132" s="718">
        <v>7370</v>
      </c>
      <c r="H132" s="719">
        <v>7332</v>
      </c>
      <c r="I132" s="730">
        <v>1089</v>
      </c>
      <c r="J132" s="731">
        <v>0</v>
      </c>
      <c r="K132" s="732"/>
      <c r="L132" s="733">
        <f>SUM(J132:K132)</f>
        <v>0</v>
      </c>
    </row>
    <row r="133" spans="1:12" ht="18" customHeight="1" x14ac:dyDescent="0.3">
      <c r="A133" s="712">
        <v>125</v>
      </c>
      <c r="B133" s="713"/>
      <c r="C133" s="734">
        <v>7</v>
      </c>
      <c r="D133" s="742" t="s">
        <v>450</v>
      </c>
      <c r="E133" s="716"/>
      <c r="F133" s="717"/>
      <c r="G133" s="718">
        <v>57150</v>
      </c>
      <c r="H133" s="719">
        <v>57135</v>
      </c>
      <c r="I133" s="730"/>
      <c r="J133" s="731"/>
      <c r="K133" s="732"/>
      <c r="L133" s="737"/>
    </row>
    <row r="134" spans="1:12" ht="30" x14ac:dyDescent="0.3">
      <c r="A134" s="712">
        <v>126</v>
      </c>
      <c r="B134" s="713"/>
      <c r="C134" s="725">
        <v>8</v>
      </c>
      <c r="D134" s="742" t="s">
        <v>451</v>
      </c>
      <c r="E134" s="716"/>
      <c r="F134" s="717"/>
      <c r="G134" s="718"/>
      <c r="H134" s="719"/>
      <c r="I134" s="730">
        <v>4980</v>
      </c>
      <c r="J134" s="731">
        <v>4980</v>
      </c>
      <c r="K134" s="732"/>
      <c r="L134" s="733">
        <f>SUM(J134:K134)</f>
        <v>4980</v>
      </c>
    </row>
    <row r="135" spans="1:12" ht="18" customHeight="1" x14ac:dyDescent="0.3">
      <c r="A135" s="712">
        <v>127</v>
      </c>
      <c r="B135" s="713"/>
      <c r="C135" s="734">
        <v>13</v>
      </c>
      <c r="D135" s="742" t="s">
        <v>452</v>
      </c>
      <c r="E135" s="716"/>
      <c r="F135" s="717"/>
      <c r="G135" s="718">
        <v>2164</v>
      </c>
      <c r="H135" s="719">
        <v>428</v>
      </c>
      <c r="I135" s="730">
        <v>1801</v>
      </c>
      <c r="J135" s="731">
        <v>0</v>
      </c>
      <c r="K135" s="732"/>
      <c r="L135" s="733">
        <f>SUM(J135:K135)</f>
        <v>0</v>
      </c>
    </row>
    <row r="136" spans="1:12" ht="30" x14ac:dyDescent="0.3">
      <c r="A136" s="712">
        <v>128</v>
      </c>
      <c r="B136" s="713"/>
      <c r="C136" s="725">
        <v>14</v>
      </c>
      <c r="D136" s="742" t="s">
        <v>453</v>
      </c>
      <c r="E136" s="716"/>
      <c r="F136" s="717"/>
      <c r="G136" s="718"/>
      <c r="H136" s="719">
        <v>2725</v>
      </c>
      <c r="I136" s="730"/>
      <c r="J136" s="731"/>
      <c r="K136" s="732"/>
      <c r="L136" s="737"/>
    </row>
    <row r="137" spans="1:12" ht="18" customHeight="1" x14ac:dyDescent="0.3">
      <c r="A137" s="712">
        <v>129</v>
      </c>
      <c r="B137" s="713"/>
      <c r="C137" s="734">
        <v>15</v>
      </c>
      <c r="D137" s="742" t="s">
        <v>454</v>
      </c>
      <c r="E137" s="716"/>
      <c r="F137" s="717"/>
      <c r="G137" s="718"/>
      <c r="H137" s="719">
        <v>5000</v>
      </c>
      <c r="I137" s="730">
        <v>5000</v>
      </c>
      <c r="J137" s="731">
        <v>0</v>
      </c>
      <c r="K137" s="732"/>
      <c r="L137" s="733">
        <f>SUM(J137:K137)</f>
        <v>0</v>
      </c>
    </row>
    <row r="138" spans="1:12" ht="18" customHeight="1" x14ac:dyDescent="0.3">
      <c r="A138" s="712">
        <v>130</v>
      </c>
      <c r="B138" s="713"/>
      <c r="C138" s="734">
        <v>16</v>
      </c>
      <c r="D138" s="742" t="s">
        <v>455</v>
      </c>
      <c r="E138" s="716"/>
      <c r="F138" s="717"/>
      <c r="G138" s="718"/>
      <c r="H138" s="719">
        <v>6585</v>
      </c>
      <c r="I138" s="756"/>
      <c r="J138" s="757"/>
      <c r="K138" s="732"/>
      <c r="L138" s="737"/>
    </row>
    <row r="139" spans="1:12" ht="18" customHeight="1" x14ac:dyDescent="0.3">
      <c r="A139" s="712">
        <v>131</v>
      </c>
      <c r="B139" s="713"/>
      <c r="C139" s="734">
        <v>17</v>
      </c>
      <c r="D139" s="742" t="s">
        <v>456</v>
      </c>
      <c r="E139" s="716"/>
      <c r="F139" s="717"/>
      <c r="G139" s="718"/>
      <c r="H139" s="719">
        <v>1000</v>
      </c>
      <c r="I139" s="730">
        <v>1000</v>
      </c>
      <c r="J139" s="731">
        <v>1000</v>
      </c>
      <c r="K139" s="732"/>
      <c r="L139" s="733">
        <f>SUM(J139:K139)</f>
        <v>1000</v>
      </c>
    </row>
    <row r="140" spans="1:12" ht="18" customHeight="1" x14ac:dyDescent="0.3">
      <c r="A140" s="712">
        <v>132</v>
      </c>
      <c r="B140" s="713"/>
      <c r="C140" s="734">
        <v>18</v>
      </c>
      <c r="D140" s="726" t="s">
        <v>457</v>
      </c>
      <c r="E140" s="716"/>
      <c r="F140" s="717"/>
      <c r="G140" s="718"/>
      <c r="H140" s="719"/>
      <c r="I140" s="730"/>
      <c r="J140" s="731">
        <v>250</v>
      </c>
      <c r="K140" s="732"/>
      <c r="L140" s="733">
        <f>SUM(J140:K140)</f>
        <v>250</v>
      </c>
    </row>
    <row r="141" spans="1:12" s="724" customFormat="1" ht="22.5" customHeight="1" x14ac:dyDescent="0.3">
      <c r="A141" s="712">
        <v>133</v>
      </c>
      <c r="B141" s="713">
        <v>12</v>
      </c>
      <c r="C141" s="738" t="s">
        <v>10</v>
      </c>
      <c r="D141" s="715"/>
      <c r="E141" s="716" t="s">
        <v>106</v>
      </c>
      <c r="F141" s="717">
        <v>1033</v>
      </c>
      <c r="G141" s="718"/>
      <c r="H141" s="719"/>
      <c r="I141" s="720"/>
      <c r="J141" s="721"/>
      <c r="K141" s="739"/>
      <c r="L141" s="740"/>
    </row>
    <row r="142" spans="1:12" ht="30" x14ac:dyDescent="0.3">
      <c r="A142" s="712">
        <v>134</v>
      </c>
      <c r="B142" s="713"/>
      <c r="C142" s="725">
        <v>1</v>
      </c>
      <c r="D142" s="742" t="s">
        <v>73</v>
      </c>
      <c r="E142" s="716"/>
      <c r="F142" s="717">
        <v>16356</v>
      </c>
      <c r="G142" s="752">
        <v>11550</v>
      </c>
      <c r="H142" s="719">
        <v>15309</v>
      </c>
      <c r="I142" s="730">
        <v>11550</v>
      </c>
      <c r="J142" s="731">
        <v>14799</v>
      </c>
      <c r="K142" s="732">
        <v>2000</v>
      </c>
      <c r="L142" s="733">
        <f t="shared" ref="L142:L148" si="3">SUM(J142:K142)</f>
        <v>16799</v>
      </c>
    </row>
    <row r="143" spans="1:12" ht="46.5" customHeight="1" x14ac:dyDescent="0.3">
      <c r="A143" s="712">
        <v>135</v>
      </c>
      <c r="B143" s="713"/>
      <c r="C143" s="725">
        <v>2</v>
      </c>
      <c r="D143" s="742" t="s">
        <v>458</v>
      </c>
      <c r="E143" s="716"/>
      <c r="F143" s="717">
        <v>60895</v>
      </c>
      <c r="G143" s="752">
        <v>55000</v>
      </c>
      <c r="H143" s="719">
        <v>56284</v>
      </c>
      <c r="I143" s="730">
        <v>55030</v>
      </c>
      <c r="J143" s="731">
        <v>55030</v>
      </c>
      <c r="K143" s="732"/>
      <c r="L143" s="733">
        <f t="shared" si="3"/>
        <v>55030</v>
      </c>
    </row>
    <row r="144" spans="1:12" ht="36" customHeight="1" x14ac:dyDescent="0.3">
      <c r="A144" s="712">
        <v>136</v>
      </c>
      <c r="B144" s="713"/>
      <c r="C144" s="725">
        <v>4</v>
      </c>
      <c r="D144" s="742" t="s">
        <v>74</v>
      </c>
      <c r="E144" s="716"/>
      <c r="F144" s="717">
        <v>693</v>
      </c>
      <c r="G144" s="718">
        <v>3</v>
      </c>
      <c r="H144" s="719"/>
      <c r="I144" s="730">
        <v>7461</v>
      </c>
      <c r="J144" s="731">
        <v>10561</v>
      </c>
      <c r="K144" s="732">
        <v>-198</v>
      </c>
      <c r="L144" s="733">
        <f t="shared" si="3"/>
        <v>10363</v>
      </c>
    </row>
    <row r="145" spans="1:12" ht="30" x14ac:dyDescent="0.3">
      <c r="A145" s="712">
        <v>137</v>
      </c>
      <c r="B145" s="713"/>
      <c r="C145" s="725">
        <v>10</v>
      </c>
      <c r="D145" s="742" t="s">
        <v>459</v>
      </c>
      <c r="E145" s="716"/>
      <c r="F145" s="717"/>
      <c r="G145" s="718">
        <v>1150</v>
      </c>
      <c r="H145" s="719">
        <v>1244</v>
      </c>
      <c r="I145" s="730">
        <v>1200</v>
      </c>
      <c r="J145" s="731">
        <v>1260</v>
      </c>
      <c r="K145" s="732"/>
      <c r="L145" s="733">
        <f t="shared" si="3"/>
        <v>1260</v>
      </c>
    </row>
    <row r="146" spans="1:12" ht="33" customHeight="1" x14ac:dyDescent="0.3">
      <c r="A146" s="712">
        <v>138</v>
      </c>
      <c r="B146" s="713"/>
      <c r="C146" s="734">
        <v>11</v>
      </c>
      <c r="D146" s="742" t="s">
        <v>460</v>
      </c>
      <c r="E146" s="716"/>
      <c r="F146" s="717"/>
      <c r="G146" s="718"/>
      <c r="H146" s="719">
        <v>1279</v>
      </c>
      <c r="I146" s="730">
        <v>2000</v>
      </c>
      <c r="J146" s="731">
        <v>2000</v>
      </c>
      <c r="K146" s="732"/>
      <c r="L146" s="733">
        <f t="shared" si="3"/>
        <v>2000</v>
      </c>
    </row>
    <row r="147" spans="1:12" ht="60" x14ac:dyDescent="0.3">
      <c r="A147" s="712">
        <v>139</v>
      </c>
      <c r="B147" s="713"/>
      <c r="C147" s="725">
        <v>12</v>
      </c>
      <c r="D147" s="742" t="s">
        <v>461</v>
      </c>
      <c r="E147" s="716"/>
      <c r="F147" s="717"/>
      <c r="G147" s="718"/>
      <c r="H147" s="719">
        <v>663</v>
      </c>
      <c r="I147" s="730">
        <v>1140</v>
      </c>
      <c r="J147" s="731">
        <v>1940</v>
      </c>
      <c r="K147" s="732"/>
      <c r="L147" s="733">
        <f t="shared" si="3"/>
        <v>1940</v>
      </c>
    </row>
    <row r="148" spans="1:12" ht="18" customHeight="1" x14ac:dyDescent="0.3">
      <c r="A148" s="712">
        <v>140</v>
      </c>
      <c r="B148" s="713"/>
      <c r="C148" s="725">
        <v>14</v>
      </c>
      <c r="D148" s="742" t="s">
        <v>462</v>
      </c>
      <c r="E148" s="716"/>
      <c r="F148" s="717"/>
      <c r="G148" s="718"/>
      <c r="H148" s="719"/>
      <c r="I148" s="730"/>
      <c r="J148" s="731">
        <v>3634</v>
      </c>
      <c r="K148" s="732"/>
      <c r="L148" s="733">
        <f t="shared" si="3"/>
        <v>3634</v>
      </c>
    </row>
    <row r="149" spans="1:12" ht="30" customHeight="1" x14ac:dyDescent="0.3">
      <c r="A149" s="712">
        <v>141</v>
      </c>
      <c r="B149" s="713"/>
      <c r="C149" s="725">
        <v>3</v>
      </c>
      <c r="D149" s="750" t="s">
        <v>463</v>
      </c>
      <c r="E149" s="716"/>
      <c r="F149" s="758"/>
      <c r="G149" s="718">
        <v>113</v>
      </c>
      <c r="H149" s="719"/>
      <c r="I149" s="730"/>
      <c r="J149" s="731"/>
      <c r="K149" s="732"/>
      <c r="L149" s="737"/>
    </row>
    <row r="150" spans="1:12" ht="30" x14ac:dyDescent="0.3">
      <c r="A150" s="712">
        <v>142</v>
      </c>
      <c r="B150" s="713"/>
      <c r="C150" s="725">
        <v>5</v>
      </c>
      <c r="D150" s="742" t="s">
        <v>464</v>
      </c>
      <c r="E150" s="716"/>
      <c r="F150" s="717"/>
      <c r="G150" s="718">
        <v>9861</v>
      </c>
      <c r="H150" s="719">
        <v>12242</v>
      </c>
      <c r="I150" s="730"/>
      <c r="J150" s="731"/>
      <c r="K150" s="732"/>
      <c r="L150" s="737"/>
    </row>
    <row r="151" spans="1:12" ht="30" x14ac:dyDescent="0.3">
      <c r="A151" s="712">
        <v>143</v>
      </c>
      <c r="B151" s="713"/>
      <c r="C151" s="725">
        <v>6</v>
      </c>
      <c r="D151" s="742" t="s">
        <v>465</v>
      </c>
      <c r="E151" s="716"/>
      <c r="F151" s="717">
        <v>445</v>
      </c>
      <c r="G151" s="718">
        <v>1250</v>
      </c>
      <c r="H151" s="719">
        <v>367</v>
      </c>
      <c r="I151" s="730"/>
      <c r="J151" s="731"/>
      <c r="K151" s="732"/>
      <c r="L151" s="737"/>
    </row>
    <row r="152" spans="1:12" ht="18" customHeight="1" x14ac:dyDescent="0.3">
      <c r="A152" s="712">
        <v>144</v>
      </c>
      <c r="B152" s="713"/>
      <c r="C152" s="734">
        <v>9</v>
      </c>
      <c r="D152" s="742" t="s">
        <v>466</v>
      </c>
      <c r="E152" s="716"/>
      <c r="F152" s="717"/>
      <c r="G152" s="718"/>
      <c r="H152" s="719">
        <v>4112</v>
      </c>
      <c r="I152" s="730"/>
      <c r="J152" s="731"/>
      <c r="K152" s="732"/>
      <c r="L152" s="737"/>
    </row>
    <row r="153" spans="1:12" ht="18" customHeight="1" x14ac:dyDescent="0.3">
      <c r="A153" s="712">
        <v>145</v>
      </c>
      <c r="B153" s="713"/>
      <c r="C153" s="734">
        <v>13</v>
      </c>
      <c r="D153" s="726" t="s">
        <v>467</v>
      </c>
      <c r="E153" s="716"/>
      <c r="F153" s="717"/>
      <c r="G153" s="718"/>
      <c r="H153" s="719">
        <v>12032</v>
      </c>
      <c r="I153" s="730"/>
      <c r="J153" s="731"/>
      <c r="K153" s="732"/>
      <c r="L153" s="737"/>
    </row>
    <row r="154" spans="1:12" s="724" customFormat="1" ht="22.5" customHeight="1" x14ac:dyDescent="0.3">
      <c r="A154" s="712">
        <v>146</v>
      </c>
      <c r="B154" s="713">
        <v>13</v>
      </c>
      <c r="C154" s="738" t="s">
        <v>52</v>
      </c>
      <c r="D154" s="715"/>
      <c r="E154" s="716" t="s">
        <v>106</v>
      </c>
      <c r="F154" s="717">
        <v>46163</v>
      </c>
      <c r="G154" s="718"/>
      <c r="H154" s="719"/>
      <c r="I154" s="720"/>
      <c r="J154" s="721"/>
      <c r="K154" s="739"/>
      <c r="L154" s="740"/>
    </row>
    <row r="155" spans="1:12" ht="45" x14ac:dyDescent="0.3">
      <c r="A155" s="712">
        <v>147</v>
      </c>
      <c r="B155" s="713"/>
      <c r="C155" s="725">
        <v>1</v>
      </c>
      <c r="D155" s="742" t="s">
        <v>468</v>
      </c>
      <c r="E155" s="716"/>
      <c r="F155" s="717"/>
      <c r="G155" s="718"/>
      <c r="H155" s="719">
        <v>2415</v>
      </c>
      <c r="I155" s="730">
        <v>2550</v>
      </c>
      <c r="J155" s="731">
        <v>2550</v>
      </c>
      <c r="K155" s="732"/>
      <c r="L155" s="733">
        <f>SUM(J155:K155)</f>
        <v>2550</v>
      </c>
    </row>
    <row r="156" spans="1:12" ht="18" customHeight="1" x14ac:dyDescent="0.3">
      <c r="A156" s="712">
        <v>148</v>
      </c>
      <c r="B156" s="713"/>
      <c r="C156" s="734">
        <v>3</v>
      </c>
      <c r="D156" s="742" t="s">
        <v>469</v>
      </c>
      <c r="E156" s="716"/>
      <c r="F156" s="717"/>
      <c r="G156" s="718"/>
      <c r="H156" s="719">
        <v>3136</v>
      </c>
      <c r="I156" s="730">
        <v>1500</v>
      </c>
      <c r="J156" s="731">
        <v>2135</v>
      </c>
      <c r="K156" s="732"/>
      <c r="L156" s="733">
        <f>SUM(J156:K156)</f>
        <v>2135</v>
      </c>
    </row>
    <row r="157" spans="1:12" ht="18" customHeight="1" x14ac:dyDescent="0.3">
      <c r="A157" s="712">
        <v>149</v>
      </c>
      <c r="B157" s="713"/>
      <c r="C157" s="734">
        <v>8</v>
      </c>
      <c r="D157" s="742" t="s">
        <v>470</v>
      </c>
      <c r="E157" s="716"/>
      <c r="F157" s="717"/>
      <c r="G157" s="718"/>
      <c r="H157" s="719"/>
      <c r="I157" s="730">
        <v>750</v>
      </c>
      <c r="J157" s="731">
        <v>3417</v>
      </c>
      <c r="K157" s="732"/>
      <c r="L157" s="733">
        <f>SUM(J157:K157)</f>
        <v>3417</v>
      </c>
    </row>
    <row r="158" spans="1:12" ht="30" x14ac:dyDescent="0.3">
      <c r="A158" s="712">
        <v>150</v>
      </c>
      <c r="B158" s="713"/>
      <c r="C158" s="725">
        <v>25</v>
      </c>
      <c r="D158" s="742" t="s">
        <v>471</v>
      </c>
      <c r="E158" s="716"/>
      <c r="F158" s="717"/>
      <c r="G158" s="718">
        <v>13906</v>
      </c>
      <c r="H158" s="719">
        <v>2362</v>
      </c>
      <c r="I158" s="730">
        <v>9585</v>
      </c>
      <c r="J158" s="731">
        <v>2076</v>
      </c>
      <c r="K158" s="732"/>
      <c r="L158" s="733">
        <f>SUM(J158:K158)</f>
        <v>2076</v>
      </c>
    </row>
    <row r="159" spans="1:12" ht="30" x14ac:dyDescent="0.3">
      <c r="A159" s="712">
        <v>151</v>
      </c>
      <c r="B159" s="713"/>
      <c r="C159" s="725">
        <v>29</v>
      </c>
      <c r="D159" s="742" t="s">
        <v>472</v>
      </c>
      <c r="E159" s="716"/>
      <c r="F159" s="717"/>
      <c r="G159" s="718">
        <v>8306</v>
      </c>
      <c r="H159" s="719">
        <v>8692</v>
      </c>
      <c r="I159" s="730"/>
      <c r="J159" s="731"/>
      <c r="K159" s="732"/>
      <c r="L159" s="737"/>
    </row>
    <row r="160" spans="1:12" x14ac:dyDescent="0.3">
      <c r="A160" s="712">
        <v>152</v>
      </c>
      <c r="B160" s="713"/>
      <c r="C160" s="725">
        <v>30</v>
      </c>
      <c r="D160" s="742" t="s">
        <v>473</v>
      </c>
      <c r="E160" s="716"/>
      <c r="F160" s="717"/>
      <c r="G160" s="718"/>
      <c r="H160" s="719">
        <v>8669</v>
      </c>
      <c r="I160" s="730"/>
      <c r="J160" s="731"/>
      <c r="K160" s="732"/>
      <c r="L160" s="737"/>
    </row>
    <row r="161" spans="1:12" ht="60" customHeight="1" x14ac:dyDescent="0.3">
      <c r="A161" s="712">
        <v>153</v>
      </c>
      <c r="B161" s="713"/>
      <c r="C161" s="725">
        <v>31</v>
      </c>
      <c r="D161" s="742" t="s">
        <v>474</v>
      </c>
      <c r="E161" s="716"/>
      <c r="F161" s="717"/>
      <c r="G161" s="718"/>
      <c r="H161" s="719">
        <v>31585</v>
      </c>
      <c r="I161" s="730">
        <v>109822</v>
      </c>
      <c r="J161" s="731">
        <v>113892</v>
      </c>
      <c r="K161" s="732"/>
      <c r="L161" s="733">
        <f>SUM(J161:K161)</f>
        <v>113892</v>
      </c>
    </row>
    <row r="162" spans="1:12" ht="18" customHeight="1" x14ac:dyDescent="0.3">
      <c r="A162" s="712">
        <v>154</v>
      </c>
      <c r="B162" s="713"/>
      <c r="C162" s="725">
        <v>32</v>
      </c>
      <c r="D162" s="742" t="s">
        <v>475</v>
      </c>
      <c r="E162" s="716"/>
      <c r="F162" s="717"/>
      <c r="G162" s="718"/>
      <c r="H162" s="719">
        <v>206</v>
      </c>
      <c r="I162" s="730"/>
      <c r="J162" s="731"/>
      <c r="K162" s="732"/>
      <c r="L162" s="733"/>
    </row>
    <row r="163" spans="1:12" ht="18" customHeight="1" x14ac:dyDescent="0.3">
      <c r="A163" s="712">
        <v>155</v>
      </c>
      <c r="B163" s="713"/>
      <c r="C163" s="734">
        <v>33</v>
      </c>
      <c r="D163" s="742" t="s">
        <v>476</v>
      </c>
      <c r="E163" s="716"/>
      <c r="F163" s="717"/>
      <c r="G163" s="718"/>
      <c r="H163" s="719"/>
      <c r="I163" s="730">
        <v>1200</v>
      </c>
      <c r="J163" s="731">
        <v>1200</v>
      </c>
      <c r="K163" s="732"/>
      <c r="L163" s="733">
        <f t="shared" ref="L163:L170" si="4">SUM(J163:K163)</f>
        <v>1200</v>
      </c>
    </row>
    <row r="164" spans="1:12" ht="18" customHeight="1" x14ac:dyDescent="0.3">
      <c r="A164" s="712">
        <v>156</v>
      </c>
      <c r="B164" s="713"/>
      <c r="C164" s="734">
        <v>34</v>
      </c>
      <c r="D164" s="742" t="s">
        <v>75</v>
      </c>
      <c r="E164" s="716"/>
      <c r="F164" s="717"/>
      <c r="G164" s="718"/>
      <c r="H164" s="719"/>
      <c r="I164" s="730">
        <v>1016</v>
      </c>
      <c r="J164" s="731">
        <v>868</v>
      </c>
      <c r="K164" s="732">
        <v>394</v>
      </c>
      <c r="L164" s="733">
        <f t="shared" si="4"/>
        <v>1262</v>
      </c>
    </row>
    <row r="165" spans="1:12" ht="18" customHeight="1" x14ac:dyDescent="0.3">
      <c r="A165" s="712">
        <v>157</v>
      </c>
      <c r="B165" s="713"/>
      <c r="C165" s="734">
        <v>35</v>
      </c>
      <c r="D165" s="742" t="s">
        <v>76</v>
      </c>
      <c r="E165" s="716"/>
      <c r="F165" s="717"/>
      <c r="G165" s="718"/>
      <c r="H165" s="719"/>
      <c r="I165" s="730">
        <v>1410</v>
      </c>
      <c r="J165" s="731">
        <v>1408</v>
      </c>
      <c r="K165" s="732">
        <v>-394</v>
      </c>
      <c r="L165" s="733">
        <f t="shared" si="4"/>
        <v>1014</v>
      </c>
    </row>
    <row r="166" spans="1:12" ht="18" customHeight="1" x14ac:dyDescent="0.3">
      <c r="A166" s="712">
        <v>158</v>
      </c>
      <c r="B166" s="713"/>
      <c r="C166" s="734">
        <v>36</v>
      </c>
      <c r="D166" s="726" t="s">
        <v>477</v>
      </c>
      <c r="E166" s="716"/>
      <c r="F166" s="717"/>
      <c r="G166" s="718"/>
      <c r="H166" s="719"/>
      <c r="I166" s="730"/>
      <c r="J166" s="731">
        <v>19920</v>
      </c>
      <c r="K166" s="732"/>
      <c r="L166" s="733">
        <f t="shared" si="4"/>
        <v>19920</v>
      </c>
    </row>
    <row r="167" spans="1:12" ht="31.5" customHeight="1" x14ac:dyDescent="0.3">
      <c r="A167" s="712">
        <v>159</v>
      </c>
      <c r="B167" s="713"/>
      <c r="C167" s="725">
        <v>37</v>
      </c>
      <c r="D167" s="726" t="s">
        <v>478</v>
      </c>
      <c r="E167" s="716"/>
      <c r="F167" s="717"/>
      <c r="G167" s="718"/>
      <c r="H167" s="719"/>
      <c r="I167" s="730"/>
      <c r="J167" s="731">
        <v>5080</v>
      </c>
      <c r="K167" s="732"/>
      <c r="L167" s="733">
        <f t="shared" si="4"/>
        <v>5080</v>
      </c>
    </row>
    <row r="168" spans="1:12" ht="19.5" customHeight="1" x14ac:dyDescent="0.3">
      <c r="A168" s="712">
        <v>160</v>
      </c>
      <c r="B168" s="713"/>
      <c r="C168" s="725">
        <v>38</v>
      </c>
      <c r="D168" s="726" t="s">
        <v>479</v>
      </c>
      <c r="E168" s="716"/>
      <c r="F168" s="717"/>
      <c r="G168" s="718"/>
      <c r="H168" s="719"/>
      <c r="I168" s="730"/>
      <c r="J168" s="731">
        <v>400</v>
      </c>
      <c r="K168" s="732"/>
      <c r="L168" s="733">
        <f t="shared" si="4"/>
        <v>400</v>
      </c>
    </row>
    <row r="169" spans="1:12" ht="19.5" customHeight="1" x14ac:dyDescent="0.3">
      <c r="A169" s="712">
        <v>161</v>
      </c>
      <c r="B169" s="713"/>
      <c r="C169" s="725">
        <v>39</v>
      </c>
      <c r="D169" s="726" t="s">
        <v>480</v>
      </c>
      <c r="E169" s="716"/>
      <c r="F169" s="717"/>
      <c r="G169" s="718"/>
      <c r="H169" s="719"/>
      <c r="I169" s="730"/>
      <c r="J169" s="731">
        <v>889</v>
      </c>
      <c r="K169" s="732"/>
      <c r="L169" s="733">
        <f t="shared" si="4"/>
        <v>889</v>
      </c>
    </row>
    <row r="170" spans="1:12" ht="19.5" customHeight="1" x14ac:dyDescent="0.3">
      <c r="A170" s="712">
        <v>162</v>
      </c>
      <c r="B170" s="713"/>
      <c r="C170" s="725">
        <v>40</v>
      </c>
      <c r="D170" s="726" t="s">
        <v>481</v>
      </c>
      <c r="E170" s="716"/>
      <c r="F170" s="717"/>
      <c r="G170" s="718"/>
      <c r="H170" s="719"/>
      <c r="I170" s="730"/>
      <c r="J170" s="731">
        <v>5461</v>
      </c>
      <c r="K170" s="732"/>
      <c r="L170" s="733">
        <f t="shared" si="4"/>
        <v>5461</v>
      </c>
    </row>
    <row r="171" spans="1:12" s="724" customFormat="1" ht="22.5" customHeight="1" x14ac:dyDescent="0.3">
      <c r="A171" s="712">
        <v>163</v>
      </c>
      <c r="B171" s="713">
        <v>14</v>
      </c>
      <c r="C171" s="738" t="s">
        <v>53</v>
      </c>
      <c r="D171" s="715"/>
      <c r="E171" s="716" t="s">
        <v>296</v>
      </c>
      <c r="F171" s="717">
        <v>4552</v>
      </c>
      <c r="G171" s="718"/>
      <c r="H171" s="719">
        <v>18710</v>
      </c>
      <c r="I171" s="720"/>
      <c r="J171" s="721"/>
      <c r="K171" s="739"/>
      <c r="L171" s="740"/>
    </row>
    <row r="172" spans="1:12" ht="18" customHeight="1" x14ac:dyDescent="0.3">
      <c r="A172" s="712">
        <v>164</v>
      </c>
      <c r="B172" s="713"/>
      <c r="C172" s="734">
        <v>1</v>
      </c>
      <c r="D172" s="742" t="s">
        <v>482</v>
      </c>
      <c r="E172" s="716"/>
      <c r="F172" s="717"/>
      <c r="G172" s="718">
        <v>300</v>
      </c>
      <c r="H172" s="719">
        <v>42</v>
      </c>
      <c r="I172" s="730">
        <v>110</v>
      </c>
      <c r="J172" s="731">
        <v>0</v>
      </c>
      <c r="K172" s="732"/>
      <c r="L172" s="733">
        <f t="shared" ref="L172:L181" si="5">SUM(J172:K172)</f>
        <v>0</v>
      </c>
    </row>
    <row r="173" spans="1:12" ht="47.25" customHeight="1" x14ac:dyDescent="0.3">
      <c r="A173" s="712">
        <v>165</v>
      </c>
      <c r="B173" s="713"/>
      <c r="C173" s="725">
        <v>2</v>
      </c>
      <c r="D173" s="742" t="s">
        <v>77</v>
      </c>
      <c r="E173" s="716"/>
      <c r="F173" s="717"/>
      <c r="G173" s="718"/>
      <c r="H173" s="719"/>
      <c r="I173" s="730">
        <f>500+1000</f>
        <v>1500</v>
      </c>
      <c r="J173" s="731">
        <v>734</v>
      </c>
      <c r="K173" s="732">
        <v>367</v>
      </c>
      <c r="L173" s="733">
        <f t="shared" si="5"/>
        <v>1101</v>
      </c>
    </row>
    <row r="174" spans="1:12" ht="18" customHeight="1" x14ac:dyDescent="0.3">
      <c r="A174" s="712">
        <v>166</v>
      </c>
      <c r="B174" s="713"/>
      <c r="C174" s="734">
        <v>3</v>
      </c>
      <c r="D174" s="726" t="s">
        <v>78</v>
      </c>
      <c r="E174" s="716"/>
      <c r="F174" s="717"/>
      <c r="G174" s="718"/>
      <c r="H174" s="719"/>
      <c r="I174" s="730"/>
      <c r="J174" s="731">
        <v>7730</v>
      </c>
      <c r="K174" s="732">
        <v>-110</v>
      </c>
      <c r="L174" s="733">
        <f t="shared" si="5"/>
        <v>7620</v>
      </c>
    </row>
    <row r="175" spans="1:12" ht="18" customHeight="1" x14ac:dyDescent="0.3">
      <c r="A175" s="712">
        <v>167</v>
      </c>
      <c r="B175" s="713"/>
      <c r="C175" s="734">
        <v>4</v>
      </c>
      <c r="D175" s="726" t="s">
        <v>483</v>
      </c>
      <c r="E175" s="716"/>
      <c r="F175" s="717"/>
      <c r="G175" s="718"/>
      <c r="H175" s="719"/>
      <c r="I175" s="730"/>
      <c r="J175" s="731">
        <v>9468</v>
      </c>
      <c r="K175" s="732"/>
      <c r="L175" s="733">
        <f t="shared" si="5"/>
        <v>9468</v>
      </c>
    </row>
    <row r="176" spans="1:12" ht="18" customHeight="1" x14ac:dyDescent="0.3">
      <c r="A176" s="712">
        <v>168</v>
      </c>
      <c r="B176" s="713"/>
      <c r="C176" s="734">
        <v>5</v>
      </c>
      <c r="D176" s="726" t="s">
        <v>79</v>
      </c>
      <c r="E176" s="716"/>
      <c r="F176" s="717"/>
      <c r="G176" s="718"/>
      <c r="H176" s="719"/>
      <c r="I176" s="730"/>
      <c r="J176" s="731">
        <v>364</v>
      </c>
      <c r="K176" s="732">
        <v>-36</v>
      </c>
      <c r="L176" s="733">
        <f t="shared" si="5"/>
        <v>328</v>
      </c>
    </row>
    <row r="177" spans="1:12" ht="18" customHeight="1" x14ac:dyDescent="0.3">
      <c r="A177" s="712">
        <v>169</v>
      </c>
      <c r="B177" s="713"/>
      <c r="C177" s="734">
        <v>6</v>
      </c>
      <c r="D177" s="726" t="s">
        <v>484</v>
      </c>
      <c r="E177" s="716"/>
      <c r="F177" s="717"/>
      <c r="G177" s="718"/>
      <c r="H177" s="719"/>
      <c r="I177" s="730"/>
      <c r="J177" s="731">
        <v>1801</v>
      </c>
      <c r="K177" s="732"/>
      <c r="L177" s="733">
        <f t="shared" si="5"/>
        <v>1801</v>
      </c>
    </row>
    <row r="178" spans="1:12" ht="18" customHeight="1" x14ac:dyDescent="0.3">
      <c r="A178" s="712">
        <v>170</v>
      </c>
      <c r="B178" s="713"/>
      <c r="C178" s="734">
        <v>7</v>
      </c>
      <c r="D178" s="726" t="s">
        <v>485</v>
      </c>
      <c r="E178" s="716"/>
      <c r="F178" s="717"/>
      <c r="G178" s="718"/>
      <c r="H178" s="719"/>
      <c r="I178" s="730"/>
      <c r="J178" s="731">
        <v>572</v>
      </c>
      <c r="K178" s="732"/>
      <c r="L178" s="733">
        <f t="shared" si="5"/>
        <v>572</v>
      </c>
    </row>
    <row r="179" spans="1:12" ht="18" customHeight="1" x14ac:dyDescent="0.3">
      <c r="A179" s="712">
        <v>171</v>
      </c>
      <c r="B179" s="713"/>
      <c r="C179" s="734">
        <v>8</v>
      </c>
      <c r="D179" s="726" t="s">
        <v>80</v>
      </c>
      <c r="E179" s="716"/>
      <c r="F179" s="717"/>
      <c r="G179" s="718"/>
      <c r="H179" s="719"/>
      <c r="I179" s="730"/>
      <c r="J179" s="731">
        <v>280</v>
      </c>
      <c r="K179" s="732">
        <v>35</v>
      </c>
      <c r="L179" s="733">
        <f t="shared" si="5"/>
        <v>315</v>
      </c>
    </row>
    <row r="180" spans="1:12" ht="18" customHeight="1" x14ac:dyDescent="0.3">
      <c r="A180" s="712">
        <v>172</v>
      </c>
      <c r="B180" s="713"/>
      <c r="C180" s="734">
        <v>9</v>
      </c>
      <c r="D180" s="726" t="s">
        <v>81</v>
      </c>
      <c r="E180" s="716"/>
      <c r="F180" s="717"/>
      <c r="G180" s="718"/>
      <c r="H180" s="719"/>
      <c r="I180" s="730"/>
      <c r="J180" s="731">
        <v>1000</v>
      </c>
      <c r="K180" s="732">
        <v>-59</v>
      </c>
      <c r="L180" s="733">
        <f t="shared" si="5"/>
        <v>941</v>
      </c>
    </row>
    <row r="181" spans="1:12" ht="18" customHeight="1" x14ac:dyDescent="0.3">
      <c r="A181" s="712">
        <v>173</v>
      </c>
      <c r="B181" s="713"/>
      <c r="C181" s="734">
        <v>10</v>
      </c>
      <c r="D181" s="726" t="s">
        <v>486</v>
      </c>
      <c r="E181" s="716"/>
      <c r="F181" s="717"/>
      <c r="G181" s="718"/>
      <c r="H181" s="719"/>
      <c r="I181" s="730"/>
      <c r="J181" s="731">
        <v>19000</v>
      </c>
      <c r="K181" s="732"/>
      <c r="L181" s="733">
        <f t="shared" si="5"/>
        <v>19000</v>
      </c>
    </row>
    <row r="182" spans="1:12" s="724" customFormat="1" ht="22.5" customHeight="1" x14ac:dyDescent="0.3">
      <c r="A182" s="712">
        <v>174</v>
      </c>
      <c r="B182" s="713">
        <v>15</v>
      </c>
      <c r="C182" s="738" t="s">
        <v>54</v>
      </c>
      <c r="D182" s="715"/>
      <c r="E182" s="716" t="s">
        <v>296</v>
      </c>
      <c r="F182" s="717">
        <f>29721+41030</f>
        <v>70751</v>
      </c>
      <c r="G182" s="718"/>
      <c r="H182" s="719">
        <v>85619</v>
      </c>
      <c r="I182" s="720"/>
      <c r="J182" s="721"/>
      <c r="K182" s="739"/>
      <c r="L182" s="740"/>
    </row>
    <row r="183" spans="1:12" ht="79.5" customHeight="1" x14ac:dyDescent="0.3">
      <c r="A183" s="712">
        <v>175</v>
      </c>
      <c r="B183" s="713"/>
      <c r="C183" s="725">
        <v>1</v>
      </c>
      <c r="D183" s="742" t="s">
        <v>487</v>
      </c>
      <c r="E183" s="716"/>
      <c r="F183" s="717"/>
      <c r="G183" s="718"/>
      <c r="H183" s="719"/>
      <c r="I183" s="730">
        <v>4000</v>
      </c>
      <c r="J183" s="731">
        <v>12833</v>
      </c>
      <c r="K183" s="732"/>
      <c r="L183" s="733">
        <f t="shared" ref="L183:L190" si="6">SUM(J183:K183)</f>
        <v>12833</v>
      </c>
    </row>
    <row r="184" spans="1:12" ht="18" customHeight="1" x14ac:dyDescent="0.3">
      <c r="A184" s="712">
        <v>176</v>
      </c>
      <c r="B184" s="713"/>
      <c r="C184" s="743">
        <v>2</v>
      </c>
      <c r="D184" s="742" t="s">
        <v>488</v>
      </c>
      <c r="E184" s="716"/>
      <c r="F184" s="717"/>
      <c r="G184" s="718"/>
      <c r="H184" s="719"/>
      <c r="I184" s="730"/>
      <c r="J184" s="731">
        <v>26300</v>
      </c>
      <c r="K184" s="732"/>
      <c r="L184" s="733">
        <f t="shared" si="6"/>
        <v>26300</v>
      </c>
    </row>
    <row r="185" spans="1:12" ht="18" customHeight="1" x14ac:dyDescent="0.3">
      <c r="A185" s="712">
        <v>177</v>
      </c>
      <c r="B185" s="713"/>
      <c r="C185" s="743">
        <v>3</v>
      </c>
      <c r="D185" s="726" t="s">
        <v>489</v>
      </c>
      <c r="E185" s="716"/>
      <c r="F185" s="717"/>
      <c r="G185" s="718"/>
      <c r="H185" s="719"/>
      <c r="I185" s="730"/>
      <c r="J185" s="731">
        <v>1001</v>
      </c>
      <c r="K185" s="732"/>
      <c r="L185" s="733">
        <f t="shared" si="6"/>
        <v>1001</v>
      </c>
    </row>
    <row r="186" spans="1:12" ht="18" customHeight="1" x14ac:dyDescent="0.3">
      <c r="A186" s="712">
        <v>178</v>
      </c>
      <c r="B186" s="713"/>
      <c r="C186" s="743">
        <v>4</v>
      </c>
      <c r="D186" s="726" t="s">
        <v>490</v>
      </c>
      <c r="E186" s="716"/>
      <c r="F186" s="717"/>
      <c r="G186" s="718"/>
      <c r="H186" s="719"/>
      <c r="I186" s="730"/>
      <c r="J186" s="731">
        <v>508</v>
      </c>
      <c r="K186" s="732"/>
      <c r="L186" s="733">
        <f t="shared" si="6"/>
        <v>508</v>
      </c>
    </row>
    <row r="187" spans="1:12" ht="18" customHeight="1" x14ac:dyDescent="0.3">
      <c r="A187" s="712">
        <v>179</v>
      </c>
      <c r="B187" s="713"/>
      <c r="C187" s="743">
        <v>5</v>
      </c>
      <c r="D187" s="726" t="s">
        <v>491</v>
      </c>
      <c r="E187" s="716"/>
      <c r="F187" s="717"/>
      <c r="G187" s="718"/>
      <c r="H187" s="719"/>
      <c r="I187" s="730"/>
      <c r="J187" s="731">
        <v>250</v>
      </c>
      <c r="K187" s="732"/>
      <c r="L187" s="733">
        <f t="shared" si="6"/>
        <v>250</v>
      </c>
    </row>
    <row r="188" spans="1:12" ht="18" customHeight="1" x14ac:dyDescent="0.3">
      <c r="A188" s="712">
        <v>180</v>
      </c>
      <c r="B188" s="713"/>
      <c r="C188" s="743">
        <v>6</v>
      </c>
      <c r="D188" s="726" t="s">
        <v>492</v>
      </c>
      <c r="E188" s="716"/>
      <c r="F188" s="717"/>
      <c r="G188" s="718"/>
      <c r="H188" s="719"/>
      <c r="I188" s="730"/>
      <c r="J188" s="731">
        <v>408</v>
      </c>
      <c r="K188" s="732"/>
      <c r="L188" s="733">
        <f t="shared" si="6"/>
        <v>408</v>
      </c>
    </row>
    <row r="189" spans="1:12" ht="31.5" customHeight="1" x14ac:dyDescent="0.3">
      <c r="A189" s="712">
        <v>181</v>
      </c>
      <c r="B189" s="713"/>
      <c r="C189" s="748">
        <v>7</v>
      </c>
      <c r="D189" s="726" t="s">
        <v>493</v>
      </c>
      <c r="E189" s="716"/>
      <c r="F189" s="717"/>
      <c r="G189" s="718"/>
      <c r="H189" s="719"/>
      <c r="I189" s="730"/>
      <c r="J189" s="731">
        <v>1500</v>
      </c>
      <c r="K189" s="732"/>
      <c r="L189" s="733">
        <f t="shared" si="6"/>
        <v>1500</v>
      </c>
    </row>
    <row r="190" spans="1:12" ht="48" customHeight="1" x14ac:dyDescent="0.3">
      <c r="A190" s="712">
        <v>182</v>
      </c>
      <c r="B190" s="713"/>
      <c r="C190" s="748">
        <v>8</v>
      </c>
      <c r="D190" s="726" t="s">
        <v>86</v>
      </c>
      <c r="E190" s="716"/>
      <c r="F190" s="717"/>
      <c r="G190" s="718"/>
      <c r="H190" s="719"/>
      <c r="I190" s="730"/>
      <c r="J190" s="731"/>
      <c r="K190" s="732">
        <v>4096</v>
      </c>
      <c r="L190" s="733">
        <f t="shared" si="6"/>
        <v>4096</v>
      </c>
    </row>
    <row r="191" spans="1:12" s="724" customFormat="1" ht="22.5" customHeight="1" x14ac:dyDescent="0.3">
      <c r="A191" s="712">
        <v>183</v>
      </c>
      <c r="B191" s="713">
        <v>16</v>
      </c>
      <c r="C191" s="759" t="s">
        <v>55</v>
      </c>
      <c r="D191" s="715"/>
      <c r="E191" s="716" t="s">
        <v>106</v>
      </c>
      <c r="F191" s="717">
        <v>11581</v>
      </c>
      <c r="G191" s="718"/>
      <c r="H191" s="719">
        <v>1541</v>
      </c>
      <c r="I191" s="720"/>
      <c r="J191" s="721"/>
      <c r="K191" s="739"/>
      <c r="L191" s="740"/>
    </row>
    <row r="192" spans="1:12" s="724" customFormat="1" ht="18" customHeight="1" x14ac:dyDescent="0.3">
      <c r="A192" s="712">
        <v>184</v>
      </c>
      <c r="B192" s="713"/>
      <c r="C192" s="734">
        <v>1</v>
      </c>
      <c r="D192" s="742" t="s">
        <v>83</v>
      </c>
      <c r="E192" s="716"/>
      <c r="F192" s="717"/>
      <c r="G192" s="718"/>
      <c r="H192" s="719"/>
      <c r="I192" s="720"/>
      <c r="J192" s="731">
        <v>2800</v>
      </c>
      <c r="K192" s="732"/>
      <c r="L192" s="733">
        <f>SUM(J192:K192)</f>
        <v>2800</v>
      </c>
    </row>
    <row r="193" spans="1:12" ht="18" customHeight="1" x14ac:dyDescent="0.3">
      <c r="A193" s="712">
        <v>185</v>
      </c>
      <c r="B193" s="713"/>
      <c r="C193" s="734">
        <v>4</v>
      </c>
      <c r="D193" s="742" t="s">
        <v>494</v>
      </c>
      <c r="E193" s="716"/>
      <c r="F193" s="717"/>
      <c r="G193" s="718"/>
      <c r="H193" s="719"/>
      <c r="I193" s="730">
        <v>7000</v>
      </c>
      <c r="J193" s="760">
        <v>4000</v>
      </c>
      <c r="K193" s="761"/>
      <c r="L193" s="733">
        <f>SUM(J193:K193)</f>
        <v>4000</v>
      </c>
    </row>
    <row r="194" spans="1:12" ht="18" customHeight="1" x14ac:dyDescent="0.3">
      <c r="A194" s="712">
        <v>186</v>
      </c>
      <c r="B194" s="762"/>
      <c r="C194" s="763">
        <v>5</v>
      </c>
      <c r="D194" s="764" t="s">
        <v>495</v>
      </c>
      <c r="E194" s="765"/>
      <c r="F194" s="766"/>
      <c r="G194" s="767"/>
      <c r="H194" s="768"/>
      <c r="I194" s="769"/>
      <c r="J194" s="770">
        <v>1000</v>
      </c>
      <c r="K194" s="761"/>
      <c r="L194" s="771">
        <f>SUM(J194:K194)</f>
        <v>1000</v>
      </c>
    </row>
    <row r="195" spans="1:12" ht="18" customHeight="1" x14ac:dyDescent="0.3">
      <c r="A195" s="712">
        <v>187</v>
      </c>
      <c r="B195" s="772"/>
      <c r="C195" s="773">
        <v>6</v>
      </c>
      <c r="D195" s="774" t="s">
        <v>90</v>
      </c>
      <c r="E195" s="775"/>
      <c r="F195" s="776"/>
      <c r="G195" s="777"/>
      <c r="H195" s="778"/>
      <c r="I195" s="779"/>
      <c r="J195" s="780"/>
      <c r="K195" s="781">
        <v>2800</v>
      </c>
      <c r="L195" s="771">
        <f>SUM(J195:K195)</f>
        <v>2800</v>
      </c>
    </row>
    <row r="196" spans="1:12" s="789" customFormat="1" ht="36" customHeight="1" x14ac:dyDescent="0.2">
      <c r="A196" s="712">
        <v>188</v>
      </c>
      <c r="B196" s="1964" t="s">
        <v>496</v>
      </c>
      <c r="C196" s="1964"/>
      <c r="D196" s="1964"/>
      <c r="E196" s="782"/>
      <c r="F196" s="783">
        <f>SUM(F9:F191)</f>
        <v>285608</v>
      </c>
      <c r="G196" s="784">
        <f>SUM(G9:G191)</f>
        <v>213935</v>
      </c>
      <c r="H196" s="785">
        <f>SUM(H9:H191)</f>
        <v>450244</v>
      </c>
      <c r="I196" s="786">
        <f>SUM(I9:I195)</f>
        <v>276474</v>
      </c>
      <c r="J196" s="787">
        <f>SUM(J9:J195)</f>
        <v>475597</v>
      </c>
      <c r="K196" s="787">
        <f>SUM(K9:K195)</f>
        <v>1345</v>
      </c>
      <c r="L196" s="788">
        <f>SUM(L9:L195)</f>
        <v>476942</v>
      </c>
    </row>
    <row r="197" spans="1:12" s="724" customFormat="1" ht="22.5" customHeight="1" x14ac:dyDescent="0.3">
      <c r="A197" s="712">
        <v>189</v>
      </c>
      <c r="B197" s="713">
        <v>17</v>
      </c>
      <c r="C197" s="790" t="s">
        <v>174</v>
      </c>
      <c r="D197" s="715"/>
      <c r="E197" s="716" t="s">
        <v>106</v>
      </c>
      <c r="F197" s="717"/>
      <c r="G197" s="718"/>
      <c r="H197" s="719"/>
      <c r="I197" s="720"/>
      <c r="J197" s="721"/>
      <c r="K197" s="722"/>
      <c r="L197" s="723"/>
    </row>
    <row r="198" spans="1:12" s="724" customFormat="1" ht="22.5" customHeight="1" x14ac:dyDescent="0.3">
      <c r="A198" s="712">
        <v>190</v>
      </c>
      <c r="B198" s="713"/>
      <c r="C198" s="741"/>
      <c r="D198" s="715" t="s">
        <v>300</v>
      </c>
      <c r="E198" s="716"/>
      <c r="F198" s="717">
        <v>13698</v>
      </c>
      <c r="G198" s="718"/>
      <c r="H198" s="719"/>
      <c r="I198" s="720"/>
      <c r="J198" s="721"/>
      <c r="K198" s="739"/>
      <c r="L198" s="740"/>
    </row>
    <row r="199" spans="1:12" ht="18" customHeight="1" x14ac:dyDescent="0.3">
      <c r="A199" s="712">
        <v>191</v>
      </c>
      <c r="B199" s="713"/>
      <c r="C199" s="743">
        <v>1</v>
      </c>
      <c r="D199" s="742" t="s">
        <v>497</v>
      </c>
      <c r="E199" s="716"/>
      <c r="F199" s="727"/>
      <c r="G199" s="728">
        <v>5500</v>
      </c>
      <c r="H199" s="729"/>
      <c r="I199" s="730">
        <v>7000</v>
      </c>
      <c r="J199" s="731">
        <v>7000</v>
      </c>
      <c r="K199" s="732"/>
      <c r="L199" s="733">
        <f t="shared" ref="L199:L210" si="7">SUM(J199:K199)</f>
        <v>7000</v>
      </c>
    </row>
    <row r="200" spans="1:12" ht="18" customHeight="1" x14ac:dyDescent="0.3">
      <c r="A200" s="712">
        <v>192</v>
      </c>
      <c r="B200" s="713"/>
      <c r="C200" s="743">
        <v>3</v>
      </c>
      <c r="D200" s="742" t="s">
        <v>498</v>
      </c>
      <c r="E200" s="716"/>
      <c r="F200" s="727">
        <v>489</v>
      </c>
      <c r="G200" s="728">
        <v>29000</v>
      </c>
      <c r="H200" s="729"/>
      <c r="I200" s="730">
        <v>29000</v>
      </c>
      <c r="J200" s="731">
        <v>29000</v>
      </c>
      <c r="K200" s="732"/>
      <c r="L200" s="733">
        <f t="shared" si="7"/>
        <v>29000</v>
      </c>
    </row>
    <row r="201" spans="1:12" ht="18" customHeight="1" x14ac:dyDescent="0.3">
      <c r="A201" s="712">
        <v>193</v>
      </c>
      <c r="B201" s="713"/>
      <c r="C201" s="743">
        <v>5</v>
      </c>
      <c r="D201" s="742" t="s">
        <v>499</v>
      </c>
      <c r="E201" s="716"/>
      <c r="F201" s="727">
        <v>1792</v>
      </c>
      <c r="G201" s="728">
        <v>1258</v>
      </c>
      <c r="H201" s="729"/>
      <c r="I201" s="730">
        <v>1000</v>
      </c>
      <c r="J201" s="731">
        <v>1000</v>
      </c>
      <c r="K201" s="732"/>
      <c r="L201" s="733">
        <f t="shared" si="7"/>
        <v>1000</v>
      </c>
    </row>
    <row r="202" spans="1:12" ht="18" customHeight="1" x14ac:dyDescent="0.3">
      <c r="A202" s="712">
        <v>194</v>
      </c>
      <c r="B202" s="713"/>
      <c r="C202" s="743">
        <v>6</v>
      </c>
      <c r="D202" s="742" t="s">
        <v>500</v>
      </c>
      <c r="E202" s="716"/>
      <c r="F202" s="727"/>
      <c r="G202" s="728">
        <v>3500</v>
      </c>
      <c r="H202" s="729"/>
      <c r="I202" s="730">
        <v>5000</v>
      </c>
      <c r="J202" s="731">
        <v>5000</v>
      </c>
      <c r="K202" s="732"/>
      <c r="L202" s="733">
        <f t="shared" si="7"/>
        <v>5000</v>
      </c>
    </row>
    <row r="203" spans="1:12" ht="18" customHeight="1" x14ac:dyDescent="0.3">
      <c r="A203" s="712">
        <v>195</v>
      </c>
      <c r="B203" s="713"/>
      <c r="C203" s="743">
        <v>10</v>
      </c>
      <c r="D203" s="742" t="s">
        <v>501</v>
      </c>
      <c r="E203" s="716"/>
      <c r="F203" s="727">
        <v>667</v>
      </c>
      <c r="G203" s="728">
        <v>1200</v>
      </c>
      <c r="H203" s="729">
        <v>228</v>
      </c>
      <c r="I203" s="730">
        <v>800</v>
      </c>
      <c r="J203" s="731">
        <v>800</v>
      </c>
      <c r="K203" s="732"/>
      <c r="L203" s="733">
        <f t="shared" si="7"/>
        <v>800</v>
      </c>
    </row>
    <row r="204" spans="1:12" ht="18" customHeight="1" x14ac:dyDescent="0.3">
      <c r="A204" s="712">
        <v>196</v>
      </c>
      <c r="B204" s="713"/>
      <c r="C204" s="743">
        <v>11</v>
      </c>
      <c r="D204" s="742" t="s">
        <v>502</v>
      </c>
      <c r="E204" s="716"/>
      <c r="F204" s="727">
        <v>2250</v>
      </c>
      <c r="G204" s="728">
        <v>2500</v>
      </c>
      <c r="H204" s="729">
        <v>704</v>
      </c>
      <c r="I204" s="730">
        <v>3500</v>
      </c>
      <c r="J204" s="731">
        <f>3500+5000</f>
        <v>8500</v>
      </c>
      <c r="K204" s="732">
        <v>1400</v>
      </c>
      <c r="L204" s="733">
        <f t="shared" si="7"/>
        <v>9900</v>
      </c>
    </row>
    <row r="205" spans="1:12" ht="18" customHeight="1" x14ac:dyDescent="0.3">
      <c r="A205" s="712">
        <v>197</v>
      </c>
      <c r="B205" s="713"/>
      <c r="C205" s="743">
        <v>12</v>
      </c>
      <c r="D205" s="742" t="s">
        <v>503</v>
      </c>
      <c r="E205" s="716"/>
      <c r="F205" s="727">
        <v>600</v>
      </c>
      <c r="G205" s="728">
        <v>7500</v>
      </c>
      <c r="H205" s="729">
        <v>790</v>
      </c>
      <c r="I205" s="730">
        <v>8500</v>
      </c>
      <c r="J205" s="731">
        <f>54250-5000</f>
        <v>49250</v>
      </c>
      <c r="K205" s="732"/>
      <c r="L205" s="733">
        <f t="shared" si="7"/>
        <v>49250</v>
      </c>
    </row>
    <row r="206" spans="1:12" ht="18" customHeight="1" x14ac:dyDescent="0.3">
      <c r="A206" s="712">
        <v>198</v>
      </c>
      <c r="B206" s="713"/>
      <c r="C206" s="743">
        <v>17</v>
      </c>
      <c r="D206" s="742" t="s">
        <v>504</v>
      </c>
      <c r="E206" s="716"/>
      <c r="F206" s="727"/>
      <c r="G206" s="728"/>
      <c r="H206" s="729"/>
      <c r="I206" s="730">
        <v>10000</v>
      </c>
      <c r="J206" s="731">
        <v>10000</v>
      </c>
      <c r="K206" s="732"/>
      <c r="L206" s="733">
        <f t="shared" si="7"/>
        <v>10000</v>
      </c>
    </row>
    <row r="207" spans="1:12" ht="18" customHeight="1" x14ac:dyDescent="0.3">
      <c r="A207" s="712">
        <v>199</v>
      </c>
      <c r="B207" s="713"/>
      <c r="C207" s="743">
        <v>18</v>
      </c>
      <c r="D207" s="742" t="s">
        <v>505</v>
      </c>
      <c r="E207" s="716"/>
      <c r="F207" s="727"/>
      <c r="G207" s="728"/>
      <c r="H207" s="729"/>
      <c r="I207" s="730">
        <v>3000</v>
      </c>
      <c r="J207" s="731">
        <v>5000</v>
      </c>
      <c r="K207" s="732"/>
      <c r="L207" s="733">
        <f t="shared" si="7"/>
        <v>5000</v>
      </c>
    </row>
    <row r="208" spans="1:12" ht="18" customHeight="1" x14ac:dyDescent="0.3">
      <c r="A208" s="712">
        <v>200</v>
      </c>
      <c r="B208" s="713"/>
      <c r="C208" s="743">
        <v>19</v>
      </c>
      <c r="D208" s="742" t="s">
        <v>87</v>
      </c>
      <c r="E208" s="716"/>
      <c r="F208" s="727"/>
      <c r="G208" s="728"/>
      <c r="H208" s="729"/>
      <c r="I208" s="730"/>
      <c r="J208" s="731">
        <v>40000</v>
      </c>
      <c r="K208" s="732">
        <v>-40000</v>
      </c>
      <c r="L208" s="733">
        <f t="shared" si="7"/>
        <v>0</v>
      </c>
    </row>
    <row r="209" spans="1:12" ht="18" customHeight="1" x14ac:dyDescent="0.3">
      <c r="A209" s="712"/>
      <c r="B209" s="713"/>
      <c r="C209" s="743">
        <v>20</v>
      </c>
      <c r="D209" s="742" t="s">
        <v>88</v>
      </c>
      <c r="E209" s="716"/>
      <c r="F209" s="727"/>
      <c r="G209" s="728"/>
      <c r="H209" s="729"/>
      <c r="I209" s="730"/>
      <c r="J209" s="731"/>
      <c r="K209" s="732">
        <v>18923</v>
      </c>
      <c r="L209" s="733">
        <f t="shared" si="7"/>
        <v>18923</v>
      </c>
    </row>
    <row r="210" spans="1:12" ht="18" customHeight="1" x14ac:dyDescent="0.3">
      <c r="A210" s="712"/>
      <c r="B210" s="713"/>
      <c r="C210" s="743">
        <v>21</v>
      </c>
      <c r="D210" s="742" t="s">
        <v>89</v>
      </c>
      <c r="E210" s="716"/>
      <c r="F210" s="727"/>
      <c r="G210" s="728"/>
      <c r="H210" s="729"/>
      <c r="I210" s="730"/>
      <c r="J210" s="731"/>
      <c r="K210" s="732">
        <v>21077</v>
      </c>
      <c r="L210" s="733">
        <f t="shared" si="7"/>
        <v>21077</v>
      </c>
    </row>
    <row r="211" spans="1:12" ht="18" customHeight="1" x14ac:dyDescent="0.3">
      <c r="A211" s="712">
        <v>201</v>
      </c>
      <c r="B211" s="713"/>
      <c r="C211" s="743">
        <v>4</v>
      </c>
      <c r="D211" s="742" t="s">
        <v>506</v>
      </c>
      <c r="E211" s="716"/>
      <c r="F211" s="727"/>
      <c r="G211" s="728"/>
      <c r="H211" s="729">
        <v>1981</v>
      </c>
      <c r="I211" s="730"/>
      <c r="J211" s="731"/>
      <c r="K211" s="732"/>
      <c r="L211" s="733"/>
    </row>
    <row r="212" spans="1:12" ht="18" customHeight="1" x14ac:dyDescent="0.3">
      <c r="A212" s="712">
        <v>202</v>
      </c>
      <c r="B212" s="713"/>
      <c r="C212" s="743">
        <v>7</v>
      </c>
      <c r="D212" s="742" t="s">
        <v>507</v>
      </c>
      <c r="E212" s="716"/>
      <c r="F212" s="727"/>
      <c r="G212" s="728">
        <v>1600</v>
      </c>
      <c r="H212" s="729">
        <v>571</v>
      </c>
      <c r="I212" s="730"/>
      <c r="J212" s="731"/>
      <c r="K212" s="732"/>
      <c r="L212" s="733"/>
    </row>
    <row r="213" spans="1:12" ht="18" customHeight="1" x14ac:dyDescent="0.3">
      <c r="A213" s="712">
        <v>203</v>
      </c>
      <c r="B213" s="713"/>
      <c r="C213" s="743">
        <v>13</v>
      </c>
      <c r="D213" s="742" t="s">
        <v>508</v>
      </c>
      <c r="E213" s="716"/>
      <c r="F213" s="727">
        <v>2056</v>
      </c>
      <c r="G213" s="728">
        <v>2300</v>
      </c>
      <c r="H213" s="729">
        <v>2334</v>
      </c>
      <c r="I213" s="730"/>
      <c r="J213" s="731">
        <v>3000</v>
      </c>
      <c r="K213" s="732"/>
      <c r="L213" s="733">
        <f>SUM(J213:K213)</f>
        <v>3000</v>
      </c>
    </row>
    <row r="214" spans="1:12" ht="18" customHeight="1" x14ac:dyDescent="0.3">
      <c r="A214" s="712">
        <v>204</v>
      </c>
      <c r="B214" s="713"/>
      <c r="C214" s="743">
        <v>14</v>
      </c>
      <c r="D214" s="742" t="s">
        <v>509</v>
      </c>
      <c r="E214" s="716"/>
      <c r="F214" s="727"/>
      <c r="G214" s="728">
        <v>320</v>
      </c>
      <c r="H214" s="729">
        <v>320</v>
      </c>
      <c r="I214" s="730"/>
      <c r="J214" s="731"/>
      <c r="K214" s="732"/>
      <c r="L214" s="737"/>
    </row>
    <row r="215" spans="1:12" ht="22.5" customHeight="1" x14ac:dyDescent="0.3">
      <c r="A215" s="712">
        <v>205</v>
      </c>
      <c r="B215" s="713"/>
      <c r="C215" s="743"/>
      <c r="D215" s="715" t="s">
        <v>510</v>
      </c>
      <c r="E215" s="716"/>
      <c r="F215" s="727">
        <v>7693</v>
      </c>
      <c r="G215" s="728"/>
      <c r="H215" s="729"/>
      <c r="I215" s="730"/>
      <c r="J215" s="731"/>
      <c r="K215" s="732"/>
      <c r="L215" s="737"/>
    </row>
    <row r="216" spans="1:12" ht="18" customHeight="1" x14ac:dyDescent="0.3">
      <c r="A216" s="712">
        <v>206</v>
      </c>
      <c r="B216" s="713"/>
      <c r="C216" s="716">
        <v>15</v>
      </c>
      <c r="D216" s="742" t="s">
        <v>302</v>
      </c>
      <c r="E216" s="716"/>
      <c r="F216" s="727"/>
      <c r="G216" s="728">
        <v>16900</v>
      </c>
      <c r="H216" s="729">
        <v>3375</v>
      </c>
      <c r="I216" s="730">
        <v>25800</v>
      </c>
      <c r="J216" s="731">
        <v>38800</v>
      </c>
      <c r="K216" s="732"/>
      <c r="L216" s="733">
        <f>SUM(J216:K216)</f>
        <v>38800</v>
      </c>
    </row>
    <row r="217" spans="1:12" s="724" customFormat="1" ht="22.5" customHeight="1" x14ac:dyDescent="0.3">
      <c r="A217" s="712">
        <v>207</v>
      </c>
      <c r="B217" s="713"/>
      <c r="C217" s="741"/>
      <c r="D217" s="715" t="s">
        <v>511</v>
      </c>
      <c r="E217" s="716"/>
      <c r="F217" s="717">
        <v>6723</v>
      </c>
      <c r="G217" s="718"/>
      <c r="H217" s="719"/>
      <c r="I217" s="720"/>
      <c r="J217" s="721"/>
      <c r="K217" s="739"/>
      <c r="L217" s="740"/>
    </row>
    <row r="218" spans="1:12" s="724" customFormat="1" ht="30" x14ac:dyDescent="0.3">
      <c r="A218" s="712">
        <v>208</v>
      </c>
      <c r="B218" s="713"/>
      <c r="C218" s="741"/>
      <c r="D218" s="715" t="s">
        <v>317</v>
      </c>
      <c r="E218" s="716"/>
      <c r="F218" s="717"/>
      <c r="G218" s="718"/>
      <c r="H218" s="719"/>
      <c r="I218" s="720"/>
      <c r="J218" s="721"/>
      <c r="K218" s="739"/>
      <c r="L218" s="740"/>
    </row>
    <row r="219" spans="1:12" ht="18" customHeight="1" x14ac:dyDescent="0.3">
      <c r="A219" s="712">
        <v>209</v>
      </c>
      <c r="B219" s="713"/>
      <c r="C219" s="716">
        <v>16</v>
      </c>
      <c r="D219" s="742" t="s">
        <v>512</v>
      </c>
      <c r="E219" s="716"/>
      <c r="F219" s="727"/>
      <c r="G219" s="728"/>
      <c r="H219" s="729"/>
      <c r="I219" s="730">
        <v>4550</v>
      </c>
      <c r="J219" s="760">
        <v>4293</v>
      </c>
      <c r="K219" s="761"/>
      <c r="L219" s="771">
        <f>SUM(J219:K219)</f>
        <v>4293</v>
      </c>
    </row>
    <row r="220" spans="1:12" s="789" customFormat="1" ht="36" customHeight="1" x14ac:dyDescent="0.2">
      <c r="A220" s="712">
        <v>210</v>
      </c>
      <c r="B220" s="1964" t="s">
        <v>513</v>
      </c>
      <c r="C220" s="1964"/>
      <c r="D220" s="1964"/>
      <c r="E220" s="782"/>
      <c r="F220" s="783">
        <f t="shared" ref="F220:L220" si="8">SUM(F197:F219)</f>
        <v>35968</v>
      </c>
      <c r="G220" s="784">
        <f t="shared" si="8"/>
        <v>71578</v>
      </c>
      <c r="H220" s="785">
        <f t="shared" si="8"/>
        <v>10303</v>
      </c>
      <c r="I220" s="786">
        <f t="shared" si="8"/>
        <v>98150</v>
      </c>
      <c r="J220" s="791">
        <f t="shared" si="8"/>
        <v>201643</v>
      </c>
      <c r="K220" s="787">
        <f t="shared" si="8"/>
        <v>1400</v>
      </c>
      <c r="L220" s="788">
        <f t="shared" si="8"/>
        <v>203043</v>
      </c>
    </row>
    <row r="221" spans="1:12" s="789" customFormat="1" ht="36" customHeight="1" x14ac:dyDescent="0.2">
      <c r="A221" s="712">
        <v>211</v>
      </c>
      <c r="B221" s="1965" t="s">
        <v>514</v>
      </c>
      <c r="C221" s="1965"/>
      <c r="D221" s="1965"/>
      <c r="E221" s="792"/>
      <c r="F221" s="793">
        <f t="shared" ref="F221:L221" si="9">SUM(F220,F196)</f>
        <v>321576</v>
      </c>
      <c r="G221" s="794">
        <f t="shared" si="9"/>
        <v>285513</v>
      </c>
      <c r="H221" s="795">
        <f t="shared" si="9"/>
        <v>460547</v>
      </c>
      <c r="I221" s="796">
        <f t="shared" si="9"/>
        <v>374624</v>
      </c>
      <c r="J221" s="797">
        <f t="shared" si="9"/>
        <v>677240</v>
      </c>
      <c r="K221" s="798">
        <f t="shared" si="9"/>
        <v>2745</v>
      </c>
      <c r="L221" s="799">
        <f t="shared" si="9"/>
        <v>679985</v>
      </c>
    </row>
    <row r="222" spans="1:12" s="789" customFormat="1" ht="24.75" customHeight="1" x14ac:dyDescent="0.2">
      <c r="A222" s="712">
        <v>212</v>
      </c>
      <c r="B222" s="800"/>
      <c r="C222" s="1966" t="s">
        <v>188</v>
      </c>
      <c r="D222" s="1966"/>
      <c r="E222" s="801"/>
      <c r="F222" s="802"/>
      <c r="G222" s="803"/>
      <c r="H222" s="804"/>
      <c r="I222" s="805"/>
      <c r="J222" s="806"/>
      <c r="K222" s="807"/>
      <c r="L222" s="808"/>
    </row>
    <row r="223" spans="1:12" s="789" customFormat="1" ht="19.5" customHeight="1" x14ac:dyDescent="0.3">
      <c r="A223" s="712">
        <v>213</v>
      </c>
      <c r="B223" s="809">
        <v>13</v>
      </c>
      <c r="C223" s="810"/>
      <c r="D223" s="811" t="s">
        <v>52</v>
      </c>
      <c r="E223" s="810"/>
      <c r="F223" s="812"/>
      <c r="G223" s="813"/>
      <c r="H223" s="814"/>
      <c r="I223" s="815"/>
      <c r="J223" s="816"/>
      <c r="K223" s="817"/>
      <c r="L223" s="818"/>
    </row>
    <row r="224" spans="1:12" s="789" customFormat="1" ht="30.75" customHeight="1" x14ac:dyDescent="0.3">
      <c r="A224" s="712">
        <v>214</v>
      </c>
      <c r="B224" s="819"/>
      <c r="C224" s="716">
        <v>1</v>
      </c>
      <c r="D224" s="820" t="s">
        <v>515</v>
      </c>
      <c r="E224" s="821"/>
      <c r="F224" s="822"/>
      <c r="G224" s="823"/>
      <c r="H224" s="824"/>
      <c r="I224" s="825"/>
      <c r="J224" s="826">
        <v>1975</v>
      </c>
      <c r="K224" s="827"/>
      <c r="L224" s="828">
        <f>SUM(J224:K224)</f>
        <v>1975</v>
      </c>
    </row>
    <row r="225" spans="1:248" s="789" customFormat="1" ht="36" customHeight="1" x14ac:dyDescent="0.2">
      <c r="A225" s="712">
        <v>215</v>
      </c>
      <c r="B225" s="1967" t="s">
        <v>516</v>
      </c>
      <c r="C225" s="1967"/>
      <c r="D225" s="1967"/>
      <c r="E225" s="792"/>
      <c r="F225" s="793">
        <f t="shared" ref="F225:L225" si="10">F224+F221</f>
        <v>321576</v>
      </c>
      <c r="G225" s="793">
        <f t="shared" si="10"/>
        <v>285513</v>
      </c>
      <c r="H225" s="829">
        <f t="shared" si="10"/>
        <v>460547</v>
      </c>
      <c r="I225" s="830">
        <f t="shared" si="10"/>
        <v>374624</v>
      </c>
      <c r="J225" s="797">
        <f t="shared" si="10"/>
        <v>679215</v>
      </c>
      <c r="K225" s="797">
        <f t="shared" si="10"/>
        <v>2745</v>
      </c>
      <c r="L225" s="799">
        <f t="shared" si="10"/>
        <v>681960</v>
      </c>
    </row>
    <row r="226" spans="1:248" ht="18" customHeight="1" x14ac:dyDescent="0.3">
      <c r="B226" s="831"/>
      <c r="C226" s="832" t="s">
        <v>357</v>
      </c>
      <c r="D226" s="831"/>
      <c r="E226" s="833"/>
      <c r="F226" s="834"/>
      <c r="G226" s="835"/>
      <c r="H226" s="836"/>
      <c r="I226" s="836"/>
      <c r="J226" s="836"/>
    </row>
    <row r="227" spans="1:248" s="838" customFormat="1" ht="18" customHeight="1" x14ac:dyDescent="0.3">
      <c r="A227" s="688"/>
      <c r="B227" s="831" t="s">
        <v>358</v>
      </c>
      <c r="C227" s="831"/>
      <c r="D227" s="831"/>
      <c r="E227" s="833"/>
      <c r="F227" s="837"/>
      <c r="G227" s="835"/>
      <c r="H227" s="836"/>
      <c r="I227" s="836"/>
      <c r="J227" s="836"/>
      <c r="K227" s="695"/>
      <c r="L227" s="696"/>
      <c r="M227" s="696"/>
      <c r="N227" s="696"/>
      <c r="O227" s="696"/>
      <c r="P227" s="696"/>
      <c r="Q227" s="696"/>
      <c r="R227" s="696"/>
      <c r="S227" s="696"/>
      <c r="T227" s="696"/>
      <c r="U227" s="696"/>
      <c r="V227" s="696"/>
      <c r="W227" s="696"/>
      <c r="X227" s="696"/>
      <c r="Y227" s="696"/>
      <c r="Z227" s="696"/>
      <c r="AA227" s="696"/>
      <c r="AB227" s="696"/>
      <c r="AC227" s="696"/>
      <c r="AD227" s="696"/>
      <c r="AE227" s="696"/>
      <c r="AF227" s="696"/>
      <c r="AG227" s="696"/>
      <c r="AH227" s="696"/>
      <c r="AI227" s="696"/>
      <c r="AJ227" s="696"/>
      <c r="AK227" s="696"/>
      <c r="AL227" s="696"/>
      <c r="AM227" s="696"/>
      <c r="AN227" s="696"/>
      <c r="AO227" s="696"/>
      <c r="AP227" s="696"/>
      <c r="AQ227" s="696"/>
      <c r="AR227" s="696"/>
      <c r="AS227" s="696"/>
      <c r="AT227" s="696"/>
      <c r="AU227" s="696"/>
      <c r="AV227" s="696"/>
      <c r="AW227" s="696"/>
      <c r="AX227" s="696"/>
      <c r="AY227" s="696"/>
      <c r="AZ227" s="696"/>
      <c r="BA227" s="696"/>
      <c r="BB227" s="696"/>
      <c r="BC227" s="696"/>
      <c r="BD227" s="696"/>
      <c r="BE227" s="696"/>
      <c r="BF227" s="696"/>
      <c r="BG227" s="696"/>
      <c r="BH227" s="696"/>
      <c r="BI227" s="696"/>
      <c r="BJ227" s="696"/>
      <c r="BK227" s="696"/>
      <c r="BL227" s="696"/>
      <c r="BM227" s="696"/>
      <c r="BN227" s="696"/>
      <c r="BO227" s="696"/>
      <c r="BP227" s="696"/>
      <c r="BQ227" s="696"/>
      <c r="BR227" s="696"/>
      <c r="BS227" s="696"/>
      <c r="BT227" s="696"/>
      <c r="BU227" s="696"/>
      <c r="BV227" s="696"/>
      <c r="BW227" s="696"/>
      <c r="BX227" s="696"/>
      <c r="BY227" s="696"/>
      <c r="BZ227" s="696"/>
      <c r="CA227" s="696"/>
      <c r="CB227" s="696"/>
      <c r="CC227" s="696"/>
      <c r="CD227" s="696"/>
      <c r="CE227" s="696"/>
      <c r="CF227" s="696"/>
      <c r="CG227" s="696"/>
      <c r="CH227" s="696"/>
      <c r="CI227" s="696"/>
      <c r="CJ227" s="696"/>
      <c r="CK227" s="696"/>
      <c r="CL227" s="696"/>
      <c r="CM227" s="696"/>
      <c r="CN227" s="696"/>
      <c r="CO227" s="696"/>
      <c r="CP227" s="696"/>
      <c r="CQ227" s="696"/>
      <c r="CR227" s="696"/>
      <c r="CS227" s="696"/>
      <c r="CT227" s="696"/>
      <c r="CU227" s="696"/>
      <c r="CV227" s="696"/>
      <c r="CW227" s="696"/>
      <c r="CX227" s="696"/>
      <c r="CY227" s="696"/>
      <c r="CZ227" s="696"/>
      <c r="DA227" s="696"/>
      <c r="DB227" s="696"/>
      <c r="DC227" s="696"/>
      <c r="DD227" s="696"/>
      <c r="DE227" s="696"/>
      <c r="DF227" s="696"/>
      <c r="DG227" s="696"/>
      <c r="DH227" s="696"/>
      <c r="DI227" s="696"/>
      <c r="DJ227" s="696"/>
      <c r="DK227" s="696"/>
      <c r="DL227" s="696"/>
      <c r="DM227" s="696"/>
      <c r="DN227" s="696"/>
      <c r="DO227" s="696"/>
      <c r="DP227" s="696"/>
      <c r="DQ227" s="696"/>
      <c r="DR227" s="696"/>
      <c r="DS227" s="696"/>
      <c r="DT227" s="696"/>
      <c r="DU227" s="696"/>
      <c r="DV227" s="696"/>
      <c r="DW227" s="696"/>
      <c r="DX227" s="696"/>
      <c r="DY227" s="696"/>
      <c r="DZ227" s="696"/>
      <c r="EA227" s="696"/>
      <c r="EB227" s="696"/>
      <c r="EC227" s="696"/>
      <c r="ED227" s="696"/>
      <c r="EE227" s="696"/>
      <c r="EF227" s="696"/>
      <c r="EG227" s="696"/>
      <c r="EH227" s="696"/>
      <c r="EI227" s="696"/>
      <c r="EJ227" s="696"/>
      <c r="EK227" s="696"/>
      <c r="EL227" s="696"/>
      <c r="EM227" s="696"/>
      <c r="EN227" s="696"/>
      <c r="EO227" s="696"/>
      <c r="EP227" s="696"/>
      <c r="EQ227" s="696"/>
      <c r="ER227" s="696"/>
      <c r="ES227" s="696"/>
      <c r="ET227" s="696"/>
      <c r="EU227" s="696"/>
      <c r="EV227" s="696"/>
      <c r="EW227" s="696"/>
      <c r="EX227" s="696"/>
      <c r="EY227" s="696"/>
      <c r="EZ227" s="696"/>
      <c r="FA227" s="696"/>
      <c r="FB227" s="696"/>
      <c r="FC227" s="696"/>
      <c r="FD227" s="696"/>
      <c r="FE227" s="696"/>
      <c r="FF227" s="696"/>
      <c r="FG227" s="696"/>
      <c r="FH227" s="696"/>
      <c r="FI227" s="696"/>
      <c r="FJ227" s="696"/>
      <c r="FK227" s="696"/>
      <c r="FL227" s="696"/>
      <c r="FM227" s="696"/>
      <c r="FN227" s="696"/>
      <c r="FO227" s="696"/>
      <c r="FP227" s="696"/>
      <c r="FQ227" s="696"/>
      <c r="FR227" s="696"/>
      <c r="FS227" s="696"/>
      <c r="FT227" s="696"/>
      <c r="FU227" s="696"/>
      <c r="FV227" s="696"/>
      <c r="FW227" s="696"/>
      <c r="FX227" s="696"/>
      <c r="FY227" s="696"/>
      <c r="FZ227" s="696"/>
      <c r="GA227" s="696"/>
      <c r="GB227" s="696"/>
      <c r="GC227" s="696"/>
      <c r="GD227" s="696"/>
      <c r="GE227" s="696"/>
      <c r="GF227" s="696"/>
      <c r="GG227" s="696"/>
      <c r="GH227" s="696"/>
      <c r="GI227" s="696"/>
      <c r="GJ227" s="696"/>
      <c r="GK227" s="696"/>
      <c r="GL227" s="696"/>
      <c r="GM227" s="696"/>
      <c r="GN227" s="696"/>
      <c r="GO227" s="696"/>
      <c r="GP227" s="696"/>
      <c r="GQ227" s="696"/>
      <c r="GR227" s="696"/>
      <c r="GS227" s="696"/>
      <c r="GT227" s="696"/>
      <c r="GU227" s="696"/>
      <c r="GV227" s="696"/>
      <c r="GW227" s="696"/>
      <c r="GX227" s="696"/>
      <c r="GY227" s="696"/>
      <c r="GZ227" s="696"/>
      <c r="HA227" s="696"/>
      <c r="HB227" s="696"/>
      <c r="HC227" s="696"/>
      <c r="HD227" s="696"/>
      <c r="HE227" s="696"/>
      <c r="HF227" s="696"/>
      <c r="HG227" s="696"/>
      <c r="HH227" s="696"/>
      <c r="HI227" s="696"/>
      <c r="HJ227" s="696"/>
      <c r="HK227" s="696"/>
      <c r="HL227" s="696"/>
      <c r="HM227" s="696"/>
      <c r="HN227" s="696"/>
      <c r="HO227" s="696"/>
      <c r="HP227" s="696"/>
      <c r="HQ227" s="696"/>
      <c r="HR227" s="696"/>
      <c r="HS227" s="696"/>
      <c r="HT227" s="696"/>
      <c r="HU227" s="696"/>
      <c r="HV227" s="696"/>
      <c r="HW227" s="696"/>
      <c r="HX227" s="696"/>
      <c r="HY227" s="696"/>
      <c r="HZ227" s="696"/>
      <c r="IA227" s="696"/>
      <c r="IB227" s="696"/>
      <c r="IC227" s="696"/>
      <c r="ID227" s="696"/>
      <c r="IE227" s="696"/>
      <c r="IF227" s="696"/>
      <c r="IG227" s="696"/>
      <c r="IH227" s="696"/>
      <c r="II227" s="696"/>
      <c r="IJ227" s="696"/>
      <c r="IK227" s="696"/>
      <c r="IL227" s="696"/>
      <c r="IM227" s="696"/>
      <c r="IN227" s="696"/>
    </row>
    <row r="228" spans="1:248" s="838" customFormat="1" ht="18" customHeight="1" x14ac:dyDescent="0.3">
      <c r="A228" s="688"/>
      <c r="B228" s="831" t="s">
        <v>359</v>
      </c>
      <c r="C228" s="831"/>
      <c r="D228" s="831"/>
      <c r="E228" s="833"/>
      <c r="F228" s="837"/>
      <c r="G228" s="835"/>
      <c r="H228" s="836"/>
      <c r="I228" s="836"/>
      <c r="J228" s="836"/>
      <c r="K228" s="695"/>
      <c r="L228" s="696"/>
      <c r="M228" s="696"/>
      <c r="N228" s="696"/>
      <c r="O228" s="696"/>
      <c r="P228" s="696"/>
      <c r="Q228" s="696"/>
      <c r="R228" s="696"/>
      <c r="S228" s="696"/>
      <c r="T228" s="696"/>
      <c r="U228" s="696"/>
      <c r="V228" s="696"/>
      <c r="W228" s="696"/>
      <c r="X228" s="696"/>
      <c r="Y228" s="696"/>
      <c r="Z228" s="696"/>
      <c r="AA228" s="696"/>
      <c r="AB228" s="696"/>
      <c r="AC228" s="696"/>
      <c r="AD228" s="696"/>
      <c r="AE228" s="696"/>
      <c r="AF228" s="696"/>
      <c r="AG228" s="696"/>
      <c r="AH228" s="696"/>
      <c r="AI228" s="696"/>
      <c r="AJ228" s="696"/>
      <c r="AK228" s="696"/>
      <c r="AL228" s="696"/>
      <c r="AM228" s="696"/>
      <c r="AN228" s="696"/>
      <c r="AO228" s="696"/>
      <c r="AP228" s="696"/>
      <c r="AQ228" s="696"/>
      <c r="AR228" s="696"/>
      <c r="AS228" s="696"/>
      <c r="AT228" s="696"/>
      <c r="AU228" s="696"/>
      <c r="AV228" s="696"/>
      <c r="AW228" s="696"/>
      <c r="AX228" s="696"/>
      <c r="AY228" s="696"/>
      <c r="AZ228" s="696"/>
      <c r="BA228" s="696"/>
      <c r="BB228" s="696"/>
      <c r="BC228" s="696"/>
      <c r="BD228" s="696"/>
      <c r="BE228" s="696"/>
      <c r="BF228" s="696"/>
      <c r="BG228" s="696"/>
      <c r="BH228" s="696"/>
      <c r="BI228" s="696"/>
      <c r="BJ228" s="696"/>
      <c r="BK228" s="696"/>
      <c r="BL228" s="696"/>
      <c r="BM228" s="696"/>
      <c r="BN228" s="696"/>
      <c r="BO228" s="696"/>
      <c r="BP228" s="696"/>
      <c r="BQ228" s="696"/>
      <c r="BR228" s="696"/>
      <c r="BS228" s="696"/>
      <c r="BT228" s="696"/>
      <c r="BU228" s="696"/>
      <c r="BV228" s="696"/>
      <c r="BW228" s="696"/>
      <c r="BX228" s="696"/>
      <c r="BY228" s="696"/>
      <c r="BZ228" s="696"/>
      <c r="CA228" s="696"/>
      <c r="CB228" s="696"/>
      <c r="CC228" s="696"/>
      <c r="CD228" s="696"/>
      <c r="CE228" s="696"/>
      <c r="CF228" s="696"/>
      <c r="CG228" s="696"/>
      <c r="CH228" s="696"/>
      <c r="CI228" s="696"/>
      <c r="CJ228" s="696"/>
      <c r="CK228" s="696"/>
      <c r="CL228" s="696"/>
      <c r="CM228" s="696"/>
      <c r="CN228" s="696"/>
      <c r="CO228" s="696"/>
      <c r="CP228" s="696"/>
      <c r="CQ228" s="696"/>
      <c r="CR228" s="696"/>
      <c r="CS228" s="696"/>
      <c r="CT228" s="696"/>
      <c r="CU228" s="696"/>
      <c r="CV228" s="696"/>
      <c r="CW228" s="696"/>
      <c r="CX228" s="696"/>
      <c r="CY228" s="696"/>
      <c r="CZ228" s="696"/>
      <c r="DA228" s="696"/>
      <c r="DB228" s="696"/>
      <c r="DC228" s="696"/>
      <c r="DD228" s="696"/>
      <c r="DE228" s="696"/>
      <c r="DF228" s="696"/>
      <c r="DG228" s="696"/>
      <c r="DH228" s="696"/>
      <c r="DI228" s="696"/>
      <c r="DJ228" s="696"/>
      <c r="DK228" s="696"/>
      <c r="DL228" s="696"/>
      <c r="DM228" s="696"/>
      <c r="DN228" s="696"/>
      <c r="DO228" s="696"/>
      <c r="DP228" s="696"/>
      <c r="DQ228" s="696"/>
      <c r="DR228" s="696"/>
      <c r="DS228" s="696"/>
      <c r="DT228" s="696"/>
      <c r="DU228" s="696"/>
      <c r="DV228" s="696"/>
      <c r="DW228" s="696"/>
      <c r="DX228" s="696"/>
      <c r="DY228" s="696"/>
      <c r="DZ228" s="696"/>
      <c r="EA228" s="696"/>
      <c r="EB228" s="696"/>
      <c r="EC228" s="696"/>
      <c r="ED228" s="696"/>
      <c r="EE228" s="696"/>
      <c r="EF228" s="696"/>
      <c r="EG228" s="696"/>
      <c r="EH228" s="696"/>
      <c r="EI228" s="696"/>
      <c r="EJ228" s="696"/>
      <c r="EK228" s="696"/>
      <c r="EL228" s="696"/>
      <c r="EM228" s="696"/>
      <c r="EN228" s="696"/>
      <c r="EO228" s="696"/>
      <c r="EP228" s="696"/>
      <c r="EQ228" s="696"/>
      <c r="ER228" s="696"/>
      <c r="ES228" s="696"/>
      <c r="ET228" s="696"/>
      <c r="EU228" s="696"/>
      <c r="EV228" s="696"/>
      <c r="EW228" s="696"/>
      <c r="EX228" s="696"/>
      <c r="EY228" s="696"/>
      <c r="EZ228" s="696"/>
      <c r="FA228" s="696"/>
      <c r="FB228" s="696"/>
      <c r="FC228" s="696"/>
      <c r="FD228" s="696"/>
      <c r="FE228" s="696"/>
      <c r="FF228" s="696"/>
      <c r="FG228" s="696"/>
      <c r="FH228" s="696"/>
      <c r="FI228" s="696"/>
      <c r="FJ228" s="696"/>
      <c r="FK228" s="696"/>
      <c r="FL228" s="696"/>
      <c r="FM228" s="696"/>
      <c r="FN228" s="696"/>
      <c r="FO228" s="696"/>
      <c r="FP228" s="696"/>
      <c r="FQ228" s="696"/>
      <c r="FR228" s="696"/>
      <c r="FS228" s="696"/>
      <c r="FT228" s="696"/>
      <c r="FU228" s="696"/>
      <c r="FV228" s="696"/>
      <c r="FW228" s="696"/>
      <c r="FX228" s="696"/>
      <c r="FY228" s="696"/>
      <c r="FZ228" s="696"/>
      <c r="GA228" s="696"/>
      <c r="GB228" s="696"/>
      <c r="GC228" s="696"/>
      <c r="GD228" s="696"/>
      <c r="GE228" s="696"/>
      <c r="GF228" s="696"/>
      <c r="GG228" s="696"/>
      <c r="GH228" s="696"/>
      <c r="GI228" s="696"/>
      <c r="GJ228" s="696"/>
      <c r="GK228" s="696"/>
      <c r="GL228" s="696"/>
      <c r="GM228" s="696"/>
      <c r="GN228" s="696"/>
      <c r="GO228" s="696"/>
      <c r="GP228" s="696"/>
      <c r="GQ228" s="696"/>
      <c r="GR228" s="696"/>
      <c r="GS228" s="696"/>
      <c r="GT228" s="696"/>
      <c r="GU228" s="696"/>
      <c r="GV228" s="696"/>
      <c r="GW228" s="696"/>
      <c r="GX228" s="696"/>
      <c r="GY228" s="696"/>
      <c r="GZ228" s="696"/>
      <c r="HA228" s="696"/>
      <c r="HB228" s="696"/>
      <c r="HC228" s="696"/>
      <c r="HD228" s="696"/>
      <c r="HE228" s="696"/>
      <c r="HF228" s="696"/>
      <c r="HG228" s="696"/>
      <c r="HH228" s="696"/>
      <c r="HI228" s="696"/>
      <c r="HJ228" s="696"/>
      <c r="HK228" s="696"/>
      <c r="HL228" s="696"/>
      <c r="HM228" s="696"/>
      <c r="HN228" s="696"/>
      <c r="HO228" s="696"/>
      <c r="HP228" s="696"/>
      <c r="HQ228" s="696"/>
      <c r="HR228" s="696"/>
      <c r="HS228" s="696"/>
      <c r="HT228" s="696"/>
      <c r="HU228" s="696"/>
      <c r="HV228" s="696"/>
      <c r="HW228" s="696"/>
      <c r="HX228" s="696"/>
      <c r="HY228" s="696"/>
      <c r="HZ228" s="696"/>
      <c r="IA228" s="696"/>
      <c r="IB228" s="696"/>
      <c r="IC228" s="696"/>
      <c r="ID228" s="696"/>
      <c r="IE228" s="696"/>
      <c r="IF228" s="696"/>
      <c r="IG228" s="696"/>
      <c r="IH228" s="696"/>
      <c r="II228" s="696"/>
      <c r="IJ228" s="696"/>
      <c r="IK228" s="696"/>
      <c r="IL228" s="696"/>
      <c r="IM228" s="696"/>
      <c r="IN228" s="696"/>
    </row>
    <row r="229" spans="1:248" s="838" customFormat="1" x14ac:dyDescent="0.3">
      <c r="A229" s="688"/>
      <c r="B229" s="689"/>
      <c r="C229" s="690"/>
      <c r="D229" s="691"/>
      <c r="E229" s="692"/>
      <c r="F229" s="693"/>
      <c r="G229" s="693"/>
      <c r="H229" s="694"/>
      <c r="I229" s="694"/>
      <c r="J229" s="694"/>
      <c r="K229" s="695"/>
      <c r="L229" s="696"/>
      <c r="M229" s="696"/>
      <c r="N229" s="696"/>
      <c r="O229" s="696"/>
      <c r="P229" s="696"/>
      <c r="Q229" s="696"/>
      <c r="R229" s="696"/>
      <c r="S229" s="696"/>
      <c r="T229" s="696"/>
      <c r="U229" s="696"/>
      <c r="V229" s="696"/>
      <c r="W229" s="696"/>
      <c r="X229" s="696"/>
      <c r="Y229" s="696"/>
      <c r="Z229" s="696"/>
      <c r="AA229" s="696"/>
      <c r="AB229" s="696"/>
      <c r="AC229" s="696"/>
      <c r="AD229" s="696"/>
      <c r="AE229" s="696"/>
      <c r="AF229" s="696"/>
      <c r="AG229" s="696"/>
      <c r="AH229" s="696"/>
      <c r="AI229" s="696"/>
      <c r="AJ229" s="696"/>
      <c r="AK229" s="696"/>
      <c r="AL229" s="696"/>
      <c r="AM229" s="696"/>
      <c r="AN229" s="696"/>
      <c r="AO229" s="696"/>
      <c r="AP229" s="696"/>
      <c r="AQ229" s="696"/>
      <c r="AR229" s="696"/>
      <c r="AS229" s="696"/>
      <c r="AT229" s="696"/>
      <c r="AU229" s="696"/>
      <c r="AV229" s="696"/>
      <c r="AW229" s="696"/>
      <c r="AX229" s="696"/>
      <c r="AY229" s="696"/>
      <c r="AZ229" s="696"/>
      <c r="BA229" s="696"/>
      <c r="BB229" s="696"/>
      <c r="BC229" s="696"/>
      <c r="BD229" s="696"/>
      <c r="BE229" s="696"/>
      <c r="BF229" s="696"/>
      <c r="BG229" s="696"/>
      <c r="BH229" s="696"/>
      <c r="BI229" s="696"/>
      <c r="BJ229" s="696"/>
      <c r="BK229" s="696"/>
      <c r="BL229" s="696"/>
      <c r="BM229" s="696"/>
      <c r="BN229" s="696"/>
      <c r="BO229" s="696"/>
      <c r="BP229" s="696"/>
      <c r="BQ229" s="696"/>
      <c r="BR229" s="696"/>
      <c r="BS229" s="696"/>
      <c r="BT229" s="696"/>
      <c r="BU229" s="696"/>
      <c r="BV229" s="696"/>
      <c r="BW229" s="696"/>
      <c r="BX229" s="696"/>
      <c r="BY229" s="696"/>
      <c r="BZ229" s="696"/>
      <c r="CA229" s="696"/>
      <c r="CB229" s="696"/>
      <c r="CC229" s="696"/>
      <c r="CD229" s="696"/>
      <c r="CE229" s="696"/>
      <c r="CF229" s="696"/>
      <c r="CG229" s="696"/>
      <c r="CH229" s="696"/>
      <c r="CI229" s="696"/>
      <c r="CJ229" s="696"/>
      <c r="CK229" s="696"/>
      <c r="CL229" s="696"/>
      <c r="CM229" s="696"/>
      <c r="CN229" s="696"/>
      <c r="CO229" s="696"/>
      <c r="CP229" s="696"/>
      <c r="CQ229" s="696"/>
      <c r="CR229" s="696"/>
      <c r="CS229" s="696"/>
      <c r="CT229" s="696"/>
      <c r="CU229" s="696"/>
      <c r="CV229" s="696"/>
      <c r="CW229" s="696"/>
      <c r="CX229" s="696"/>
      <c r="CY229" s="696"/>
      <c r="CZ229" s="696"/>
      <c r="DA229" s="696"/>
      <c r="DB229" s="696"/>
      <c r="DC229" s="696"/>
      <c r="DD229" s="696"/>
      <c r="DE229" s="696"/>
      <c r="DF229" s="696"/>
      <c r="DG229" s="696"/>
      <c r="DH229" s="696"/>
      <c r="DI229" s="696"/>
      <c r="DJ229" s="696"/>
      <c r="DK229" s="696"/>
      <c r="DL229" s="696"/>
      <c r="DM229" s="696"/>
      <c r="DN229" s="696"/>
      <c r="DO229" s="696"/>
      <c r="DP229" s="696"/>
      <c r="DQ229" s="696"/>
      <c r="DR229" s="696"/>
      <c r="DS229" s="696"/>
      <c r="DT229" s="696"/>
      <c r="DU229" s="696"/>
      <c r="DV229" s="696"/>
      <c r="DW229" s="696"/>
      <c r="DX229" s="696"/>
      <c r="DY229" s="696"/>
      <c r="DZ229" s="696"/>
      <c r="EA229" s="696"/>
      <c r="EB229" s="696"/>
      <c r="EC229" s="696"/>
      <c r="ED229" s="696"/>
      <c r="EE229" s="696"/>
      <c r="EF229" s="696"/>
      <c r="EG229" s="696"/>
      <c r="EH229" s="696"/>
      <c r="EI229" s="696"/>
      <c r="EJ229" s="696"/>
      <c r="EK229" s="696"/>
      <c r="EL229" s="696"/>
      <c r="EM229" s="696"/>
      <c r="EN229" s="696"/>
      <c r="EO229" s="696"/>
      <c r="EP229" s="696"/>
      <c r="EQ229" s="696"/>
      <c r="ER229" s="696"/>
      <c r="ES229" s="696"/>
      <c r="ET229" s="696"/>
      <c r="EU229" s="696"/>
      <c r="EV229" s="696"/>
      <c r="EW229" s="696"/>
      <c r="EX229" s="696"/>
      <c r="EY229" s="696"/>
      <c r="EZ229" s="696"/>
      <c r="FA229" s="696"/>
      <c r="FB229" s="696"/>
      <c r="FC229" s="696"/>
      <c r="FD229" s="696"/>
      <c r="FE229" s="696"/>
      <c r="FF229" s="696"/>
      <c r="FG229" s="696"/>
      <c r="FH229" s="696"/>
      <c r="FI229" s="696"/>
      <c r="FJ229" s="696"/>
      <c r="FK229" s="696"/>
      <c r="FL229" s="696"/>
      <c r="FM229" s="696"/>
      <c r="FN229" s="696"/>
      <c r="FO229" s="696"/>
      <c r="FP229" s="696"/>
      <c r="FQ229" s="696"/>
      <c r="FR229" s="696"/>
      <c r="FS229" s="696"/>
      <c r="FT229" s="696"/>
      <c r="FU229" s="696"/>
      <c r="FV229" s="696"/>
      <c r="FW229" s="696"/>
      <c r="FX229" s="696"/>
      <c r="FY229" s="696"/>
      <c r="FZ229" s="696"/>
      <c r="GA229" s="696"/>
      <c r="GB229" s="696"/>
      <c r="GC229" s="696"/>
      <c r="GD229" s="696"/>
      <c r="GE229" s="696"/>
      <c r="GF229" s="696"/>
      <c r="GG229" s="696"/>
      <c r="GH229" s="696"/>
      <c r="GI229" s="696"/>
      <c r="GJ229" s="696"/>
      <c r="GK229" s="696"/>
      <c r="GL229" s="696"/>
      <c r="GM229" s="696"/>
      <c r="GN229" s="696"/>
      <c r="GO229" s="696"/>
      <c r="GP229" s="696"/>
      <c r="GQ229" s="696"/>
      <c r="GR229" s="696"/>
      <c r="GS229" s="696"/>
      <c r="GT229" s="696"/>
      <c r="GU229" s="696"/>
      <c r="GV229" s="696"/>
      <c r="GW229" s="696"/>
      <c r="GX229" s="696"/>
      <c r="GY229" s="696"/>
      <c r="GZ229" s="696"/>
      <c r="HA229" s="696"/>
      <c r="HB229" s="696"/>
      <c r="HC229" s="696"/>
      <c r="HD229" s="696"/>
      <c r="HE229" s="696"/>
      <c r="HF229" s="696"/>
      <c r="HG229" s="696"/>
      <c r="HH229" s="696"/>
      <c r="HI229" s="696"/>
      <c r="HJ229" s="696"/>
      <c r="HK229" s="696"/>
      <c r="HL229" s="696"/>
      <c r="HM229" s="696"/>
      <c r="HN229" s="696"/>
      <c r="HO229" s="696"/>
      <c r="HP229" s="696"/>
      <c r="HQ229" s="696"/>
      <c r="HR229" s="696"/>
      <c r="HS229" s="696"/>
      <c r="HT229" s="696"/>
      <c r="HU229" s="696"/>
      <c r="HV229" s="696"/>
      <c r="HW229" s="696"/>
      <c r="HX229" s="696"/>
      <c r="HY229" s="696"/>
      <c r="HZ229" s="696"/>
      <c r="IA229" s="696"/>
      <c r="IB229" s="696"/>
      <c r="IC229" s="696"/>
      <c r="ID229" s="696"/>
      <c r="IE229" s="696"/>
      <c r="IF229" s="696"/>
      <c r="IG229" s="696"/>
      <c r="IH229" s="696"/>
      <c r="II229" s="696"/>
      <c r="IJ229" s="696"/>
      <c r="IK229" s="696"/>
      <c r="IL229" s="696"/>
      <c r="IM229" s="696"/>
      <c r="IN229" s="696"/>
    </row>
  </sheetData>
  <mergeCells count="20">
    <mergeCell ref="B1:K1"/>
    <mergeCell ref="B2:D2"/>
    <mergeCell ref="B3:L3"/>
    <mergeCell ref="B4:L4"/>
    <mergeCell ref="B7:B8"/>
    <mergeCell ref="C7:C8"/>
    <mergeCell ref="D7:D8"/>
    <mergeCell ref="E7:E8"/>
    <mergeCell ref="F7:F8"/>
    <mergeCell ref="G7:G8"/>
    <mergeCell ref="H7:H8"/>
    <mergeCell ref="I7:I8"/>
    <mergeCell ref="J7:J8"/>
    <mergeCell ref="K7:K8"/>
    <mergeCell ref="L7:L8"/>
    <mergeCell ref="B196:D196"/>
    <mergeCell ref="B220:D220"/>
    <mergeCell ref="B221:D221"/>
    <mergeCell ref="C222:D222"/>
    <mergeCell ref="B225:D225"/>
  </mergeCells>
  <printOptions horizontalCentered="1"/>
  <pageMargins left="0.196527777777778" right="0.196527777777778" top="0.39374999999999999" bottom="0.39374999999999999" header="0.511811023622047" footer="0.31527777777777799"/>
  <pageSetup paperSize="9" scale="56" fitToHeight="0" orientation="portrait" horizontalDpi="300" verticalDpi="300" r:id="rId1"/>
  <headerFooter>
    <oddFooter>&amp;C-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01"/>
  <sheetViews>
    <sheetView view="pageBreakPreview" zoomScale="75" zoomScaleNormal="75" zoomScalePageLayoutView="75" workbookViewId="0">
      <selection activeCell="B1" sqref="B1"/>
    </sheetView>
  </sheetViews>
  <sheetFormatPr defaultColWidth="9.28515625" defaultRowHeight="17.25" x14ac:dyDescent="0.35"/>
  <cols>
    <col min="1" max="1" width="3.7109375" style="839" customWidth="1"/>
    <col min="2" max="3" width="5.7109375" style="840" customWidth="1"/>
    <col min="4" max="4" width="87.7109375" style="841" customWidth="1"/>
    <col min="5" max="7" width="11.7109375" style="842" customWidth="1"/>
    <col min="8" max="8" width="6.7109375" style="840" customWidth="1"/>
    <col min="9" max="9" width="12.7109375" style="843" customWidth="1"/>
    <col min="10" max="14" width="12.7109375" style="844" customWidth="1"/>
    <col min="15" max="16384" width="9.28515625" style="844"/>
  </cols>
  <sheetData>
    <row r="1" spans="1:16" ht="16.5" x14ac:dyDescent="0.3">
      <c r="B1" s="844" t="s">
        <v>1106</v>
      </c>
      <c r="C1" s="844"/>
      <c r="D1" s="844"/>
      <c r="E1" s="844"/>
      <c r="F1" s="844"/>
      <c r="G1" s="844"/>
      <c r="H1" s="844"/>
      <c r="I1" s="844"/>
    </row>
    <row r="2" spans="1:16" ht="16.5" x14ac:dyDescent="0.3">
      <c r="A2" s="845"/>
      <c r="B2" s="1993" t="s">
        <v>517</v>
      </c>
      <c r="C2" s="1993"/>
      <c r="D2" s="1993"/>
      <c r="E2" s="844"/>
      <c r="F2" s="844"/>
      <c r="G2" s="1994"/>
      <c r="H2" s="1994"/>
      <c r="I2" s="1994"/>
      <c r="J2" s="846"/>
      <c r="K2" s="846"/>
      <c r="L2" s="846"/>
      <c r="M2" s="846"/>
      <c r="N2" s="846"/>
    </row>
    <row r="3" spans="1:16" ht="24.75" customHeight="1" x14ac:dyDescent="0.35">
      <c r="A3" s="845"/>
      <c r="B3" s="1995" t="s">
        <v>518</v>
      </c>
      <c r="C3" s="1995"/>
      <c r="D3" s="1995"/>
      <c r="E3" s="1995"/>
      <c r="F3" s="1995"/>
      <c r="G3" s="1995"/>
      <c r="H3" s="1995"/>
      <c r="I3" s="1995"/>
      <c r="J3" s="1995"/>
      <c r="K3" s="1995"/>
      <c r="L3" s="1995"/>
      <c r="M3" s="1995"/>
      <c r="N3" s="1995"/>
    </row>
    <row r="4" spans="1:16" s="849" customFormat="1" ht="24.75" customHeight="1" x14ac:dyDescent="0.2">
      <c r="A4" s="845"/>
      <c r="B4" s="1996" t="s">
        <v>519</v>
      </c>
      <c r="C4" s="1996"/>
      <c r="D4" s="1996"/>
      <c r="E4" s="1996"/>
      <c r="F4" s="1996"/>
      <c r="G4" s="1996"/>
      <c r="H4" s="1996"/>
      <c r="I4" s="1996"/>
      <c r="J4" s="1996"/>
      <c r="K4" s="1996"/>
      <c r="L4" s="1996"/>
      <c r="M4" s="1996"/>
      <c r="N4" s="1996"/>
    </row>
    <row r="5" spans="1:16" s="853" customFormat="1" ht="15" x14ac:dyDescent="0.3">
      <c r="A5" s="850"/>
      <c r="B5" s="851"/>
      <c r="C5" s="851"/>
      <c r="D5" s="852"/>
      <c r="H5" s="854"/>
      <c r="I5" s="855"/>
      <c r="J5" s="856"/>
      <c r="K5" s="856"/>
      <c r="L5" s="856"/>
      <c r="M5" s="1997" t="s">
        <v>0</v>
      </c>
      <c r="N5" s="1997"/>
    </row>
    <row r="6" spans="1:16" s="858" customFormat="1" ht="14.25" x14ac:dyDescent="0.3">
      <c r="A6" s="857"/>
      <c r="B6" s="858" t="s">
        <v>1</v>
      </c>
      <c r="C6" s="859" t="s">
        <v>2</v>
      </c>
      <c r="D6" s="860" t="s">
        <v>98</v>
      </c>
      <c r="E6" s="858" t="s">
        <v>99</v>
      </c>
      <c r="F6" s="858" t="s">
        <v>100</v>
      </c>
      <c r="G6" s="858" t="s">
        <v>101</v>
      </c>
      <c r="H6" s="859" t="s">
        <v>102</v>
      </c>
      <c r="I6" s="858" t="s">
        <v>103</v>
      </c>
      <c r="J6" s="858" t="s">
        <v>104</v>
      </c>
      <c r="K6" s="858" t="s">
        <v>105</v>
      </c>
      <c r="L6" s="858" t="s">
        <v>106</v>
      </c>
      <c r="M6" s="858" t="s">
        <v>107</v>
      </c>
      <c r="N6" s="858" t="s">
        <v>215</v>
      </c>
    </row>
    <row r="7" spans="1:16" s="848" customFormat="1" ht="34.5" customHeight="1" x14ac:dyDescent="0.2">
      <c r="A7" s="839"/>
      <c r="B7" s="1989" t="s">
        <v>108</v>
      </c>
      <c r="C7" s="1990" t="s">
        <v>109</v>
      </c>
      <c r="D7" s="1991" t="s">
        <v>3</v>
      </c>
      <c r="E7" s="1992" t="s">
        <v>219</v>
      </c>
      <c r="F7" s="1992" t="s">
        <v>113</v>
      </c>
      <c r="G7" s="1984" t="s">
        <v>114</v>
      </c>
      <c r="H7" s="1985" t="s">
        <v>280</v>
      </c>
      <c r="I7" s="1986" t="s">
        <v>520</v>
      </c>
      <c r="J7" s="1987" t="s">
        <v>40</v>
      </c>
      <c r="K7" s="1987"/>
      <c r="L7" s="1987"/>
      <c r="M7" s="1987"/>
      <c r="N7" s="1987"/>
    </row>
    <row r="8" spans="1:16" s="848" customFormat="1" ht="45" x14ac:dyDescent="0.2">
      <c r="A8" s="839"/>
      <c r="B8" s="1989"/>
      <c r="C8" s="1990"/>
      <c r="D8" s="1991"/>
      <c r="E8" s="1992"/>
      <c r="F8" s="1992"/>
      <c r="G8" s="1984"/>
      <c r="H8" s="1985"/>
      <c r="I8" s="1986"/>
      <c r="J8" s="861" t="s">
        <v>282</v>
      </c>
      <c r="K8" s="861" t="s">
        <v>283</v>
      </c>
      <c r="L8" s="861" t="s">
        <v>284</v>
      </c>
      <c r="M8" s="861" t="s">
        <v>285</v>
      </c>
      <c r="N8" s="862" t="s">
        <v>286</v>
      </c>
    </row>
    <row r="9" spans="1:16" s="848" customFormat="1" ht="23.25" customHeight="1" x14ac:dyDescent="0.3">
      <c r="A9" s="839">
        <v>1</v>
      </c>
      <c r="B9" s="863">
        <v>18</v>
      </c>
      <c r="C9" s="864" t="s">
        <v>521</v>
      </c>
      <c r="D9" s="865"/>
      <c r="E9" s="866"/>
      <c r="F9" s="866"/>
      <c r="G9" s="867"/>
      <c r="H9" s="868"/>
      <c r="I9" s="869"/>
      <c r="J9" s="870"/>
      <c r="K9" s="870"/>
      <c r="L9" s="870"/>
      <c r="M9" s="870"/>
      <c r="N9" s="871"/>
    </row>
    <row r="10" spans="1:16" s="840" customFormat="1" ht="22.5" customHeight="1" x14ac:dyDescent="0.3">
      <c r="A10" s="839">
        <v>2</v>
      </c>
      <c r="B10" s="872"/>
      <c r="C10" s="873">
        <v>1</v>
      </c>
      <c r="D10" s="874" t="s">
        <v>522</v>
      </c>
      <c r="E10" s="875">
        <v>88</v>
      </c>
      <c r="F10" s="875">
        <v>945</v>
      </c>
      <c r="G10" s="876">
        <v>833</v>
      </c>
      <c r="H10" s="877" t="s">
        <v>106</v>
      </c>
      <c r="I10" s="878"/>
      <c r="J10" s="879"/>
      <c r="K10" s="879"/>
      <c r="L10" s="879"/>
      <c r="M10" s="879"/>
      <c r="N10" s="880"/>
    </row>
    <row r="11" spans="1:16" s="891" customFormat="1" ht="18" customHeight="1" x14ac:dyDescent="0.3">
      <c r="A11" s="839">
        <v>3</v>
      </c>
      <c r="B11" s="881"/>
      <c r="C11" s="882"/>
      <c r="D11" s="883" t="s">
        <v>230</v>
      </c>
      <c r="E11" s="884"/>
      <c r="F11" s="884"/>
      <c r="G11" s="885"/>
      <c r="H11" s="886"/>
      <c r="I11" s="887">
        <f>SUM(J11:N11)</f>
        <v>1412</v>
      </c>
      <c r="J11" s="888"/>
      <c r="K11" s="888"/>
      <c r="L11" s="889">
        <v>1412</v>
      </c>
      <c r="M11" s="888"/>
      <c r="N11" s="890"/>
    </row>
    <row r="12" spans="1:16" s="891" customFormat="1" ht="18" customHeight="1" x14ac:dyDescent="0.3">
      <c r="A12" s="839">
        <v>4</v>
      </c>
      <c r="B12" s="881"/>
      <c r="C12" s="882"/>
      <c r="D12" s="266" t="s">
        <v>231</v>
      </c>
      <c r="E12" s="884"/>
      <c r="F12" s="884"/>
      <c r="G12" s="885"/>
      <c r="H12" s="886"/>
      <c r="I12" s="878">
        <f>SUM(J12:N12)</f>
        <v>1612</v>
      </c>
      <c r="J12" s="892">
        <v>445</v>
      </c>
      <c r="K12" s="892">
        <v>137</v>
      </c>
      <c r="L12" s="892">
        <v>1030</v>
      </c>
      <c r="M12" s="879"/>
      <c r="N12" s="893"/>
    </row>
    <row r="13" spans="1:16" s="891" customFormat="1" ht="18" customHeight="1" x14ac:dyDescent="0.3">
      <c r="A13" s="839">
        <v>5</v>
      </c>
      <c r="B13" s="881"/>
      <c r="C13" s="882"/>
      <c r="D13" s="270" t="s">
        <v>232</v>
      </c>
      <c r="E13" s="884"/>
      <c r="F13" s="884"/>
      <c r="G13" s="885"/>
      <c r="H13" s="886"/>
      <c r="I13" s="272">
        <f>SUM(J13:Q13)</f>
        <v>0</v>
      </c>
      <c r="J13" s="894"/>
      <c r="K13" s="894"/>
      <c r="L13" s="894"/>
      <c r="M13" s="894"/>
      <c r="N13" s="895"/>
    </row>
    <row r="14" spans="1:16" s="891" customFormat="1" ht="18" customHeight="1" x14ac:dyDescent="0.3">
      <c r="A14" s="839">
        <v>6</v>
      </c>
      <c r="B14" s="881"/>
      <c r="C14" s="882"/>
      <c r="D14" s="266" t="s">
        <v>233</v>
      </c>
      <c r="E14" s="884"/>
      <c r="F14" s="884"/>
      <c r="G14" s="885"/>
      <c r="H14" s="886"/>
      <c r="I14" s="268">
        <f>SUM(J14:Q14)</f>
        <v>1612</v>
      </c>
      <c r="J14" s="892">
        <f>SUM(J12:J13)</f>
        <v>445</v>
      </c>
      <c r="K14" s="892">
        <f>SUM(K12:K13)</f>
        <v>137</v>
      </c>
      <c r="L14" s="892">
        <f>SUM(L12:L13)</f>
        <v>1030</v>
      </c>
      <c r="M14" s="896"/>
      <c r="N14" s="893"/>
    </row>
    <row r="15" spans="1:16" s="840" customFormat="1" ht="22.5" customHeight="1" x14ac:dyDescent="0.3">
      <c r="A15" s="839">
        <v>7</v>
      </c>
      <c r="B15" s="897"/>
      <c r="C15" s="882">
        <v>2</v>
      </c>
      <c r="D15" s="898" t="s">
        <v>523</v>
      </c>
      <c r="E15" s="884">
        <v>20</v>
      </c>
      <c r="F15" s="884">
        <v>580</v>
      </c>
      <c r="G15" s="885">
        <v>101</v>
      </c>
      <c r="H15" s="886" t="s">
        <v>296</v>
      </c>
      <c r="I15" s="899"/>
      <c r="J15" s="896"/>
      <c r="K15" s="896"/>
      <c r="L15" s="896"/>
      <c r="M15" s="896"/>
      <c r="N15" s="893"/>
      <c r="P15" s="891"/>
    </row>
    <row r="16" spans="1:16" s="891" customFormat="1" ht="18" customHeight="1" x14ac:dyDescent="0.3">
      <c r="A16" s="839">
        <v>8</v>
      </c>
      <c r="B16" s="881"/>
      <c r="C16" s="882"/>
      <c r="D16" s="883" t="s">
        <v>230</v>
      </c>
      <c r="E16" s="884"/>
      <c r="F16" s="884"/>
      <c r="G16" s="885"/>
      <c r="H16" s="886"/>
      <c r="I16" s="887">
        <f>SUM(J16:N16)</f>
        <v>5479</v>
      </c>
      <c r="J16" s="888"/>
      <c r="K16" s="888"/>
      <c r="L16" s="889">
        <v>1479</v>
      </c>
      <c r="M16" s="888"/>
      <c r="N16" s="900">
        <v>4000</v>
      </c>
    </row>
    <row r="17" spans="1:16" s="891" customFormat="1" ht="18" customHeight="1" x14ac:dyDescent="0.3">
      <c r="A17" s="839">
        <v>9</v>
      </c>
      <c r="B17" s="881"/>
      <c r="C17" s="882"/>
      <c r="D17" s="266" t="s">
        <v>231</v>
      </c>
      <c r="E17" s="884"/>
      <c r="F17" s="884"/>
      <c r="G17" s="885"/>
      <c r="H17" s="886"/>
      <c r="I17" s="878">
        <f>SUM(J17:N17)</f>
        <v>2479</v>
      </c>
      <c r="J17" s="901"/>
      <c r="K17" s="901"/>
      <c r="L17" s="902">
        <v>1479</v>
      </c>
      <c r="M17" s="901"/>
      <c r="N17" s="903">
        <v>1000</v>
      </c>
    </row>
    <row r="18" spans="1:16" s="891" customFormat="1" ht="18" customHeight="1" x14ac:dyDescent="0.3">
      <c r="A18" s="839">
        <v>10</v>
      </c>
      <c r="B18" s="881"/>
      <c r="C18" s="882"/>
      <c r="D18" s="270" t="s">
        <v>232</v>
      </c>
      <c r="E18" s="884"/>
      <c r="F18" s="884"/>
      <c r="G18" s="885"/>
      <c r="H18" s="886"/>
      <c r="I18" s="272">
        <f>SUM(J18:Q18)</f>
        <v>0</v>
      </c>
      <c r="J18" s="904"/>
      <c r="K18" s="904"/>
      <c r="L18" s="905"/>
      <c r="M18" s="904"/>
      <c r="N18" s="906"/>
    </row>
    <row r="19" spans="1:16" s="891" customFormat="1" ht="18" customHeight="1" x14ac:dyDescent="0.3">
      <c r="A19" s="839">
        <v>11</v>
      </c>
      <c r="B19" s="881"/>
      <c r="C19" s="882"/>
      <c r="D19" s="266" t="s">
        <v>233</v>
      </c>
      <c r="E19" s="884"/>
      <c r="F19" s="884"/>
      <c r="G19" s="885"/>
      <c r="H19" s="886"/>
      <c r="I19" s="268">
        <f>SUM(J19:Q19)</f>
        <v>2479</v>
      </c>
      <c r="J19" s="901"/>
      <c r="K19" s="901"/>
      <c r="L19" s="902">
        <f>SUM(L17:L18)</f>
        <v>1479</v>
      </c>
      <c r="M19" s="902"/>
      <c r="N19" s="903">
        <f>SUM(N17:N18)</f>
        <v>1000</v>
      </c>
    </row>
    <row r="20" spans="1:16" s="840" customFormat="1" ht="22.5" customHeight="1" x14ac:dyDescent="0.3">
      <c r="A20" s="839">
        <v>12</v>
      </c>
      <c r="B20" s="897"/>
      <c r="C20" s="882">
        <v>3</v>
      </c>
      <c r="D20" s="898" t="s">
        <v>524</v>
      </c>
      <c r="E20" s="884">
        <v>242</v>
      </c>
      <c r="F20" s="884">
        <v>6103</v>
      </c>
      <c r="G20" s="885">
        <v>5580</v>
      </c>
      <c r="H20" s="886" t="s">
        <v>296</v>
      </c>
      <c r="I20" s="907"/>
      <c r="J20" s="908"/>
      <c r="K20" s="908"/>
      <c r="L20" s="908"/>
      <c r="M20" s="908"/>
      <c r="N20" s="909"/>
      <c r="P20" s="891"/>
    </row>
    <row r="21" spans="1:16" s="840" customFormat="1" ht="18" customHeight="1" x14ac:dyDescent="0.3">
      <c r="A21" s="839">
        <v>13</v>
      </c>
      <c r="B21" s="897"/>
      <c r="C21" s="882"/>
      <c r="D21" s="883" t="s">
        <v>230</v>
      </c>
      <c r="E21" s="884"/>
      <c r="F21" s="884"/>
      <c r="G21" s="885"/>
      <c r="H21" s="886"/>
      <c r="I21" s="887">
        <f>SUM(J21:N21)</f>
        <v>41684</v>
      </c>
      <c r="J21" s="889">
        <v>3290</v>
      </c>
      <c r="K21" s="889">
        <v>1108</v>
      </c>
      <c r="L21" s="889">
        <f>35602+1684</f>
        <v>37286</v>
      </c>
      <c r="M21" s="908"/>
      <c r="N21" s="909"/>
      <c r="P21" s="891"/>
    </row>
    <row r="22" spans="1:16" s="840" customFormat="1" ht="18" customHeight="1" x14ac:dyDescent="0.3">
      <c r="A22" s="839">
        <v>14</v>
      </c>
      <c r="B22" s="897"/>
      <c r="C22" s="882"/>
      <c r="D22" s="266" t="s">
        <v>231</v>
      </c>
      <c r="E22" s="884"/>
      <c r="F22" s="884"/>
      <c r="G22" s="885"/>
      <c r="H22" s="886"/>
      <c r="I22" s="878">
        <f>SUM(J22:N22)</f>
        <v>31990</v>
      </c>
      <c r="J22" s="902">
        <v>2790</v>
      </c>
      <c r="K22" s="902">
        <v>914</v>
      </c>
      <c r="L22" s="902">
        <v>28286</v>
      </c>
      <c r="M22" s="908"/>
      <c r="N22" s="909"/>
      <c r="P22" s="891"/>
    </row>
    <row r="23" spans="1:16" s="840" customFormat="1" ht="18" customHeight="1" x14ac:dyDescent="0.3">
      <c r="A23" s="839">
        <v>15</v>
      </c>
      <c r="B23" s="897"/>
      <c r="C23" s="882"/>
      <c r="D23" s="270" t="s">
        <v>232</v>
      </c>
      <c r="E23" s="884"/>
      <c r="F23" s="884"/>
      <c r="G23" s="885"/>
      <c r="H23" s="886"/>
      <c r="I23" s="272">
        <f>SUM(J23:Q23)</f>
        <v>0</v>
      </c>
      <c r="J23" s="904"/>
      <c r="K23" s="904"/>
      <c r="L23" s="904"/>
      <c r="M23" s="908"/>
      <c r="N23" s="909"/>
      <c r="P23" s="891"/>
    </row>
    <row r="24" spans="1:16" s="840" customFormat="1" ht="18" customHeight="1" x14ac:dyDescent="0.3">
      <c r="A24" s="839">
        <v>16</v>
      </c>
      <c r="B24" s="897"/>
      <c r="C24" s="882"/>
      <c r="D24" s="266" t="s">
        <v>233</v>
      </c>
      <c r="E24" s="884"/>
      <c r="F24" s="884"/>
      <c r="G24" s="885"/>
      <c r="H24" s="886"/>
      <c r="I24" s="268">
        <f>SUM(J24:Q24)</f>
        <v>31990</v>
      </c>
      <c r="J24" s="902">
        <f>SUM(J22:J23)</f>
        <v>2790</v>
      </c>
      <c r="K24" s="902">
        <f>SUM(K22:K23)</f>
        <v>914</v>
      </c>
      <c r="L24" s="902">
        <f>SUM(L22:L23)</f>
        <v>28286</v>
      </c>
      <c r="M24" s="908"/>
      <c r="N24" s="909"/>
      <c r="P24" s="891"/>
    </row>
    <row r="25" spans="1:16" s="840" customFormat="1" ht="22.5" customHeight="1" x14ac:dyDescent="0.3">
      <c r="A25" s="839">
        <v>17</v>
      </c>
      <c r="B25" s="897"/>
      <c r="C25" s="882">
        <v>4</v>
      </c>
      <c r="D25" s="898" t="s">
        <v>525</v>
      </c>
      <c r="E25" s="884">
        <v>4210</v>
      </c>
      <c r="F25" s="884">
        <v>6138</v>
      </c>
      <c r="G25" s="885">
        <v>6857</v>
      </c>
      <c r="H25" s="886" t="s">
        <v>296</v>
      </c>
      <c r="I25" s="887"/>
      <c r="J25" s="888"/>
      <c r="K25" s="888"/>
      <c r="L25" s="888"/>
      <c r="M25" s="888"/>
      <c r="N25" s="890"/>
      <c r="P25" s="891"/>
    </row>
    <row r="26" spans="1:16" s="891" customFormat="1" ht="18" customHeight="1" x14ac:dyDescent="0.3">
      <c r="A26" s="839">
        <v>18</v>
      </c>
      <c r="B26" s="881"/>
      <c r="C26" s="882"/>
      <c r="D26" s="883" t="s">
        <v>230</v>
      </c>
      <c r="F26" s="910"/>
      <c r="H26" s="886"/>
      <c r="I26" s="887">
        <f>SUM(J26:N26)</f>
        <v>74055</v>
      </c>
      <c r="J26" s="889">
        <v>4498</v>
      </c>
      <c r="K26" s="889">
        <v>982</v>
      </c>
      <c r="L26" s="889">
        <f>64794+3781</f>
        <v>68575</v>
      </c>
      <c r="M26" s="888"/>
      <c r="N26" s="890"/>
    </row>
    <row r="27" spans="1:16" s="891" customFormat="1" ht="18" customHeight="1" x14ac:dyDescent="0.3">
      <c r="A27" s="839">
        <v>19</v>
      </c>
      <c r="B27" s="881"/>
      <c r="C27" s="882"/>
      <c r="D27" s="266" t="s">
        <v>231</v>
      </c>
      <c r="F27" s="910"/>
      <c r="H27" s="886"/>
      <c r="I27" s="878">
        <f>SUM(J27:N27)</f>
        <v>57077</v>
      </c>
      <c r="J27" s="902">
        <v>3240</v>
      </c>
      <c r="K27" s="902">
        <v>756</v>
      </c>
      <c r="L27" s="902">
        <v>53081</v>
      </c>
      <c r="M27" s="888"/>
      <c r="N27" s="890"/>
    </row>
    <row r="28" spans="1:16" s="891" customFormat="1" ht="18" customHeight="1" x14ac:dyDescent="0.3">
      <c r="A28" s="839">
        <v>20</v>
      </c>
      <c r="B28" s="881"/>
      <c r="C28" s="882"/>
      <c r="D28" s="270" t="s">
        <v>232</v>
      </c>
      <c r="E28" s="911"/>
      <c r="F28" s="911"/>
      <c r="G28" s="912"/>
      <c r="H28" s="886"/>
      <c r="I28" s="272">
        <f>SUM(J28:Q28)</f>
        <v>0</v>
      </c>
      <c r="J28" s="904"/>
      <c r="K28" s="904"/>
      <c r="L28" s="904"/>
      <c r="M28" s="888"/>
      <c r="N28" s="890"/>
    </row>
    <row r="29" spans="1:16" s="891" customFormat="1" ht="18" customHeight="1" x14ac:dyDescent="0.3">
      <c r="A29" s="839">
        <v>21</v>
      </c>
      <c r="B29" s="881"/>
      <c r="C29" s="882"/>
      <c r="D29" s="266" t="s">
        <v>233</v>
      </c>
      <c r="E29" s="913"/>
      <c r="F29" s="913"/>
      <c r="H29" s="886"/>
      <c r="I29" s="268">
        <f>SUM(J29:Q29)</f>
        <v>57077</v>
      </c>
      <c r="J29" s="902">
        <f>SUM(J27:J28)</f>
        <v>3240</v>
      </c>
      <c r="K29" s="902">
        <f>SUM(K27:K28)</f>
        <v>756</v>
      </c>
      <c r="L29" s="902">
        <f>SUM(L27:L28)</f>
        <v>53081</v>
      </c>
      <c r="M29" s="888"/>
      <c r="N29" s="890"/>
    </row>
    <row r="30" spans="1:16" s="840" customFormat="1" ht="22.5" customHeight="1" x14ac:dyDescent="0.3">
      <c r="A30" s="839">
        <v>22</v>
      </c>
      <c r="B30" s="897"/>
      <c r="C30" s="882">
        <v>5</v>
      </c>
      <c r="D30" s="898" t="s">
        <v>13</v>
      </c>
      <c r="E30" s="884">
        <v>13273</v>
      </c>
      <c r="F30" s="884">
        <v>12853</v>
      </c>
      <c r="G30" s="885">
        <v>18833</v>
      </c>
      <c r="H30" s="886" t="s">
        <v>296</v>
      </c>
      <c r="I30" s="907"/>
      <c r="J30" s="908"/>
      <c r="K30" s="908"/>
      <c r="L30" s="908"/>
      <c r="M30" s="908"/>
      <c r="N30" s="909"/>
      <c r="O30" s="891"/>
      <c r="P30" s="891"/>
    </row>
    <row r="31" spans="1:16" s="918" customFormat="1" ht="18" customHeight="1" x14ac:dyDescent="0.3">
      <c r="A31" s="839">
        <v>23</v>
      </c>
      <c r="B31" s="914"/>
      <c r="C31" s="915"/>
      <c r="D31" s="883" t="s">
        <v>230</v>
      </c>
      <c r="E31" s="887"/>
      <c r="F31" s="887"/>
      <c r="G31" s="916"/>
      <c r="H31" s="917"/>
      <c r="I31" s="887">
        <f>SUM(J31:N31)</f>
        <v>32429</v>
      </c>
      <c r="J31" s="889">
        <f>7345+1101</f>
        <v>8446</v>
      </c>
      <c r="K31" s="889">
        <f>3447+143</f>
        <v>3590</v>
      </c>
      <c r="L31" s="889">
        <f>15216+4827</f>
        <v>20043</v>
      </c>
      <c r="M31" s="889"/>
      <c r="N31" s="900">
        <v>350</v>
      </c>
    </row>
    <row r="32" spans="1:16" s="918" customFormat="1" ht="18" customHeight="1" x14ac:dyDescent="0.3">
      <c r="A32" s="839">
        <v>24</v>
      </c>
      <c r="B32" s="914"/>
      <c r="C32" s="915"/>
      <c r="D32" s="266" t="s">
        <v>231</v>
      </c>
      <c r="E32" s="887"/>
      <c r="F32" s="887"/>
      <c r="G32" s="916"/>
      <c r="H32" s="917"/>
      <c r="I32" s="878">
        <f>SUM(J32:N32)</f>
        <v>32029</v>
      </c>
      <c r="J32" s="902">
        <v>12946</v>
      </c>
      <c r="K32" s="902">
        <v>3590</v>
      </c>
      <c r="L32" s="902">
        <v>15143</v>
      </c>
      <c r="M32" s="902"/>
      <c r="N32" s="903">
        <v>350</v>
      </c>
    </row>
    <row r="33" spans="1:14" s="918" customFormat="1" ht="18" customHeight="1" x14ac:dyDescent="0.3">
      <c r="A33" s="839">
        <v>25</v>
      </c>
      <c r="B33" s="914"/>
      <c r="C33" s="915"/>
      <c r="D33" s="270" t="s">
        <v>287</v>
      </c>
      <c r="E33" s="887"/>
      <c r="F33" s="887"/>
      <c r="G33" s="916"/>
      <c r="H33" s="917"/>
      <c r="I33" s="272">
        <f>SUM(J33:Q33)</f>
        <v>0</v>
      </c>
      <c r="J33" s="904">
        <v>1830</v>
      </c>
      <c r="K33" s="904"/>
      <c r="L33" s="904">
        <v>-1830</v>
      </c>
      <c r="M33" s="889"/>
      <c r="N33" s="900"/>
    </row>
    <row r="34" spans="1:14" s="918" customFormat="1" ht="18" customHeight="1" x14ac:dyDescent="0.3">
      <c r="A34" s="839">
        <v>26</v>
      </c>
      <c r="B34" s="914"/>
      <c r="C34" s="915"/>
      <c r="D34" s="266" t="s">
        <v>233</v>
      </c>
      <c r="E34" s="887"/>
      <c r="F34" s="887"/>
      <c r="G34" s="916"/>
      <c r="H34" s="917"/>
      <c r="I34" s="268">
        <f>SUM(J34:Q34)</f>
        <v>32029</v>
      </c>
      <c r="J34" s="902">
        <f>SUM(J32:J33)</f>
        <v>14776</v>
      </c>
      <c r="K34" s="902">
        <f>SUM(K32:K33)</f>
        <v>3590</v>
      </c>
      <c r="L34" s="902">
        <f>SUM(L32:L33)</f>
        <v>13313</v>
      </c>
      <c r="M34" s="902"/>
      <c r="N34" s="903">
        <f>SUM(N32:N33)</f>
        <v>350</v>
      </c>
    </row>
    <row r="35" spans="1:14" s="918" customFormat="1" ht="22.5" customHeight="1" x14ac:dyDescent="0.3">
      <c r="A35" s="839">
        <v>27</v>
      </c>
      <c r="B35" s="914"/>
      <c r="C35" s="882">
        <v>6</v>
      </c>
      <c r="D35" s="898" t="s">
        <v>526</v>
      </c>
      <c r="E35" s="884">
        <f>SUM(E40:E70)</f>
        <v>0</v>
      </c>
      <c r="F35" s="884">
        <f>SUM(F40:F70)</f>
        <v>0</v>
      </c>
      <c r="G35" s="884">
        <f>SUM(G40:G70)</f>
        <v>0</v>
      </c>
      <c r="H35" s="917"/>
      <c r="I35" s="887"/>
      <c r="J35" s="889"/>
      <c r="K35" s="889"/>
      <c r="L35" s="889"/>
      <c r="M35" s="889"/>
      <c r="N35" s="900"/>
    </row>
    <row r="36" spans="1:14" s="918" customFormat="1" ht="18" customHeight="1" x14ac:dyDescent="0.3">
      <c r="A36" s="839">
        <v>28</v>
      </c>
      <c r="B36" s="914"/>
      <c r="C36" s="882"/>
      <c r="D36" s="883" t="s">
        <v>230</v>
      </c>
      <c r="E36" s="884"/>
      <c r="F36" s="884"/>
      <c r="G36" s="885"/>
      <c r="H36" s="917"/>
      <c r="I36" s="887">
        <f>SUM(J36:N36)</f>
        <v>34500</v>
      </c>
      <c r="J36" s="889">
        <f>J41+J46+J51+J56+J61+J66+J71+J76+J81</f>
        <v>0</v>
      </c>
      <c r="K36" s="889">
        <f>K41+K46+K51+K56+K61+K66+K71+K76+K81</f>
        <v>0</v>
      </c>
      <c r="L36" s="889">
        <f>L41+L46+L51+L56+L61+L66+L71+L76+L81</f>
        <v>34500</v>
      </c>
      <c r="M36" s="889">
        <f>M41+M46+M51+M56+M61+M66+M71+M76+M81</f>
        <v>0</v>
      </c>
      <c r="N36" s="900">
        <f>N41+N46+N51+N56+N61+N66+N71+N76+N81</f>
        <v>0</v>
      </c>
    </row>
    <row r="37" spans="1:14" s="918" customFormat="1" ht="18" customHeight="1" x14ac:dyDescent="0.3">
      <c r="A37" s="839">
        <v>29</v>
      </c>
      <c r="B37" s="914"/>
      <c r="C37" s="882"/>
      <c r="D37" s="266" t="s">
        <v>231</v>
      </c>
      <c r="E37" s="884"/>
      <c r="F37" s="884"/>
      <c r="G37" s="885"/>
      <c r="H37" s="917"/>
      <c r="I37" s="878">
        <f>SUM(J37:N37)</f>
        <v>13140</v>
      </c>
      <c r="J37" s="902">
        <f t="shared" ref="J37:N38" si="0">J42+J47+J52+J57+J62+J67+J72+J77+J82+J86</f>
        <v>0</v>
      </c>
      <c r="K37" s="902">
        <f t="shared" si="0"/>
        <v>0</v>
      </c>
      <c r="L37" s="902">
        <f t="shared" si="0"/>
        <v>13140</v>
      </c>
      <c r="M37" s="902">
        <f t="shared" si="0"/>
        <v>0</v>
      </c>
      <c r="N37" s="903">
        <f t="shared" si="0"/>
        <v>0</v>
      </c>
    </row>
    <row r="38" spans="1:14" s="918" customFormat="1" ht="18" customHeight="1" x14ac:dyDescent="0.3">
      <c r="A38" s="839">
        <v>30</v>
      </c>
      <c r="B38" s="914"/>
      <c r="C38" s="882"/>
      <c r="D38" s="270" t="s">
        <v>287</v>
      </c>
      <c r="E38" s="884"/>
      <c r="F38" s="884"/>
      <c r="G38" s="885"/>
      <c r="H38" s="917"/>
      <c r="I38" s="272">
        <f>SUM(J38:Q38)</f>
        <v>0</v>
      </c>
      <c r="J38" s="904">
        <f t="shared" si="0"/>
        <v>0</v>
      </c>
      <c r="K38" s="904">
        <f t="shared" si="0"/>
        <v>0</v>
      </c>
      <c r="L38" s="904">
        <f t="shared" si="0"/>
        <v>0</v>
      </c>
      <c r="M38" s="904">
        <f t="shared" si="0"/>
        <v>0</v>
      </c>
      <c r="N38" s="906">
        <f t="shared" si="0"/>
        <v>0</v>
      </c>
    </row>
    <row r="39" spans="1:14" s="918" customFormat="1" ht="18" customHeight="1" x14ac:dyDescent="0.3">
      <c r="A39" s="839">
        <v>31</v>
      </c>
      <c r="B39" s="914"/>
      <c r="C39" s="882"/>
      <c r="D39" s="266" t="s">
        <v>233</v>
      </c>
      <c r="E39" s="884"/>
      <c r="F39" s="884"/>
      <c r="G39" s="885"/>
      <c r="H39" s="917"/>
      <c r="I39" s="268">
        <f>SUM(J39:Q39)</f>
        <v>13140</v>
      </c>
      <c r="J39" s="902">
        <f>SUM(J37:J38)</f>
        <v>0</v>
      </c>
      <c r="K39" s="902">
        <f>SUM(K37:K38)</f>
        <v>0</v>
      </c>
      <c r="L39" s="902">
        <f>SUM(L37:L38)</f>
        <v>13140</v>
      </c>
      <c r="M39" s="902">
        <f>SUM(M37:M38)</f>
        <v>0</v>
      </c>
      <c r="N39" s="903">
        <f>SUM(N37:N38)</f>
        <v>0</v>
      </c>
    </row>
    <row r="40" spans="1:14" s="918" customFormat="1" ht="18" customHeight="1" x14ac:dyDescent="0.3">
      <c r="A40" s="839">
        <v>32</v>
      </c>
      <c r="B40" s="914"/>
      <c r="C40" s="915"/>
      <c r="D40" s="919" t="s">
        <v>527</v>
      </c>
      <c r="E40" s="920"/>
      <c r="F40" s="920"/>
      <c r="G40" s="921"/>
      <c r="H40" s="886" t="s">
        <v>296</v>
      </c>
      <c r="I40" s="887"/>
      <c r="J40" s="889"/>
      <c r="K40" s="889"/>
      <c r="L40" s="889"/>
      <c r="M40" s="889"/>
      <c r="N40" s="900"/>
    </row>
    <row r="41" spans="1:14" s="918" customFormat="1" ht="18" customHeight="1" x14ac:dyDescent="0.3">
      <c r="A41" s="839">
        <v>33</v>
      </c>
      <c r="B41" s="914"/>
      <c r="C41" s="915"/>
      <c r="D41" s="922" t="s">
        <v>230</v>
      </c>
      <c r="E41" s="920"/>
      <c r="F41" s="920"/>
      <c r="G41" s="921"/>
      <c r="H41" s="886"/>
      <c r="I41" s="923">
        <f>SUM(J41:N41)</f>
        <v>1500</v>
      </c>
      <c r="J41" s="889"/>
      <c r="K41" s="889"/>
      <c r="L41" s="924">
        <v>1500</v>
      </c>
      <c r="M41" s="889"/>
      <c r="N41" s="900"/>
    </row>
    <row r="42" spans="1:14" s="918" customFormat="1" ht="18" customHeight="1" x14ac:dyDescent="0.3">
      <c r="A42" s="839">
        <v>34</v>
      </c>
      <c r="B42" s="914"/>
      <c r="C42" s="915"/>
      <c r="D42" s="925" t="s">
        <v>231</v>
      </c>
      <c r="E42" s="920"/>
      <c r="F42" s="920"/>
      <c r="G42" s="921"/>
      <c r="H42" s="886"/>
      <c r="I42" s="920">
        <f>SUM(J42:N42)</f>
        <v>0</v>
      </c>
      <c r="J42" s="902"/>
      <c r="K42" s="902"/>
      <c r="L42" s="904">
        <v>0</v>
      </c>
      <c r="M42" s="889"/>
      <c r="N42" s="900"/>
    </row>
    <row r="43" spans="1:14" s="918" customFormat="1" ht="18" customHeight="1" x14ac:dyDescent="0.3">
      <c r="A43" s="839">
        <v>35</v>
      </c>
      <c r="B43" s="914"/>
      <c r="C43" s="915"/>
      <c r="D43" s="925" t="s">
        <v>232</v>
      </c>
      <c r="E43" s="920"/>
      <c r="F43" s="920"/>
      <c r="G43" s="921"/>
      <c r="H43" s="886"/>
      <c r="I43" s="272">
        <f>SUM(J43:Q43)</f>
        <v>0</v>
      </c>
      <c r="J43" s="889"/>
      <c r="K43" s="889"/>
      <c r="L43" s="904"/>
      <c r="M43" s="889"/>
      <c r="N43" s="900"/>
    </row>
    <row r="44" spans="1:14" s="918" customFormat="1" ht="18" customHeight="1" x14ac:dyDescent="0.3">
      <c r="A44" s="839">
        <v>36</v>
      </c>
      <c r="B44" s="914"/>
      <c r="C44" s="915"/>
      <c r="D44" s="925" t="s">
        <v>233</v>
      </c>
      <c r="E44" s="920"/>
      <c r="F44" s="920"/>
      <c r="G44" s="921"/>
      <c r="H44" s="886"/>
      <c r="I44" s="252">
        <f>SUM(J44:Q44)</f>
        <v>0</v>
      </c>
      <c r="J44" s="902"/>
      <c r="K44" s="902"/>
      <c r="L44" s="904">
        <f>SUM(L42:L43)</f>
        <v>0</v>
      </c>
      <c r="M44" s="889"/>
      <c r="N44" s="900"/>
    </row>
    <row r="45" spans="1:14" s="918" customFormat="1" ht="18" customHeight="1" x14ac:dyDescent="0.3">
      <c r="A45" s="839">
        <v>37</v>
      </c>
      <c r="B45" s="914"/>
      <c r="C45" s="915"/>
      <c r="D45" s="919" t="s">
        <v>528</v>
      </c>
      <c r="E45" s="920"/>
      <c r="F45" s="920"/>
      <c r="G45" s="921"/>
      <c r="H45" s="886" t="s">
        <v>106</v>
      </c>
      <c r="I45" s="887"/>
      <c r="J45" s="889"/>
      <c r="K45" s="889"/>
      <c r="L45" s="924"/>
      <c r="M45" s="889"/>
      <c r="N45" s="900"/>
    </row>
    <row r="46" spans="1:14" s="918" customFormat="1" ht="18" customHeight="1" x14ac:dyDescent="0.3">
      <c r="A46" s="839">
        <v>38</v>
      </c>
      <c r="B46" s="914"/>
      <c r="C46" s="915"/>
      <c r="D46" s="922" t="s">
        <v>230</v>
      </c>
      <c r="E46" s="920"/>
      <c r="F46" s="920"/>
      <c r="G46" s="921"/>
      <c r="H46" s="886"/>
      <c r="I46" s="923">
        <f>SUM(J46:N46)</f>
        <v>3500</v>
      </c>
      <c r="J46" s="889"/>
      <c r="K46" s="889"/>
      <c r="L46" s="924">
        <v>3500</v>
      </c>
      <c r="M46" s="889"/>
      <c r="N46" s="900"/>
    </row>
    <row r="47" spans="1:14" s="918" customFormat="1" ht="18" customHeight="1" x14ac:dyDescent="0.3">
      <c r="A47" s="839">
        <v>39</v>
      </c>
      <c r="B47" s="914"/>
      <c r="C47" s="915"/>
      <c r="D47" s="925" t="s">
        <v>231</v>
      </c>
      <c r="E47" s="920"/>
      <c r="F47" s="920"/>
      <c r="G47" s="921"/>
      <c r="H47" s="886"/>
      <c r="I47" s="920">
        <f>SUM(J47:N47)</f>
        <v>2850</v>
      </c>
      <c r="J47" s="902"/>
      <c r="K47" s="902"/>
      <c r="L47" s="904">
        <v>2850</v>
      </c>
      <c r="M47" s="889"/>
      <c r="N47" s="900"/>
    </row>
    <row r="48" spans="1:14" s="918" customFormat="1" ht="18" customHeight="1" x14ac:dyDescent="0.3">
      <c r="A48" s="839">
        <v>40</v>
      </c>
      <c r="B48" s="914"/>
      <c r="C48" s="915"/>
      <c r="D48" s="925" t="s">
        <v>287</v>
      </c>
      <c r="E48" s="920"/>
      <c r="F48" s="920"/>
      <c r="G48" s="921"/>
      <c r="H48" s="886"/>
      <c r="I48" s="272">
        <f>SUM(J48:Q48)</f>
        <v>0</v>
      </c>
      <c r="J48" s="889"/>
      <c r="K48" s="889"/>
      <c r="L48" s="904"/>
      <c r="M48" s="889"/>
      <c r="N48" s="900"/>
    </row>
    <row r="49" spans="1:14" s="918" customFormat="1" ht="18" customHeight="1" x14ac:dyDescent="0.3">
      <c r="A49" s="839">
        <v>41</v>
      </c>
      <c r="B49" s="914"/>
      <c r="C49" s="915"/>
      <c r="D49" s="925" t="s">
        <v>233</v>
      </c>
      <c r="E49" s="920"/>
      <c r="F49" s="920"/>
      <c r="G49" s="921"/>
      <c r="H49" s="886"/>
      <c r="I49" s="252">
        <f>SUM(J49:Q49)</f>
        <v>2850</v>
      </c>
      <c r="J49" s="902"/>
      <c r="K49" s="902"/>
      <c r="L49" s="904">
        <f>SUM(L47:L48)</f>
        <v>2850</v>
      </c>
      <c r="M49" s="889"/>
      <c r="N49" s="900"/>
    </row>
    <row r="50" spans="1:14" s="918" customFormat="1" ht="18" customHeight="1" x14ac:dyDescent="0.3">
      <c r="A50" s="839">
        <v>42</v>
      </c>
      <c r="B50" s="914"/>
      <c r="C50" s="915"/>
      <c r="D50" s="919" t="s">
        <v>529</v>
      </c>
      <c r="E50" s="920"/>
      <c r="F50" s="920"/>
      <c r="G50" s="921"/>
      <c r="H50" s="886" t="s">
        <v>296</v>
      </c>
      <c r="I50" s="887"/>
      <c r="J50" s="889"/>
      <c r="K50" s="889"/>
      <c r="L50" s="924"/>
      <c r="M50" s="889"/>
      <c r="N50" s="900"/>
    </row>
    <row r="51" spans="1:14" s="918" customFormat="1" ht="18" customHeight="1" x14ac:dyDescent="0.3">
      <c r="A51" s="839">
        <v>43</v>
      </c>
      <c r="B51" s="914"/>
      <c r="C51" s="915"/>
      <c r="D51" s="922" t="s">
        <v>230</v>
      </c>
      <c r="E51" s="920"/>
      <c r="F51" s="920"/>
      <c r="G51" s="921"/>
      <c r="H51" s="886"/>
      <c r="I51" s="923">
        <f>SUM(J51:N51)</f>
        <v>1500</v>
      </c>
      <c r="J51" s="889"/>
      <c r="K51" s="889"/>
      <c r="L51" s="924">
        <v>1500</v>
      </c>
      <c r="M51" s="889"/>
      <c r="N51" s="900"/>
    </row>
    <row r="52" spans="1:14" s="918" customFormat="1" ht="18" customHeight="1" x14ac:dyDescent="0.3">
      <c r="A52" s="839">
        <v>44</v>
      </c>
      <c r="B52" s="914"/>
      <c r="C52" s="915"/>
      <c r="D52" s="925" t="s">
        <v>231</v>
      </c>
      <c r="E52" s="920"/>
      <c r="F52" s="920"/>
      <c r="G52" s="921"/>
      <c r="H52" s="886"/>
      <c r="I52" s="920">
        <f>SUM(J52:N52)</f>
        <v>0</v>
      </c>
      <c r="J52" s="902"/>
      <c r="K52" s="902"/>
      <c r="L52" s="904">
        <v>0</v>
      </c>
      <c r="M52" s="889"/>
      <c r="N52" s="900"/>
    </row>
    <row r="53" spans="1:14" s="918" customFormat="1" ht="18" customHeight="1" x14ac:dyDescent="0.3">
      <c r="A53" s="839">
        <v>45</v>
      </c>
      <c r="B53" s="914"/>
      <c r="C53" s="915"/>
      <c r="D53" s="925" t="s">
        <v>232</v>
      </c>
      <c r="E53" s="920"/>
      <c r="F53" s="920"/>
      <c r="G53" s="921"/>
      <c r="H53" s="886"/>
      <c r="I53" s="272">
        <f>SUM(J53:Q53)</f>
        <v>0</v>
      </c>
      <c r="J53" s="889"/>
      <c r="K53" s="889"/>
      <c r="L53" s="904"/>
      <c r="M53" s="889"/>
      <c r="N53" s="900"/>
    </row>
    <row r="54" spans="1:14" s="918" customFormat="1" ht="18" customHeight="1" x14ac:dyDescent="0.3">
      <c r="A54" s="839">
        <v>46</v>
      </c>
      <c r="B54" s="914"/>
      <c r="C54" s="915"/>
      <c r="D54" s="925" t="s">
        <v>233</v>
      </c>
      <c r="E54" s="920"/>
      <c r="F54" s="920"/>
      <c r="G54" s="921"/>
      <c r="H54" s="886"/>
      <c r="I54" s="252">
        <f>SUM(J54:Q54)</f>
        <v>0</v>
      </c>
      <c r="J54" s="902"/>
      <c r="K54" s="902"/>
      <c r="L54" s="904">
        <f>SUM(L52:L53)</f>
        <v>0</v>
      </c>
      <c r="M54" s="889"/>
      <c r="N54" s="900"/>
    </row>
    <row r="55" spans="1:14" s="918" customFormat="1" ht="18" customHeight="1" x14ac:dyDescent="0.3">
      <c r="A55" s="839">
        <v>47</v>
      </c>
      <c r="B55" s="914"/>
      <c r="C55" s="915"/>
      <c r="D55" s="919" t="s">
        <v>530</v>
      </c>
      <c r="E55" s="920"/>
      <c r="F55" s="920"/>
      <c r="G55" s="921"/>
      <c r="H55" s="886" t="s">
        <v>296</v>
      </c>
      <c r="I55" s="887"/>
      <c r="J55" s="889"/>
      <c r="K55" s="889"/>
      <c r="L55" s="924"/>
      <c r="M55" s="889"/>
      <c r="N55" s="900"/>
    </row>
    <row r="56" spans="1:14" s="918" customFormat="1" ht="18" customHeight="1" x14ac:dyDescent="0.3">
      <c r="A56" s="839">
        <v>48</v>
      </c>
      <c r="B56" s="914"/>
      <c r="C56" s="915"/>
      <c r="D56" s="922" t="s">
        <v>230</v>
      </c>
      <c r="E56" s="920"/>
      <c r="F56" s="920"/>
      <c r="G56" s="921"/>
      <c r="H56" s="886"/>
      <c r="I56" s="923">
        <f>SUM(J56:N56)</f>
        <v>5500</v>
      </c>
      <c r="J56" s="889"/>
      <c r="K56" s="889"/>
      <c r="L56" s="924">
        <v>5500</v>
      </c>
      <c r="M56" s="889"/>
      <c r="N56" s="900"/>
    </row>
    <row r="57" spans="1:14" s="918" customFormat="1" ht="18" customHeight="1" x14ac:dyDescent="0.3">
      <c r="A57" s="839">
        <v>49</v>
      </c>
      <c r="B57" s="914"/>
      <c r="C57" s="915"/>
      <c r="D57" s="925" t="s">
        <v>231</v>
      </c>
      <c r="E57" s="920"/>
      <c r="F57" s="920"/>
      <c r="G57" s="921"/>
      <c r="H57" s="886"/>
      <c r="I57" s="920">
        <f>SUM(J57:N57)</f>
        <v>0</v>
      </c>
      <c r="J57" s="902"/>
      <c r="K57" s="902"/>
      <c r="L57" s="904">
        <v>0</v>
      </c>
      <c r="M57" s="889"/>
      <c r="N57" s="900"/>
    </row>
    <row r="58" spans="1:14" s="918" customFormat="1" ht="18" customHeight="1" x14ac:dyDescent="0.3">
      <c r="A58" s="839">
        <v>50</v>
      </c>
      <c r="B58" s="914"/>
      <c r="C58" s="915"/>
      <c r="D58" s="925" t="s">
        <v>232</v>
      </c>
      <c r="E58" s="920"/>
      <c r="F58" s="920"/>
      <c r="G58" s="921"/>
      <c r="H58" s="886"/>
      <c r="I58" s="272">
        <f>SUM(J58:Q58)</f>
        <v>0</v>
      </c>
      <c r="J58" s="889"/>
      <c r="K58" s="889"/>
      <c r="L58" s="904"/>
      <c r="M58" s="889"/>
      <c r="N58" s="900"/>
    </row>
    <row r="59" spans="1:14" s="918" customFormat="1" ht="18" customHeight="1" x14ac:dyDescent="0.3">
      <c r="A59" s="839">
        <v>51</v>
      </c>
      <c r="B59" s="914"/>
      <c r="C59" s="915"/>
      <c r="D59" s="925" t="s">
        <v>233</v>
      </c>
      <c r="E59" s="920"/>
      <c r="F59" s="920"/>
      <c r="G59" s="921"/>
      <c r="H59" s="886"/>
      <c r="I59" s="252">
        <f>SUM(J59:Q59)</f>
        <v>0</v>
      </c>
      <c r="J59" s="902"/>
      <c r="K59" s="902"/>
      <c r="L59" s="904">
        <f>SUM(L57:L58)</f>
        <v>0</v>
      </c>
      <c r="M59" s="889"/>
      <c r="N59" s="900"/>
    </row>
    <row r="60" spans="1:14" s="918" customFormat="1" ht="18" customHeight="1" x14ac:dyDescent="0.3">
      <c r="A60" s="839">
        <v>52</v>
      </c>
      <c r="B60" s="914"/>
      <c r="C60" s="915"/>
      <c r="D60" s="919" t="s">
        <v>531</v>
      </c>
      <c r="E60" s="920"/>
      <c r="F60" s="920"/>
      <c r="G60" s="921"/>
      <c r="H60" s="886" t="s">
        <v>106</v>
      </c>
      <c r="I60" s="887"/>
      <c r="J60" s="889"/>
      <c r="K60" s="889"/>
      <c r="L60" s="924"/>
      <c r="M60" s="889"/>
      <c r="N60" s="900"/>
    </row>
    <row r="61" spans="1:14" s="918" customFormat="1" ht="18" customHeight="1" x14ac:dyDescent="0.3">
      <c r="A61" s="839">
        <v>53</v>
      </c>
      <c r="B61" s="914"/>
      <c r="C61" s="915"/>
      <c r="D61" s="922" t="s">
        <v>230</v>
      </c>
      <c r="E61" s="920"/>
      <c r="F61" s="920"/>
      <c r="G61" s="921"/>
      <c r="H61" s="886"/>
      <c r="I61" s="923">
        <f>SUM(J61:N61)</f>
        <v>8500</v>
      </c>
      <c r="J61" s="889"/>
      <c r="K61" s="889"/>
      <c r="L61" s="924">
        <v>8500</v>
      </c>
      <c r="M61" s="889"/>
      <c r="N61" s="900"/>
    </row>
    <row r="62" spans="1:14" s="918" customFormat="1" ht="18" customHeight="1" x14ac:dyDescent="0.3">
      <c r="A62" s="839">
        <v>54</v>
      </c>
      <c r="B62" s="914"/>
      <c r="C62" s="915"/>
      <c r="D62" s="925" t="s">
        <v>231</v>
      </c>
      <c r="E62" s="920"/>
      <c r="F62" s="920"/>
      <c r="G62" s="921"/>
      <c r="H62" s="886"/>
      <c r="I62" s="920">
        <f>SUM(J62:N62)</f>
        <v>0</v>
      </c>
      <c r="J62" s="902"/>
      <c r="K62" s="902"/>
      <c r="L62" s="904">
        <v>0</v>
      </c>
      <c r="M62" s="889"/>
      <c r="N62" s="900"/>
    </row>
    <row r="63" spans="1:14" s="918" customFormat="1" ht="18" customHeight="1" x14ac:dyDescent="0.3">
      <c r="A63" s="839">
        <v>55</v>
      </c>
      <c r="B63" s="914"/>
      <c r="C63" s="915"/>
      <c r="D63" s="925" t="s">
        <v>232</v>
      </c>
      <c r="E63" s="920"/>
      <c r="F63" s="920"/>
      <c r="G63" s="921"/>
      <c r="H63" s="886"/>
      <c r="I63" s="272">
        <f>SUM(J63:Q63)</f>
        <v>0</v>
      </c>
      <c r="J63" s="889"/>
      <c r="K63" s="889"/>
      <c r="L63" s="904"/>
      <c r="M63" s="889"/>
      <c r="N63" s="900"/>
    </row>
    <row r="64" spans="1:14" s="918" customFormat="1" ht="18" customHeight="1" x14ac:dyDescent="0.3">
      <c r="A64" s="839">
        <v>56</v>
      </c>
      <c r="B64" s="914"/>
      <c r="C64" s="915"/>
      <c r="D64" s="925" t="s">
        <v>233</v>
      </c>
      <c r="E64" s="920"/>
      <c r="F64" s="920"/>
      <c r="G64" s="921"/>
      <c r="H64" s="886"/>
      <c r="I64" s="252">
        <f>SUM(J64:Q64)</f>
        <v>0</v>
      </c>
      <c r="J64" s="902"/>
      <c r="K64" s="902"/>
      <c r="L64" s="904">
        <f>SUM(L62:L63)</f>
        <v>0</v>
      </c>
      <c r="M64" s="889"/>
      <c r="N64" s="900"/>
    </row>
    <row r="65" spans="1:14" s="918" customFormat="1" ht="18" customHeight="1" x14ac:dyDescent="0.3">
      <c r="A65" s="839">
        <v>57</v>
      </c>
      <c r="B65" s="914"/>
      <c r="C65" s="915"/>
      <c r="D65" s="919" t="s">
        <v>532</v>
      </c>
      <c r="E65" s="920"/>
      <c r="F65" s="920"/>
      <c r="G65" s="921"/>
      <c r="H65" s="886" t="s">
        <v>296</v>
      </c>
      <c r="I65" s="887"/>
      <c r="J65" s="889"/>
      <c r="K65" s="889"/>
      <c r="L65" s="924"/>
      <c r="M65" s="889"/>
      <c r="N65" s="900"/>
    </row>
    <row r="66" spans="1:14" s="918" customFormat="1" ht="18" customHeight="1" x14ac:dyDescent="0.3">
      <c r="A66" s="839">
        <v>58</v>
      </c>
      <c r="B66" s="914"/>
      <c r="C66" s="915"/>
      <c r="D66" s="922" t="s">
        <v>230</v>
      </c>
      <c r="E66" s="920"/>
      <c r="F66" s="920"/>
      <c r="G66" s="921"/>
      <c r="H66" s="886"/>
      <c r="I66" s="923">
        <f>SUM(J66:N66)</f>
        <v>4000</v>
      </c>
      <c r="J66" s="889"/>
      <c r="K66" s="889"/>
      <c r="L66" s="924">
        <v>4000</v>
      </c>
      <c r="M66" s="889"/>
      <c r="N66" s="900"/>
    </row>
    <row r="67" spans="1:14" s="918" customFormat="1" ht="18" customHeight="1" x14ac:dyDescent="0.3">
      <c r="A67" s="839">
        <v>59</v>
      </c>
      <c r="B67" s="914"/>
      <c r="C67" s="915"/>
      <c r="D67" s="925" t="s">
        <v>231</v>
      </c>
      <c r="E67" s="920"/>
      <c r="F67" s="920"/>
      <c r="G67" s="921"/>
      <c r="H67" s="886"/>
      <c r="I67" s="920">
        <f>SUM(J67:N67)</f>
        <v>3775</v>
      </c>
      <c r="J67" s="902"/>
      <c r="K67" s="902"/>
      <c r="L67" s="904">
        <v>3775</v>
      </c>
      <c r="M67" s="889"/>
      <c r="N67" s="900"/>
    </row>
    <row r="68" spans="1:14" s="918" customFormat="1" ht="18" customHeight="1" x14ac:dyDescent="0.3">
      <c r="A68" s="839">
        <v>60</v>
      </c>
      <c r="B68" s="914"/>
      <c r="C68" s="915"/>
      <c r="D68" s="925" t="s">
        <v>232</v>
      </c>
      <c r="E68" s="920"/>
      <c r="F68" s="920"/>
      <c r="G68" s="921"/>
      <c r="H68" s="886"/>
      <c r="I68" s="272">
        <f>SUM(J68:Q68)</f>
        <v>0</v>
      </c>
      <c r="J68" s="889"/>
      <c r="K68" s="889"/>
      <c r="L68" s="904"/>
      <c r="M68" s="889"/>
      <c r="N68" s="900"/>
    </row>
    <row r="69" spans="1:14" s="918" customFormat="1" ht="18" customHeight="1" x14ac:dyDescent="0.3">
      <c r="A69" s="839">
        <v>61</v>
      </c>
      <c r="B69" s="914"/>
      <c r="C69" s="915"/>
      <c r="D69" s="925" t="s">
        <v>233</v>
      </c>
      <c r="E69" s="920"/>
      <c r="F69" s="920"/>
      <c r="G69" s="921"/>
      <c r="H69" s="886"/>
      <c r="I69" s="252">
        <f>SUM(J69:Q69)</f>
        <v>3775</v>
      </c>
      <c r="J69" s="902"/>
      <c r="K69" s="902"/>
      <c r="L69" s="904">
        <f>SUM(L67:L68)</f>
        <v>3775</v>
      </c>
      <c r="M69" s="889"/>
      <c r="N69" s="900"/>
    </row>
    <row r="70" spans="1:14" s="918" customFormat="1" ht="18" customHeight="1" x14ac:dyDescent="0.3">
      <c r="A70" s="839">
        <v>62</v>
      </c>
      <c r="B70" s="914"/>
      <c r="C70" s="915"/>
      <c r="D70" s="919" t="s">
        <v>533</v>
      </c>
      <c r="E70" s="920"/>
      <c r="F70" s="920"/>
      <c r="G70" s="921"/>
      <c r="H70" s="886" t="s">
        <v>106</v>
      </c>
      <c r="I70" s="887"/>
      <c r="J70" s="889"/>
      <c r="K70" s="889"/>
      <c r="L70" s="924"/>
      <c r="M70" s="889"/>
      <c r="N70" s="900"/>
    </row>
    <row r="71" spans="1:14" s="918" customFormat="1" ht="18" customHeight="1" x14ac:dyDescent="0.3">
      <c r="A71" s="839">
        <v>63</v>
      </c>
      <c r="B71" s="914"/>
      <c r="C71" s="915"/>
      <c r="D71" s="922" t="s">
        <v>230</v>
      </c>
      <c r="E71" s="920"/>
      <c r="F71" s="920"/>
      <c r="G71" s="921"/>
      <c r="H71" s="886"/>
      <c r="I71" s="923">
        <f>SUM(J71:N71)</f>
        <v>2500</v>
      </c>
      <c r="J71" s="889"/>
      <c r="K71" s="889"/>
      <c r="L71" s="924">
        <v>2500</v>
      </c>
      <c r="M71" s="889"/>
      <c r="N71" s="900"/>
    </row>
    <row r="72" spans="1:14" s="918" customFormat="1" ht="18" customHeight="1" x14ac:dyDescent="0.3">
      <c r="A72" s="839">
        <v>64</v>
      </c>
      <c r="B72" s="914"/>
      <c r="C72" s="915"/>
      <c r="D72" s="925" t="s">
        <v>231</v>
      </c>
      <c r="E72" s="920"/>
      <c r="F72" s="920"/>
      <c r="G72" s="921"/>
      <c r="H72" s="886"/>
      <c r="I72" s="920">
        <f>SUM(J72:N72)</f>
        <v>2740</v>
      </c>
      <c r="J72" s="902"/>
      <c r="K72" s="902"/>
      <c r="L72" s="904">
        <v>2740</v>
      </c>
      <c r="M72" s="889"/>
      <c r="N72" s="900"/>
    </row>
    <row r="73" spans="1:14" s="918" customFormat="1" ht="18" customHeight="1" x14ac:dyDescent="0.3">
      <c r="A73" s="839">
        <v>65</v>
      </c>
      <c r="B73" s="914"/>
      <c r="C73" s="915"/>
      <c r="D73" s="925" t="s">
        <v>232</v>
      </c>
      <c r="E73" s="920"/>
      <c r="F73" s="920"/>
      <c r="G73" s="921"/>
      <c r="H73" s="886"/>
      <c r="I73" s="272">
        <f>SUM(J73:Q73)</f>
        <v>0</v>
      </c>
      <c r="J73" s="889"/>
      <c r="K73" s="889"/>
      <c r="L73" s="904"/>
      <c r="M73" s="889"/>
      <c r="N73" s="900"/>
    </row>
    <row r="74" spans="1:14" s="918" customFormat="1" ht="18" customHeight="1" x14ac:dyDescent="0.3">
      <c r="A74" s="839">
        <v>66</v>
      </c>
      <c r="B74" s="914"/>
      <c r="C74" s="915"/>
      <c r="D74" s="925" t="s">
        <v>233</v>
      </c>
      <c r="E74" s="920"/>
      <c r="F74" s="920"/>
      <c r="G74" s="921"/>
      <c r="H74" s="886"/>
      <c r="I74" s="252">
        <f>SUM(J74:Q74)</f>
        <v>2740</v>
      </c>
      <c r="J74" s="902"/>
      <c r="K74" s="902"/>
      <c r="L74" s="904">
        <f>SUM(L72:L73)</f>
        <v>2740</v>
      </c>
      <c r="M74" s="889"/>
      <c r="N74" s="900"/>
    </row>
    <row r="75" spans="1:14" s="918" customFormat="1" ht="18" customHeight="1" x14ac:dyDescent="0.3">
      <c r="A75" s="839">
        <v>67</v>
      </c>
      <c r="B75" s="914"/>
      <c r="C75" s="915"/>
      <c r="D75" s="919" t="s">
        <v>534</v>
      </c>
      <c r="E75" s="920"/>
      <c r="F75" s="920"/>
      <c r="G75" s="921"/>
      <c r="H75" s="886" t="s">
        <v>296</v>
      </c>
      <c r="I75" s="887"/>
      <c r="J75" s="889"/>
      <c r="K75" s="889"/>
      <c r="L75" s="924"/>
      <c r="M75" s="889"/>
      <c r="N75" s="900"/>
    </row>
    <row r="76" spans="1:14" s="918" customFormat="1" ht="18" customHeight="1" x14ac:dyDescent="0.3">
      <c r="A76" s="839">
        <v>68</v>
      </c>
      <c r="B76" s="914"/>
      <c r="C76" s="915"/>
      <c r="D76" s="922" t="s">
        <v>230</v>
      </c>
      <c r="E76" s="920"/>
      <c r="F76" s="920"/>
      <c r="G76" s="921"/>
      <c r="H76" s="886"/>
      <c r="I76" s="923">
        <f>SUM(J76:N76)</f>
        <v>4000</v>
      </c>
      <c r="J76" s="889"/>
      <c r="K76" s="889"/>
      <c r="L76" s="924">
        <v>4000</v>
      </c>
      <c r="M76" s="889"/>
      <c r="N76" s="900"/>
    </row>
    <row r="77" spans="1:14" s="918" customFormat="1" ht="18" customHeight="1" x14ac:dyDescent="0.3">
      <c r="A77" s="839">
        <v>69</v>
      </c>
      <c r="B77" s="914"/>
      <c r="C77" s="915"/>
      <c r="D77" s="925" t="s">
        <v>231</v>
      </c>
      <c r="E77" s="920"/>
      <c r="F77" s="920"/>
      <c r="G77" s="921"/>
      <c r="H77" s="886"/>
      <c r="I77" s="920">
        <f>SUM(J77:N77)</f>
        <v>3775</v>
      </c>
      <c r="J77" s="902"/>
      <c r="K77" s="902"/>
      <c r="L77" s="904">
        <v>3775</v>
      </c>
      <c r="M77" s="889"/>
      <c r="N77" s="900"/>
    </row>
    <row r="78" spans="1:14" s="918" customFormat="1" ht="18" customHeight="1" x14ac:dyDescent="0.3">
      <c r="A78" s="839">
        <v>70</v>
      </c>
      <c r="B78" s="914"/>
      <c r="C78" s="915"/>
      <c r="D78" s="925" t="s">
        <v>232</v>
      </c>
      <c r="E78" s="920"/>
      <c r="F78" s="920"/>
      <c r="G78" s="921"/>
      <c r="H78" s="886"/>
      <c r="I78" s="272">
        <f>SUM(J78:Q78)</f>
        <v>0</v>
      </c>
      <c r="J78" s="889"/>
      <c r="K78" s="889"/>
      <c r="L78" s="904"/>
      <c r="M78" s="889"/>
      <c r="N78" s="900"/>
    </row>
    <row r="79" spans="1:14" s="918" customFormat="1" ht="18" customHeight="1" x14ac:dyDescent="0.3">
      <c r="A79" s="839">
        <v>71</v>
      </c>
      <c r="B79" s="914"/>
      <c r="C79" s="915"/>
      <c r="D79" s="925" t="s">
        <v>233</v>
      </c>
      <c r="E79" s="920"/>
      <c r="F79" s="920"/>
      <c r="G79" s="921"/>
      <c r="H79" s="886"/>
      <c r="I79" s="252">
        <f>SUM(J79:Q79)</f>
        <v>3775</v>
      </c>
      <c r="J79" s="902"/>
      <c r="K79" s="902"/>
      <c r="L79" s="904">
        <f>SUM(L77:L78)</f>
        <v>3775</v>
      </c>
      <c r="M79" s="889"/>
      <c r="N79" s="900"/>
    </row>
    <row r="80" spans="1:14" s="918" customFormat="1" ht="18" customHeight="1" x14ac:dyDescent="0.3">
      <c r="A80" s="839">
        <v>72</v>
      </c>
      <c r="B80" s="914"/>
      <c r="C80" s="915"/>
      <c r="D80" s="919" t="s">
        <v>535</v>
      </c>
      <c r="E80" s="920"/>
      <c r="F80" s="920"/>
      <c r="G80" s="921"/>
      <c r="H80" s="886" t="s">
        <v>296</v>
      </c>
      <c r="I80" s="887"/>
      <c r="J80" s="889"/>
      <c r="K80" s="889"/>
      <c r="L80" s="924"/>
      <c r="M80" s="889"/>
      <c r="N80" s="900"/>
    </row>
    <row r="81" spans="1:16" s="918" customFormat="1" ht="18" customHeight="1" x14ac:dyDescent="0.3">
      <c r="A81" s="839">
        <v>73</v>
      </c>
      <c r="B81" s="914"/>
      <c r="C81" s="915"/>
      <c r="D81" s="922" t="s">
        <v>230</v>
      </c>
      <c r="E81" s="920"/>
      <c r="F81" s="920"/>
      <c r="G81" s="921"/>
      <c r="H81" s="886"/>
      <c r="I81" s="923">
        <f>SUM(J81:N81)</f>
        <v>3500</v>
      </c>
      <c r="J81" s="889"/>
      <c r="K81" s="889"/>
      <c r="L81" s="924">
        <v>3500</v>
      </c>
      <c r="M81" s="889"/>
      <c r="N81" s="900"/>
    </row>
    <row r="82" spans="1:16" s="918" customFormat="1" ht="18" customHeight="1" x14ac:dyDescent="0.3">
      <c r="A82" s="839">
        <v>74</v>
      </c>
      <c r="B82" s="914"/>
      <c r="C82" s="915"/>
      <c r="D82" s="925" t="s">
        <v>231</v>
      </c>
      <c r="E82" s="920"/>
      <c r="F82" s="920"/>
      <c r="G82" s="921"/>
      <c r="H82" s="886"/>
      <c r="I82" s="920">
        <f>SUM(J82:N82)</f>
        <v>0</v>
      </c>
      <c r="J82" s="902"/>
      <c r="K82" s="902"/>
      <c r="L82" s="904">
        <v>0</v>
      </c>
      <c r="M82" s="889"/>
      <c r="N82" s="900"/>
    </row>
    <row r="83" spans="1:16" s="918" customFormat="1" ht="18" customHeight="1" x14ac:dyDescent="0.3">
      <c r="A83" s="839">
        <v>75</v>
      </c>
      <c r="B83" s="914"/>
      <c r="C83" s="915"/>
      <c r="D83" s="925" t="s">
        <v>232</v>
      </c>
      <c r="E83" s="920"/>
      <c r="F83" s="920"/>
      <c r="G83" s="921"/>
      <c r="H83" s="886"/>
      <c r="I83" s="272">
        <f>SUM(J83:Q83)</f>
        <v>0</v>
      </c>
      <c r="J83" s="889"/>
      <c r="K83" s="889"/>
      <c r="L83" s="904"/>
      <c r="M83" s="889"/>
      <c r="N83" s="900"/>
    </row>
    <row r="84" spans="1:16" s="918" customFormat="1" ht="18" customHeight="1" x14ac:dyDescent="0.3">
      <c r="A84" s="839">
        <v>76</v>
      </c>
      <c r="B84" s="914"/>
      <c r="C84" s="915"/>
      <c r="D84" s="925" t="s">
        <v>233</v>
      </c>
      <c r="E84" s="920"/>
      <c r="F84" s="920"/>
      <c r="G84" s="921"/>
      <c r="H84" s="886"/>
      <c r="I84" s="252">
        <f>SUM(J84:Q84)</f>
        <v>0</v>
      </c>
      <c r="J84" s="902"/>
      <c r="K84" s="902"/>
      <c r="L84" s="904">
        <f>SUM(L82:L83)</f>
        <v>0</v>
      </c>
      <c r="M84" s="889"/>
      <c r="N84" s="900"/>
    </row>
    <row r="85" spans="1:16" s="918" customFormat="1" ht="18" customHeight="1" x14ac:dyDescent="0.3">
      <c r="A85" s="839">
        <v>77</v>
      </c>
      <c r="B85" s="914"/>
      <c r="C85" s="915"/>
      <c r="D85" s="919" t="s">
        <v>536</v>
      </c>
      <c r="E85" s="920"/>
      <c r="F85" s="920"/>
      <c r="G85" s="921"/>
      <c r="H85" s="886" t="s">
        <v>296</v>
      </c>
      <c r="I85" s="252"/>
      <c r="J85" s="902"/>
      <c r="K85" s="902"/>
      <c r="L85" s="904"/>
      <c r="M85" s="889"/>
      <c r="N85" s="900"/>
    </row>
    <row r="86" spans="1:16" s="918" customFormat="1" ht="18" customHeight="1" x14ac:dyDescent="0.3">
      <c r="A86" s="839">
        <v>78</v>
      </c>
      <c r="B86" s="914"/>
      <c r="C86" s="915"/>
      <c r="D86" s="925" t="s">
        <v>231</v>
      </c>
      <c r="E86" s="920"/>
      <c r="F86" s="920"/>
      <c r="G86" s="921"/>
      <c r="H86" s="886"/>
      <c r="I86" s="920">
        <f>SUM(J86:N86)</f>
        <v>0</v>
      </c>
      <c r="J86" s="902"/>
      <c r="K86" s="902"/>
      <c r="L86" s="904">
        <v>0</v>
      </c>
      <c r="M86" s="889"/>
      <c r="N86" s="900"/>
    </row>
    <row r="87" spans="1:16" s="918" customFormat="1" ht="18" customHeight="1" x14ac:dyDescent="0.3">
      <c r="A87" s="839">
        <v>79</v>
      </c>
      <c r="B87" s="914"/>
      <c r="C87" s="915"/>
      <c r="D87" s="925" t="s">
        <v>232</v>
      </c>
      <c r="E87" s="920"/>
      <c r="F87" s="920"/>
      <c r="G87" s="921"/>
      <c r="H87" s="886"/>
      <c r="I87" s="272">
        <f>SUM(J87:Q87)</f>
        <v>0</v>
      </c>
      <c r="J87" s="902"/>
      <c r="K87" s="902"/>
      <c r="L87" s="904"/>
      <c r="M87" s="889"/>
      <c r="N87" s="900"/>
    </row>
    <row r="88" spans="1:16" s="918" customFormat="1" ht="18" customHeight="1" x14ac:dyDescent="0.3">
      <c r="A88" s="839">
        <v>80</v>
      </c>
      <c r="B88" s="914"/>
      <c r="C88" s="915"/>
      <c r="D88" s="925" t="s">
        <v>233</v>
      </c>
      <c r="E88" s="920"/>
      <c r="F88" s="920"/>
      <c r="G88" s="921"/>
      <c r="H88" s="886"/>
      <c r="I88" s="252">
        <f>SUM(J88:Q88)</f>
        <v>0</v>
      </c>
      <c r="J88" s="902"/>
      <c r="K88" s="902"/>
      <c r="L88" s="904">
        <f>SUM(L86:L87)</f>
        <v>0</v>
      </c>
      <c r="M88" s="889"/>
      <c r="N88" s="900"/>
    </row>
    <row r="89" spans="1:16" s="840" customFormat="1" ht="22.5" customHeight="1" x14ac:dyDescent="0.3">
      <c r="A89" s="839">
        <v>81</v>
      </c>
      <c r="B89" s="897"/>
      <c r="C89" s="882">
        <v>7</v>
      </c>
      <c r="D89" s="898" t="s">
        <v>537</v>
      </c>
      <c r="E89" s="884">
        <f>SUM(E94,E99,E104,E109,E114)+E119+E124</f>
        <v>78500</v>
      </c>
      <c r="F89" s="884">
        <f>SUM(F94,F99,F104,F109,F114,F119,F124)</f>
        <v>40000</v>
      </c>
      <c r="G89" s="884">
        <f>SUM(G94,G99,G104,G109,G114,G119,G124)</f>
        <v>122000</v>
      </c>
      <c r="H89" s="886" t="s">
        <v>296</v>
      </c>
      <c r="I89" s="907"/>
      <c r="J89" s="908"/>
      <c r="K89" s="908"/>
      <c r="L89" s="908"/>
      <c r="M89" s="908"/>
      <c r="N89" s="909"/>
      <c r="O89" s="891"/>
      <c r="P89" s="891"/>
    </row>
    <row r="90" spans="1:16" s="891" customFormat="1" ht="18" customHeight="1" x14ac:dyDescent="0.3">
      <c r="A90" s="839">
        <v>82</v>
      </c>
      <c r="B90" s="881"/>
      <c r="C90" s="882"/>
      <c r="D90" s="883" t="s">
        <v>230</v>
      </c>
      <c r="E90" s="884"/>
      <c r="F90" s="884"/>
      <c r="G90" s="885"/>
      <c r="H90" s="886"/>
      <c r="I90" s="887">
        <f>SUM(J90:N90)</f>
        <v>203000</v>
      </c>
      <c r="J90" s="889">
        <f>SUM(J100,J120,)+J95+J105+J110+J115+J125+J130+J135+J140</f>
        <v>0</v>
      </c>
      <c r="K90" s="889">
        <f>SUM(K100,K120,)+K95+K105+K110+K115+K125+K130+K135+K140</f>
        <v>0</v>
      </c>
      <c r="L90" s="889">
        <f>SUM(L100,L120,)+L95+L105+L110+L115+L125+L130+L135+L140</f>
        <v>0</v>
      </c>
      <c r="M90" s="889">
        <f>SUM(M100,M120,)+M95+M105+M110+M115+M125+M130+M135+M140</f>
        <v>0</v>
      </c>
      <c r="N90" s="900">
        <f>SUM(N100,N120,)+N95+N105+N110+N115+N125+N130+N135+N140</f>
        <v>203000</v>
      </c>
    </row>
    <row r="91" spans="1:16" s="891" customFormat="1" ht="18" customHeight="1" x14ac:dyDescent="0.3">
      <c r="A91" s="839">
        <v>83</v>
      </c>
      <c r="B91" s="881"/>
      <c r="C91" s="882"/>
      <c r="D91" s="266" t="s">
        <v>231</v>
      </c>
      <c r="E91" s="884"/>
      <c r="F91" s="884"/>
      <c r="G91" s="885"/>
      <c r="H91" s="886"/>
      <c r="I91" s="878">
        <f>SUM(J91:N91)</f>
        <v>195000</v>
      </c>
      <c r="J91" s="902">
        <f>SUM(J101,J121,)+J96+J106+J111+J116+J126+J131+J136+J141+J145</f>
        <v>0</v>
      </c>
      <c r="K91" s="902">
        <f>SUM(K101,K121,)+K96+K106+K111+K116+K126+K131+K136+K141+K145</f>
        <v>0</v>
      </c>
      <c r="L91" s="902">
        <f>SUM(L101,L121,)+L96+L106+L111+L116+L126+L131+L136+L141+L145</f>
        <v>0</v>
      </c>
      <c r="M91" s="902">
        <f>SUM(M101,M121,)+M96+M106+M111+M116+M126+M131+M136+M141+M145</f>
        <v>0</v>
      </c>
      <c r="N91" s="903">
        <f>SUM(N101,N121,)+N96+N106+N111+N116+N126+N131+N136+N141+N145</f>
        <v>195000</v>
      </c>
    </row>
    <row r="92" spans="1:16" s="891" customFormat="1" ht="18" customHeight="1" x14ac:dyDescent="0.3">
      <c r="A92" s="839">
        <v>84</v>
      </c>
      <c r="B92" s="881"/>
      <c r="C92" s="882"/>
      <c r="D92" s="270" t="s">
        <v>232</v>
      </c>
      <c r="E92" s="884"/>
      <c r="F92" s="884"/>
      <c r="G92" s="885"/>
      <c r="H92" s="886"/>
      <c r="I92" s="272">
        <f>SUM(J92:Q92)</f>
        <v>0</v>
      </c>
      <c r="J92" s="904">
        <f>J97+J102+J107+J112+J117+J122+J127+J132+J137+J142+J146</f>
        <v>0</v>
      </c>
      <c r="K92" s="904">
        <f>K97+K102+K107+K112+K117+K122+K127+K132+K137+K142+K146</f>
        <v>0</v>
      </c>
      <c r="L92" s="904">
        <f>L97+L102+L107+L112+L117+L122+L127+L132+L137+L142+L146</f>
        <v>0</v>
      </c>
      <c r="M92" s="904">
        <f>M97+M102+M107+M112+M117+M122+M127+M132+M137+M142+M146</f>
        <v>0</v>
      </c>
      <c r="N92" s="906">
        <f>N97+N102+N107+N112+N117+N122+N127+N132+N137+N142+N146</f>
        <v>0</v>
      </c>
    </row>
    <row r="93" spans="1:16" s="891" customFormat="1" ht="18" customHeight="1" x14ac:dyDescent="0.3">
      <c r="A93" s="839">
        <v>85</v>
      </c>
      <c r="B93" s="881"/>
      <c r="C93" s="882"/>
      <c r="D93" s="266" t="s">
        <v>233</v>
      </c>
      <c r="E93" s="884"/>
      <c r="F93" s="884"/>
      <c r="G93" s="885"/>
      <c r="H93" s="886"/>
      <c r="I93" s="268">
        <f>SUM(J93:Q93)</f>
        <v>195000</v>
      </c>
      <c r="J93" s="902">
        <f>SUM(J91:J92)</f>
        <v>0</v>
      </c>
      <c r="K93" s="902">
        <f>SUM(K91:K92)</f>
        <v>0</v>
      </c>
      <c r="L93" s="902">
        <f>SUM(L91:L92)</f>
        <v>0</v>
      </c>
      <c r="M93" s="902">
        <f>SUM(M91:M92)</f>
        <v>0</v>
      </c>
      <c r="N93" s="903">
        <f>SUM(N91:N92)</f>
        <v>195000</v>
      </c>
    </row>
    <row r="94" spans="1:16" s="930" customFormat="1" ht="18" customHeight="1" x14ac:dyDescent="0.3">
      <c r="A94" s="839">
        <v>86</v>
      </c>
      <c r="B94" s="926"/>
      <c r="C94" s="882"/>
      <c r="D94" s="919" t="s">
        <v>538</v>
      </c>
      <c r="E94" s="920">
        <v>15000</v>
      </c>
      <c r="F94" s="920"/>
      <c r="G94" s="921">
        <v>40000</v>
      </c>
      <c r="H94" s="927"/>
      <c r="I94" s="928"/>
      <c r="J94" s="924"/>
      <c r="K94" s="924"/>
      <c r="L94" s="924"/>
      <c r="M94" s="924"/>
      <c r="N94" s="929"/>
      <c r="P94" s="891"/>
    </row>
    <row r="95" spans="1:16" s="930" customFormat="1" ht="18" customHeight="1" x14ac:dyDescent="0.3">
      <c r="A95" s="839">
        <v>87</v>
      </c>
      <c r="B95" s="926"/>
      <c r="C95" s="882"/>
      <c r="D95" s="922" t="s">
        <v>230</v>
      </c>
      <c r="E95" s="920"/>
      <c r="F95" s="920"/>
      <c r="G95" s="921"/>
      <c r="H95" s="927"/>
      <c r="I95" s="923">
        <f>SUM(J95:N95)</f>
        <v>40000</v>
      </c>
      <c r="J95" s="924"/>
      <c r="K95" s="924"/>
      <c r="L95" s="924"/>
      <c r="M95" s="924"/>
      <c r="N95" s="929">
        <v>40000</v>
      </c>
      <c r="P95" s="891"/>
    </row>
    <row r="96" spans="1:16" s="930" customFormat="1" ht="18" customHeight="1" x14ac:dyDescent="0.3">
      <c r="A96" s="839">
        <v>88</v>
      </c>
      <c r="B96" s="926"/>
      <c r="C96" s="882"/>
      <c r="D96" s="925" t="s">
        <v>231</v>
      </c>
      <c r="E96" s="920"/>
      <c r="F96" s="920"/>
      <c r="G96" s="921"/>
      <c r="H96" s="927"/>
      <c r="I96" s="920">
        <f>SUM(J96:N96)</f>
        <v>40000</v>
      </c>
      <c r="J96" s="904"/>
      <c r="K96" s="904"/>
      <c r="L96" s="904"/>
      <c r="M96" s="904"/>
      <c r="N96" s="906">
        <v>40000</v>
      </c>
      <c r="P96" s="891"/>
    </row>
    <row r="97" spans="1:16" s="930" customFormat="1" ht="18" customHeight="1" x14ac:dyDescent="0.3">
      <c r="A97" s="839">
        <v>89</v>
      </c>
      <c r="B97" s="926"/>
      <c r="C97" s="882"/>
      <c r="D97" s="925" t="s">
        <v>245</v>
      </c>
      <c r="E97" s="920"/>
      <c r="F97" s="920"/>
      <c r="G97" s="921"/>
      <c r="H97" s="927"/>
      <c r="I97" s="272">
        <f>SUM(J97:Q97)</f>
        <v>0</v>
      </c>
      <c r="J97" s="924"/>
      <c r="K97" s="924"/>
      <c r="L97" s="924"/>
      <c r="M97" s="924"/>
      <c r="N97" s="929"/>
      <c r="P97" s="891"/>
    </row>
    <row r="98" spans="1:16" s="930" customFormat="1" ht="18" customHeight="1" x14ac:dyDescent="0.3">
      <c r="A98" s="839">
        <v>90</v>
      </c>
      <c r="B98" s="926"/>
      <c r="C98" s="882"/>
      <c r="D98" s="925" t="s">
        <v>233</v>
      </c>
      <c r="E98" s="920"/>
      <c r="F98" s="920"/>
      <c r="G98" s="921"/>
      <c r="H98" s="927"/>
      <c r="I98" s="252">
        <f>SUM(J98:Q98)</f>
        <v>40000</v>
      </c>
      <c r="J98" s="924"/>
      <c r="K98" s="924"/>
      <c r="L98" s="924"/>
      <c r="M98" s="924"/>
      <c r="N98" s="906">
        <f>SUM(N96:N97)</f>
        <v>40000</v>
      </c>
      <c r="P98" s="891"/>
    </row>
    <row r="99" spans="1:16" s="930" customFormat="1" ht="18" customHeight="1" x14ac:dyDescent="0.3">
      <c r="A99" s="839">
        <v>91</v>
      </c>
      <c r="B99" s="926"/>
      <c r="C99" s="882"/>
      <c r="D99" s="919" t="s">
        <v>539</v>
      </c>
      <c r="E99" s="920">
        <v>20000</v>
      </c>
      <c r="F99" s="920">
        <v>20000</v>
      </c>
      <c r="G99" s="921">
        <v>20000</v>
      </c>
      <c r="H99" s="927"/>
      <c r="I99" s="931"/>
      <c r="J99" s="932"/>
      <c r="K99" s="932"/>
      <c r="L99" s="932"/>
      <c r="M99" s="932"/>
      <c r="N99" s="933"/>
      <c r="P99" s="891"/>
    </row>
    <row r="100" spans="1:16" s="930" customFormat="1" ht="18" customHeight="1" x14ac:dyDescent="0.3">
      <c r="A100" s="839">
        <v>92</v>
      </c>
      <c r="B100" s="926"/>
      <c r="C100" s="882"/>
      <c r="D100" s="922" t="s">
        <v>230</v>
      </c>
      <c r="E100" s="920"/>
      <c r="F100" s="920"/>
      <c r="G100" s="921"/>
      <c r="H100" s="927"/>
      <c r="I100" s="923">
        <f>SUM(J100:N100)</f>
        <v>0</v>
      </c>
      <c r="J100" s="924"/>
      <c r="K100" s="924"/>
      <c r="L100" s="924"/>
      <c r="M100" s="924"/>
      <c r="N100" s="929"/>
      <c r="P100" s="891"/>
    </row>
    <row r="101" spans="1:16" s="930" customFormat="1" ht="18" customHeight="1" x14ac:dyDescent="0.3">
      <c r="A101" s="839">
        <v>93</v>
      </c>
      <c r="B101" s="926"/>
      <c r="C101" s="882"/>
      <c r="D101" s="925" t="s">
        <v>231</v>
      </c>
      <c r="E101" s="920"/>
      <c r="F101" s="920"/>
      <c r="G101" s="921"/>
      <c r="H101" s="927"/>
      <c r="I101" s="923">
        <f>SUM(J101:N101)</f>
        <v>0</v>
      </c>
      <c r="J101" s="924"/>
      <c r="K101" s="924"/>
      <c r="L101" s="924"/>
      <c r="M101" s="924"/>
      <c r="N101" s="929"/>
      <c r="P101" s="891"/>
    </row>
    <row r="102" spans="1:16" s="930" customFormat="1" ht="18" customHeight="1" x14ac:dyDescent="0.3">
      <c r="A102" s="839">
        <v>94</v>
      </c>
      <c r="B102" s="926"/>
      <c r="C102" s="882"/>
      <c r="D102" s="925" t="s">
        <v>245</v>
      </c>
      <c r="E102" s="920"/>
      <c r="F102" s="920"/>
      <c r="G102" s="921"/>
      <c r="H102" s="927"/>
      <c r="I102" s="272">
        <f>SUM(J102:Q102)</f>
        <v>0</v>
      </c>
      <c r="J102" s="924"/>
      <c r="K102" s="924"/>
      <c r="L102" s="924"/>
      <c r="M102" s="924"/>
      <c r="N102" s="929"/>
      <c r="P102" s="891"/>
    </row>
    <row r="103" spans="1:16" s="930" customFormat="1" ht="18" customHeight="1" x14ac:dyDescent="0.3">
      <c r="A103" s="839">
        <v>95</v>
      </c>
      <c r="B103" s="926"/>
      <c r="C103" s="882"/>
      <c r="D103" s="925" t="s">
        <v>233</v>
      </c>
      <c r="E103" s="920"/>
      <c r="F103" s="920"/>
      <c r="G103" s="921"/>
      <c r="H103" s="927"/>
      <c r="I103" s="252">
        <f>SUM(J103:Q103)</f>
        <v>0</v>
      </c>
      <c r="J103" s="924"/>
      <c r="K103" s="924"/>
      <c r="L103" s="924"/>
      <c r="M103" s="924"/>
      <c r="N103" s="929"/>
      <c r="P103" s="891"/>
    </row>
    <row r="104" spans="1:16" s="930" customFormat="1" ht="18" customHeight="1" x14ac:dyDescent="0.3">
      <c r="A104" s="839">
        <v>96</v>
      </c>
      <c r="B104" s="926"/>
      <c r="C104" s="882"/>
      <c r="D104" s="919" t="s">
        <v>540</v>
      </c>
      <c r="E104" s="920">
        <v>1000</v>
      </c>
      <c r="F104" s="920"/>
      <c r="G104" s="921">
        <v>5000</v>
      </c>
      <c r="H104" s="927"/>
      <c r="I104" s="931"/>
      <c r="J104" s="932"/>
      <c r="K104" s="932"/>
      <c r="L104" s="932"/>
      <c r="M104" s="932"/>
      <c r="N104" s="933"/>
      <c r="P104" s="891"/>
    </row>
    <row r="105" spans="1:16" s="930" customFormat="1" ht="18" customHeight="1" x14ac:dyDescent="0.3">
      <c r="A105" s="839">
        <v>97</v>
      </c>
      <c r="B105" s="926"/>
      <c r="C105" s="882"/>
      <c r="D105" s="922" t="s">
        <v>230</v>
      </c>
      <c r="E105" s="920"/>
      <c r="F105" s="920"/>
      <c r="G105" s="921"/>
      <c r="H105" s="927"/>
      <c r="I105" s="923">
        <f>SUM(J105:N105)</f>
        <v>20000</v>
      </c>
      <c r="J105" s="932"/>
      <c r="K105" s="932"/>
      <c r="L105" s="932"/>
      <c r="M105" s="932"/>
      <c r="N105" s="933">
        <v>20000</v>
      </c>
      <c r="P105" s="891"/>
    </row>
    <row r="106" spans="1:16" s="930" customFormat="1" ht="18" customHeight="1" x14ac:dyDescent="0.3">
      <c r="A106" s="839">
        <v>98</v>
      </c>
      <c r="B106" s="926"/>
      <c r="C106" s="882"/>
      <c r="D106" s="925" t="s">
        <v>231</v>
      </c>
      <c r="E106" s="920"/>
      <c r="F106" s="920"/>
      <c r="G106" s="921"/>
      <c r="H106" s="927"/>
      <c r="I106" s="920">
        <f>SUM(J106:N106)</f>
        <v>20000</v>
      </c>
      <c r="J106" s="934"/>
      <c r="K106" s="934"/>
      <c r="L106" s="934"/>
      <c r="M106" s="934"/>
      <c r="N106" s="935">
        <v>20000</v>
      </c>
      <c r="P106" s="891"/>
    </row>
    <row r="107" spans="1:16" s="930" customFormat="1" ht="18" customHeight="1" x14ac:dyDescent="0.3">
      <c r="A107" s="839">
        <v>99</v>
      </c>
      <c r="B107" s="926"/>
      <c r="C107" s="882"/>
      <c r="D107" s="925" t="s">
        <v>245</v>
      </c>
      <c r="E107" s="920"/>
      <c r="F107" s="920"/>
      <c r="G107" s="921"/>
      <c r="H107" s="927"/>
      <c r="I107" s="272">
        <f>SUM(J107:Q107)</f>
        <v>0</v>
      </c>
      <c r="J107" s="932"/>
      <c r="K107" s="932"/>
      <c r="L107" s="932"/>
      <c r="M107" s="932"/>
      <c r="N107" s="933"/>
      <c r="P107" s="891"/>
    </row>
    <row r="108" spans="1:16" s="930" customFormat="1" ht="18" customHeight="1" x14ac:dyDescent="0.3">
      <c r="A108" s="839">
        <v>100</v>
      </c>
      <c r="B108" s="926"/>
      <c r="C108" s="882"/>
      <c r="D108" s="925" t="s">
        <v>233</v>
      </c>
      <c r="E108" s="920"/>
      <c r="F108" s="920"/>
      <c r="G108" s="921"/>
      <c r="H108" s="927"/>
      <c r="I108" s="252">
        <f>SUM(J108:Q108)</f>
        <v>20000</v>
      </c>
      <c r="J108" s="932"/>
      <c r="K108" s="932"/>
      <c r="L108" s="932"/>
      <c r="M108" s="932"/>
      <c r="N108" s="935">
        <f>SUM(N106:N107)</f>
        <v>20000</v>
      </c>
      <c r="P108" s="891"/>
    </row>
    <row r="109" spans="1:16" s="930" customFormat="1" ht="18" customHeight="1" x14ac:dyDescent="0.3">
      <c r="A109" s="839">
        <v>101</v>
      </c>
      <c r="B109" s="926"/>
      <c r="C109" s="882"/>
      <c r="D109" s="919" t="s">
        <v>541</v>
      </c>
      <c r="E109" s="920">
        <v>7500</v>
      </c>
      <c r="F109" s="920"/>
      <c r="G109" s="921">
        <v>15000</v>
      </c>
      <c r="H109" s="927"/>
      <c r="I109" s="931"/>
      <c r="J109" s="932"/>
      <c r="K109" s="932"/>
      <c r="L109" s="932"/>
      <c r="M109" s="932"/>
      <c r="N109" s="933"/>
      <c r="P109" s="891"/>
    </row>
    <row r="110" spans="1:16" s="930" customFormat="1" ht="18" customHeight="1" x14ac:dyDescent="0.3">
      <c r="A110" s="839">
        <v>102</v>
      </c>
      <c r="B110" s="926"/>
      <c r="C110" s="882"/>
      <c r="D110" s="922" t="s">
        <v>230</v>
      </c>
      <c r="E110" s="920"/>
      <c r="F110" s="920"/>
      <c r="G110" s="921"/>
      <c r="H110" s="927"/>
      <c r="I110" s="923">
        <f>SUM(J110:N110)</f>
        <v>30000</v>
      </c>
      <c r="J110" s="932"/>
      <c r="K110" s="932"/>
      <c r="L110" s="932"/>
      <c r="M110" s="932"/>
      <c r="N110" s="933">
        <v>30000</v>
      </c>
      <c r="P110" s="891"/>
    </row>
    <row r="111" spans="1:16" s="930" customFormat="1" ht="18" customHeight="1" x14ac:dyDescent="0.3">
      <c r="A111" s="839">
        <v>103</v>
      </c>
      <c r="B111" s="926"/>
      <c r="C111" s="882"/>
      <c r="D111" s="925" t="s">
        <v>231</v>
      </c>
      <c r="E111" s="920"/>
      <c r="F111" s="920"/>
      <c r="G111" s="921"/>
      <c r="H111" s="927"/>
      <c r="I111" s="920">
        <f>SUM(J111:N111)</f>
        <v>65000</v>
      </c>
      <c r="J111" s="934"/>
      <c r="K111" s="934"/>
      <c r="L111" s="934"/>
      <c r="M111" s="934"/>
      <c r="N111" s="935">
        <v>65000</v>
      </c>
      <c r="P111" s="891"/>
    </row>
    <row r="112" spans="1:16" s="930" customFormat="1" ht="18" customHeight="1" x14ac:dyDescent="0.3">
      <c r="A112" s="839">
        <v>104</v>
      </c>
      <c r="B112" s="926"/>
      <c r="C112" s="882"/>
      <c r="D112" s="925" t="s">
        <v>245</v>
      </c>
      <c r="E112" s="920"/>
      <c r="F112" s="920"/>
      <c r="G112" s="921"/>
      <c r="H112" s="927"/>
      <c r="I112" s="272">
        <f>SUM(J112:Q112)</f>
        <v>0</v>
      </c>
      <c r="J112" s="932"/>
      <c r="K112" s="932"/>
      <c r="L112" s="932"/>
      <c r="M112" s="932"/>
      <c r="N112" s="935"/>
      <c r="P112" s="891"/>
    </row>
    <row r="113" spans="1:16" s="930" customFormat="1" ht="18" customHeight="1" x14ac:dyDescent="0.3">
      <c r="A113" s="839">
        <v>105</v>
      </c>
      <c r="B113" s="926"/>
      <c r="C113" s="882"/>
      <c r="D113" s="925" t="s">
        <v>233</v>
      </c>
      <c r="E113" s="920"/>
      <c r="F113" s="920"/>
      <c r="G113" s="921"/>
      <c r="H113" s="927"/>
      <c r="I113" s="252">
        <f>SUM(J113:Q113)</f>
        <v>65000</v>
      </c>
      <c r="J113" s="932"/>
      <c r="K113" s="932"/>
      <c r="L113" s="932"/>
      <c r="M113" s="932"/>
      <c r="N113" s="935">
        <f>SUM(N111:N112)</f>
        <v>65000</v>
      </c>
      <c r="P113" s="891"/>
    </row>
    <row r="114" spans="1:16" s="930" customFormat="1" ht="18" customHeight="1" x14ac:dyDescent="0.3">
      <c r="A114" s="839">
        <v>106</v>
      </c>
      <c r="B114" s="926"/>
      <c r="C114" s="882"/>
      <c r="D114" s="919" t="s">
        <v>542</v>
      </c>
      <c r="E114" s="920">
        <v>5000</v>
      </c>
      <c r="F114" s="920"/>
      <c r="G114" s="921">
        <v>10000</v>
      </c>
      <c r="H114" s="927"/>
      <c r="I114" s="931"/>
      <c r="J114" s="932"/>
      <c r="K114" s="932"/>
      <c r="L114" s="932"/>
      <c r="M114" s="932"/>
      <c r="N114" s="933"/>
    </row>
    <row r="115" spans="1:16" s="930" customFormat="1" ht="18" customHeight="1" x14ac:dyDescent="0.3">
      <c r="A115" s="839">
        <v>107</v>
      </c>
      <c r="B115" s="926"/>
      <c r="C115" s="882"/>
      <c r="D115" s="922" t="s">
        <v>230</v>
      </c>
      <c r="E115" s="920"/>
      <c r="F115" s="920"/>
      <c r="G115" s="921"/>
      <c r="H115" s="927"/>
      <c r="I115" s="923">
        <f>SUM(J115:N115)</f>
        <v>40000</v>
      </c>
      <c r="J115" s="932"/>
      <c r="K115" s="932"/>
      <c r="L115" s="932"/>
      <c r="M115" s="932"/>
      <c r="N115" s="933">
        <v>40000</v>
      </c>
    </row>
    <row r="116" spans="1:16" s="930" customFormat="1" ht="18" customHeight="1" x14ac:dyDescent="0.3">
      <c r="A116" s="839">
        <v>108</v>
      </c>
      <c r="B116" s="926"/>
      <c r="C116" s="882"/>
      <c r="D116" s="925" t="s">
        <v>231</v>
      </c>
      <c r="E116" s="920"/>
      <c r="F116" s="920"/>
      <c r="G116" s="921"/>
      <c r="H116" s="927"/>
      <c r="I116" s="920">
        <f>SUM(J116:N116)</f>
        <v>40000</v>
      </c>
      <c r="J116" s="934"/>
      <c r="K116" s="934"/>
      <c r="L116" s="934"/>
      <c r="M116" s="934"/>
      <c r="N116" s="935">
        <v>40000</v>
      </c>
    </row>
    <row r="117" spans="1:16" s="930" customFormat="1" ht="18" customHeight="1" x14ac:dyDescent="0.3">
      <c r="A117" s="839">
        <v>109</v>
      </c>
      <c r="B117" s="926"/>
      <c r="C117" s="882"/>
      <c r="D117" s="925" t="s">
        <v>245</v>
      </c>
      <c r="E117" s="920"/>
      <c r="F117" s="920"/>
      <c r="G117" s="921"/>
      <c r="H117" s="927"/>
      <c r="I117" s="272">
        <f>SUM(J117:Q117)</f>
        <v>0</v>
      </c>
      <c r="J117" s="932"/>
      <c r="K117" s="932"/>
      <c r="L117" s="932"/>
      <c r="M117" s="932"/>
      <c r="N117" s="933"/>
    </row>
    <row r="118" spans="1:16" s="930" customFormat="1" ht="18" customHeight="1" x14ac:dyDescent="0.3">
      <c r="A118" s="839">
        <v>110</v>
      </c>
      <c r="B118" s="926"/>
      <c r="C118" s="882"/>
      <c r="D118" s="925" t="s">
        <v>233</v>
      </c>
      <c r="E118" s="920"/>
      <c r="F118" s="920"/>
      <c r="G118" s="921"/>
      <c r="H118" s="927"/>
      <c r="I118" s="252">
        <f>SUM(J118:Q118)</f>
        <v>40000</v>
      </c>
      <c r="J118" s="932"/>
      <c r="K118" s="932"/>
      <c r="L118" s="932"/>
      <c r="M118" s="932"/>
      <c r="N118" s="935">
        <f>SUM(N116:N117)</f>
        <v>40000</v>
      </c>
    </row>
    <row r="119" spans="1:16" s="930" customFormat="1" ht="18" customHeight="1" x14ac:dyDescent="0.3">
      <c r="A119" s="839">
        <v>111</v>
      </c>
      <c r="B119" s="926"/>
      <c r="C119" s="882"/>
      <c r="D119" s="919" t="s">
        <v>543</v>
      </c>
      <c r="E119" s="920">
        <v>20000</v>
      </c>
      <c r="F119" s="920">
        <v>20000</v>
      </c>
      <c r="G119" s="921">
        <v>20000</v>
      </c>
      <c r="H119" s="927"/>
      <c r="I119" s="928"/>
      <c r="J119" s="924"/>
      <c r="K119" s="924"/>
      <c r="L119" s="924"/>
      <c r="M119" s="924"/>
      <c r="N119" s="929"/>
    </row>
    <row r="120" spans="1:16" s="930" customFormat="1" ht="18" customHeight="1" x14ac:dyDescent="0.3">
      <c r="A120" s="839">
        <v>112</v>
      </c>
      <c r="B120" s="926"/>
      <c r="C120" s="882"/>
      <c r="D120" s="922" t="s">
        <v>230</v>
      </c>
      <c r="E120" s="920"/>
      <c r="F120" s="920"/>
      <c r="G120" s="921"/>
      <c r="H120" s="927"/>
      <c r="I120" s="923">
        <f>SUM(J120:N120)</f>
        <v>20000</v>
      </c>
      <c r="J120" s="924"/>
      <c r="K120" s="924"/>
      <c r="L120" s="924"/>
      <c r="M120" s="924"/>
      <c r="N120" s="929">
        <v>20000</v>
      </c>
    </row>
    <row r="121" spans="1:16" s="930" customFormat="1" ht="18" customHeight="1" x14ac:dyDescent="0.3">
      <c r="A121" s="839">
        <v>113</v>
      </c>
      <c r="B121" s="926"/>
      <c r="C121" s="882"/>
      <c r="D121" s="925" t="s">
        <v>231</v>
      </c>
      <c r="E121" s="920"/>
      <c r="F121" s="920"/>
      <c r="G121" s="921"/>
      <c r="H121" s="927"/>
      <c r="I121" s="920">
        <f>SUM(J121:N121)</f>
        <v>20000</v>
      </c>
      <c r="J121" s="904"/>
      <c r="K121" s="904"/>
      <c r="L121" s="904"/>
      <c r="M121" s="904"/>
      <c r="N121" s="906">
        <v>20000</v>
      </c>
    </row>
    <row r="122" spans="1:16" s="930" customFormat="1" ht="18" customHeight="1" x14ac:dyDescent="0.3">
      <c r="A122" s="839">
        <v>114</v>
      </c>
      <c r="B122" s="926"/>
      <c r="C122" s="882"/>
      <c r="D122" s="925" t="s">
        <v>245</v>
      </c>
      <c r="E122" s="920"/>
      <c r="F122" s="920"/>
      <c r="G122" s="921"/>
      <c r="H122" s="927"/>
      <c r="I122" s="272">
        <f>SUM(J122:Q122)</f>
        <v>0</v>
      </c>
      <c r="J122" s="924"/>
      <c r="K122" s="924"/>
      <c r="L122" s="924"/>
      <c r="M122" s="924"/>
      <c r="N122" s="929"/>
    </row>
    <row r="123" spans="1:16" s="930" customFormat="1" ht="18" customHeight="1" x14ac:dyDescent="0.3">
      <c r="A123" s="839">
        <v>115</v>
      </c>
      <c r="B123" s="926"/>
      <c r="C123" s="882"/>
      <c r="D123" s="925" t="s">
        <v>233</v>
      </c>
      <c r="E123" s="920"/>
      <c r="F123" s="920"/>
      <c r="G123" s="921"/>
      <c r="H123" s="927"/>
      <c r="I123" s="252">
        <f>SUM(J123:Q123)</f>
        <v>20000</v>
      </c>
      <c r="J123" s="924"/>
      <c r="K123" s="924"/>
      <c r="L123" s="924"/>
      <c r="M123" s="924"/>
      <c r="N123" s="906">
        <f>SUM(N121:N122)</f>
        <v>20000</v>
      </c>
    </row>
    <row r="124" spans="1:16" s="930" customFormat="1" ht="18" customHeight="1" x14ac:dyDescent="0.3">
      <c r="A124" s="839">
        <v>116</v>
      </c>
      <c r="B124" s="926"/>
      <c r="C124" s="882"/>
      <c r="D124" s="919" t="s">
        <v>544</v>
      </c>
      <c r="E124" s="920">
        <v>10000</v>
      </c>
      <c r="F124" s="920"/>
      <c r="G124" s="921">
        <v>12000</v>
      </c>
      <c r="H124" s="927"/>
      <c r="I124" s="928"/>
      <c r="J124" s="924"/>
      <c r="K124" s="924"/>
      <c r="L124" s="924"/>
      <c r="M124" s="924"/>
      <c r="N124" s="929"/>
    </row>
    <row r="125" spans="1:16" s="930" customFormat="1" ht="18" customHeight="1" x14ac:dyDescent="0.3">
      <c r="A125" s="839">
        <v>117</v>
      </c>
      <c r="B125" s="926"/>
      <c r="C125" s="882"/>
      <c r="D125" s="922" t="s">
        <v>230</v>
      </c>
      <c r="E125" s="920"/>
      <c r="F125" s="920"/>
      <c r="G125" s="921"/>
      <c r="H125" s="927"/>
      <c r="I125" s="923">
        <f>SUM(J125:N125)</f>
        <v>10000</v>
      </c>
      <c r="J125" s="924"/>
      <c r="K125" s="924"/>
      <c r="L125" s="924"/>
      <c r="M125" s="924"/>
      <c r="N125" s="929">
        <v>10000</v>
      </c>
    </row>
    <row r="126" spans="1:16" s="930" customFormat="1" ht="18" customHeight="1" x14ac:dyDescent="0.3">
      <c r="A126" s="839">
        <v>118</v>
      </c>
      <c r="B126" s="926"/>
      <c r="C126" s="882"/>
      <c r="D126" s="925" t="s">
        <v>231</v>
      </c>
      <c r="E126" s="920"/>
      <c r="F126" s="920"/>
      <c r="G126" s="921"/>
      <c r="H126" s="927"/>
      <c r="I126" s="920">
        <f>SUM(J126:N126)</f>
        <v>10000</v>
      </c>
      <c r="J126" s="904"/>
      <c r="K126" s="904"/>
      <c r="L126" s="904"/>
      <c r="M126" s="904"/>
      <c r="N126" s="906">
        <v>10000</v>
      </c>
    </row>
    <row r="127" spans="1:16" s="930" customFormat="1" ht="18" customHeight="1" x14ac:dyDescent="0.3">
      <c r="A127" s="839">
        <v>119</v>
      </c>
      <c r="B127" s="926"/>
      <c r="C127" s="882"/>
      <c r="D127" s="925" t="s">
        <v>245</v>
      </c>
      <c r="E127" s="920"/>
      <c r="F127" s="920"/>
      <c r="G127" s="921"/>
      <c r="H127" s="927"/>
      <c r="I127" s="272">
        <f>SUM(J127:Q127)</f>
        <v>0</v>
      </c>
      <c r="J127" s="924"/>
      <c r="K127" s="924"/>
      <c r="L127" s="924"/>
      <c r="M127" s="924"/>
      <c r="N127" s="929"/>
    </row>
    <row r="128" spans="1:16" s="930" customFormat="1" ht="18" customHeight="1" x14ac:dyDescent="0.3">
      <c r="A128" s="839">
        <v>120</v>
      </c>
      <c r="B128" s="926"/>
      <c r="C128" s="882"/>
      <c r="D128" s="925" t="s">
        <v>233</v>
      </c>
      <c r="E128" s="920"/>
      <c r="F128" s="920"/>
      <c r="G128" s="921"/>
      <c r="H128" s="927"/>
      <c r="I128" s="252">
        <f>SUM(J128:Q128)</f>
        <v>10000</v>
      </c>
      <c r="J128" s="924"/>
      <c r="K128" s="924"/>
      <c r="L128" s="924"/>
      <c r="M128" s="924"/>
      <c r="N128" s="906">
        <f>SUM(N126:N127)</f>
        <v>10000</v>
      </c>
    </row>
    <row r="129" spans="1:14" s="930" customFormat="1" ht="18" customHeight="1" x14ac:dyDescent="0.3">
      <c r="A129" s="839">
        <v>121</v>
      </c>
      <c r="B129" s="926"/>
      <c r="C129" s="882"/>
      <c r="D129" s="919" t="s">
        <v>545</v>
      </c>
      <c r="E129" s="920"/>
      <c r="F129" s="920"/>
      <c r="G129" s="921"/>
      <c r="H129" s="927"/>
      <c r="I129" s="923"/>
      <c r="J129" s="924"/>
      <c r="K129" s="924"/>
      <c r="L129" s="924"/>
      <c r="M129" s="924"/>
      <c r="N129" s="929"/>
    </row>
    <row r="130" spans="1:14" s="930" customFormat="1" ht="18" customHeight="1" x14ac:dyDescent="0.3">
      <c r="A130" s="839">
        <v>122</v>
      </c>
      <c r="B130" s="926"/>
      <c r="C130" s="882"/>
      <c r="D130" s="922" t="s">
        <v>230</v>
      </c>
      <c r="E130" s="920"/>
      <c r="F130" s="920"/>
      <c r="G130" s="921"/>
      <c r="H130" s="927"/>
      <c r="I130" s="923">
        <f>SUM(J130:N130)</f>
        <v>10000</v>
      </c>
      <c r="J130" s="924"/>
      <c r="K130" s="924"/>
      <c r="L130" s="924"/>
      <c r="M130" s="924"/>
      <c r="N130" s="929">
        <v>10000</v>
      </c>
    </row>
    <row r="131" spans="1:14" s="930" customFormat="1" ht="18" customHeight="1" x14ac:dyDescent="0.3">
      <c r="A131" s="839">
        <v>123</v>
      </c>
      <c r="B131" s="926"/>
      <c r="C131" s="882"/>
      <c r="D131" s="925" t="s">
        <v>231</v>
      </c>
      <c r="E131" s="920"/>
      <c r="F131" s="920"/>
      <c r="G131" s="921"/>
      <c r="H131" s="927"/>
      <c r="I131" s="920">
        <f>SUM(J131:N131)</f>
        <v>0</v>
      </c>
      <c r="J131" s="904"/>
      <c r="K131" s="904"/>
      <c r="L131" s="904"/>
      <c r="M131" s="904"/>
      <c r="N131" s="906">
        <v>0</v>
      </c>
    </row>
    <row r="132" spans="1:14" s="930" customFormat="1" ht="18" customHeight="1" x14ac:dyDescent="0.3">
      <c r="A132" s="839">
        <v>124</v>
      </c>
      <c r="B132" s="926"/>
      <c r="C132" s="882"/>
      <c r="D132" s="925" t="s">
        <v>232</v>
      </c>
      <c r="E132" s="920"/>
      <c r="F132" s="920"/>
      <c r="G132" s="921"/>
      <c r="H132" s="927"/>
      <c r="I132" s="272">
        <f>SUM(J132:Q132)</f>
        <v>0</v>
      </c>
      <c r="J132" s="924"/>
      <c r="K132" s="924"/>
      <c r="L132" s="924"/>
      <c r="M132" s="924"/>
      <c r="N132" s="906"/>
    </row>
    <row r="133" spans="1:14" s="930" customFormat="1" ht="18" customHeight="1" x14ac:dyDescent="0.3">
      <c r="A133" s="839">
        <v>125</v>
      </c>
      <c r="B133" s="926"/>
      <c r="C133" s="882"/>
      <c r="D133" s="925" t="s">
        <v>233</v>
      </c>
      <c r="E133" s="920"/>
      <c r="F133" s="920"/>
      <c r="G133" s="921"/>
      <c r="H133" s="927"/>
      <c r="I133" s="252">
        <f>SUM(J133:Q133)</f>
        <v>0</v>
      </c>
      <c r="J133" s="924"/>
      <c r="K133" s="924"/>
      <c r="L133" s="924"/>
      <c r="M133" s="924"/>
      <c r="N133" s="906">
        <f>SUM(N131:N132)</f>
        <v>0</v>
      </c>
    </row>
    <row r="134" spans="1:14" s="930" customFormat="1" ht="18" customHeight="1" x14ac:dyDescent="0.3">
      <c r="A134" s="839">
        <v>126</v>
      </c>
      <c r="B134" s="926"/>
      <c r="C134" s="882"/>
      <c r="D134" s="919" t="s">
        <v>546</v>
      </c>
      <c r="E134" s="920"/>
      <c r="F134" s="920"/>
      <c r="G134" s="921"/>
      <c r="H134" s="927"/>
      <c r="I134" s="923"/>
      <c r="J134" s="924"/>
      <c r="K134" s="924"/>
      <c r="L134" s="924"/>
      <c r="M134" s="924"/>
      <c r="N134" s="929"/>
    </row>
    <row r="135" spans="1:14" s="930" customFormat="1" ht="18" customHeight="1" x14ac:dyDescent="0.3">
      <c r="A135" s="839">
        <v>127</v>
      </c>
      <c r="B135" s="926"/>
      <c r="C135" s="882"/>
      <c r="D135" s="922" t="s">
        <v>230</v>
      </c>
      <c r="E135" s="920"/>
      <c r="F135" s="920"/>
      <c r="G135" s="921"/>
      <c r="H135" s="927"/>
      <c r="I135" s="923">
        <f>SUM(J135:N135)</f>
        <v>22000</v>
      </c>
      <c r="J135" s="924"/>
      <c r="K135" s="924"/>
      <c r="L135" s="924"/>
      <c r="M135" s="924"/>
      <c r="N135" s="929">
        <v>22000</v>
      </c>
    </row>
    <row r="136" spans="1:14" s="930" customFormat="1" ht="18" customHeight="1" x14ac:dyDescent="0.3">
      <c r="A136" s="839">
        <v>128</v>
      </c>
      <c r="B136" s="926"/>
      <c r="C136" s="882"/>
      <c r="D136" s="925" t="s">
        <v>231</v>
      </c>
      <c r="E136" s="920"/>
      <c r="F136" s="920"/>
      <c r="G136" s="921"/>
      <c r="H136" s="927"/>
      <c r="I136" s="920">
        <f>SUM(J136:N136)</f>
        <v>0</v>
      </c>
      <c r="J136" s="904"/>
      <c r="K136" s="904"/>
      <c r="L136" s="904"/>
      <c r="M136" s="904"/>
      <c r="N136" s="906">
        <v>0</v>
      </c>
    </row>
    <row r="137" spans="1:14" s="930" customFormat="1" ht="18" customHeight="1" x14ac:dyDescent="0.3">
      <c r="A137" s="839">
        <v>129</v>
      </c>
      <c r="B137" s="926"/>
      <c r="C137" s="882"/>
      <c r="D137" s="925" t="s">
        <v>232</v>
      </c>
      <c r="E137" s="920"/>
      <c r="F137" s="920"/>
      <c r="G137" s="921"/>
      <c r="H137" s="927"/>
      <c r="I137" s="272">
        <f>SUM(J137:Q137)</f>
        <v>0</v>
      </c>
      <c r="J137" s="924"/>
      <c r="K137" s="924"/>
      <c r="L137" s="924"/>
      <c r="M137" s="924"/>
      <c r="N137" s="906"/>
    </row>
    <row r="138" spans="1:14" s="930" customFormat="1" ht="18" customHeight="1" x14ac:dyDescent="0.3">
      <c r="A138" s="839">
        <v>130</v>
      </c>
      <c r="B138" s="926"/>
      <c r="C138" s="882"/>
      <c r="D138" s="925" t="s">
        <v>233</v>
      </c>
      <c r="E138" s="920"/>
      <c r="F138" s="920"/>
      <c r="G138" s="921"/>
      <c r="H138" s="927"/>
      <c r="I138" s="252">
        <f>SUM(J138:Q138)</f>
        <v>0</v>
      </c>
      <c r="J138" s="924"/>
      <c r="K138" s="924"/>
      <c r="L138" s="924"/>
      <c r="M138" s="924"/>
      <c r="N138" s="906">
        <f>SUM(N136:N137)</f>
        <v>0</v>
      </c>
    </row>
    <row r="139" spans="1:14" s="930" customFormat="1" ht="18" customHeight="1" x14ac:dyDescent="0.3">
      <c r="A139" s="839">
        <v>131</v>
      </c>
      <c r="B139" s="926"/>
      <c r="C139" s="882"/>
      <c r="D139" s="919" t="s">
        <v>547</v>
      </c>
      <c r="E139" s="920"/>
      <c r="F139" s="920"/>
      <c r="G139" s="921"/>
      <c r="H139" s="927"/>
      <c r="I139" s="923"/>
      <c r="J139" s="924"/>
      <c r="K139" s="924"/>
      <c r="L139" s="924"/>
      <c r="M139" s="924"/>
      <c r="N139" s="929"/>
    </row>
    <row r="140" spans="1:14" s="930" customFormat="1" ht="18" customHeight="1" x14ac:dyDescent="0.3">
      <c r="A140" s="839">
        <v>132</v>
      </c>
      <c r="B140" s="926"/>
      <c r="C140" s="882"/>
      <c r="D140" s="922" t="s">
        <v>230</v>
      </c>
      <c r="E140" s="920"/>
      <c r="F140" s="920"/>
      <c r="G140" s="921"/>
      <c r="H140" s="927"/>
      <c r="I140" s="923">
        <f>SUM(J140:N140)</f>
        <v>11000</v>
      </c>
      <c r="J140" s="924"/>
      <c r="K140" s="924"/>
      <c r="L140" s="924"/>
      <c r="M140" s="924"/>
      <c r="N140" s="929">
        <v>11000</v>
      </c>
    </row>
    <row r="141" spans="1:14" s="930" customFormat="1" ht="18" customHeight="1" x14ac:dyDescent="0.3">
      <c r="A141" s="839">
        <v>133</v>
      </c>
      <c r="B141" s="926"/>
      <c r="C141" s="882"/>
      <c r="D141" s="925" t="s">
        <v>231</v>
      </c>
      <c r="E141" s="920"/>
      <c r="F141" s="920"/>
      <c r="G141" s="921"/>
      <c r="H141" s="927"/>
      <c r="I141" s="920">
        <f>SUM(J141:N141)</f>
        <v>0</v>
      </c>
      <c r="J141" s="904"/>
      <c r="K141" s="904"/>
      <c r="L141" s="904"/>
      <c r="M141" s="904"/>
      <c r="N141" s="906">
        <v>0</v>
      </c>
    </row>
    <row r="142" spans="1:14" s="930" customFormat="1" ht="18" customHeight="1" x14ac:dyDescent="0.3">
      <c r="A142" s="839">
        <v>134</v>
      </c>
      <c r="B142" s="926"/>
      <c r="C142" s="882"/>
      <c r="D142" s="925" t="s">
        <v>232</v>
      </c>
      <c r="E142" s="920"/>
      <c r="F142" s="920"/>
      <c r="G142" s="921"/>
      <c r="H142" s="927"/>
      <c r="I142" s="272">
        <f>SUM(J142:Q142)</f>
        <v>0</v>
      </c>
      <c r="J142" s="924"/>
      <c r="K142" s="924"/>
      <c r="L142" s="924"/>
      <c r="M142" s="924"/>
      <c r="N142" s="906"/>
    </row>
    <row r="143" spans="1:14" s="930" customFormat="1" ht="18" customHeight="1" x14ac:dyDescent="0.3">
      <c r="A143" s="839">
        <v>135</v>
      </c>
      <c r="B143" s="926"/>
      <c r="C143" s="882"/>
      <c r="D143" s="925" t="s">
        <v>233</v>
      </c>
      <c r="E143" s="920"/>
      <c r="F143" s="920"/>
      <c r="G143" s="921"/>
      <c r="H143" s="927"/>
      <c r="I143" s="252">
        <f>SUM(J143:Q143)</f>
        <v>0</v>
      </c>
      <c r="J143" s="924"/>
      <c r="K143" s="924"/>
      <c r="L143" s="924"/>
      <c r="M143" s="924"/>
      <c r="N143" s="906">
        <f>SUM(N141:N142)</f>
        <v>0</v>
      </c>
    </row>
    <row r="144" spans="1:14" s="930" customFormat="1" ht="18" customHeight="1" x14ac:dyDescent="0.3">
      <c r="A144" s="839">
        <v>136</v>
      </c>
      <c r="B144" s="926"/>
      <c r="C144" s="882"/>
      <c r="D144" s="919" t="s">
        <v>548</v>
      </c>
      <c r="E144" s="920"/>
      <c r="F144" s="920"/>
      <c r="G144" s="921"/>
      <c r="H144" s="927"/>
      <c r="I144" s="252"/>
      <c r="J144" s="924"/>
      <c r="K144" s="924"/>
      <c r="L144" s="924"/>
      <c r="M144" s="924"/>
      <c r="N144" s="906"/>
    </row>
    <row r="145" spans="1:16" s="930" customFormat="1" ht="18" customHeight="1" x14ac:dyDescent="0.3">
      <c r="A145" s="839">
        <v>137</v>
      </c>
      <c r="B145" s="926"/>
      <c r="C145" s="882"/>
      <c r="D145" s="925" t="s">
        <v>231</v>
      </c>
      <c r="E145" s="920"/>
      <c r="F145" s="920"/>
      <c r="G145" s="921"/>
      <c r="H145" s="927"/>
      <c r="I145" s="920">
        <f>SUM(J145:N145)</f>
        <v>0</v>
      </c>
      <c r="J145" s="924"/>
      <c r="K145" s="924"/>
      <c r="L145" s="924"/>
      <c r="M145" s="924"/>
      <c r="N145" s="906">
        <v>0</v>
      </c>
    </row>
    <row r="146" spans="1:16" s="930" customFormat="1" ht="18" customHeight="1" x14ac:dyDescent="0.3">
      <c r="A146" s="839">
        <v>138</v>
      </c>
      <c r="B146" s="926"/>
      <c r="C146" s="882"/>
      <c r="D146" s="925" t="s">
        <v>232</v>
      </c>
      <c r="E146" s="920"/>
      <c r="F146" s="920"/>
      <c r="G146" s="921"/>
      <c r="H146" s="927"/>
      <c r="I146" s="272">
        <f>SUM(J146:Q146)</f>
        <v>0</v>
      </c>
      <c r="J146" s="924"/>
      <c r="K146" s="924"/>
      <c r="L146" s="924"/>
      <c r="M146" s="924"/>
      <c r="N146" s="906"/>
    </row>
    <row r="147" spans="1:16" s="930" customFormat="1" ht="18" customHeight="1" x14ac:dyDescent="0.3">
      <c r="A147" s="839">
        <v>139</v>
      </c>
      <c r="B147" s="926"/>
      <c r="C147" s="882"/>
      <c r="D147" s="925" t="s">
        <v>233</v>
      </c>
      <c r="E147" s="920"/>
      <c r="F147" s="920"/>
      <c r="G147" s="921"/>
      <c r="H147" s="927"/>
      <c r="I147" s="252">
        <f>SUM(J147:Q147)</f>
        <v>0</v>
      </c>
      <c r="J147" s="924"/>
      <c r="K147" s="924"/>
      <c r="L147" s="924"/>
      <c r="M147" s="924"/>
      <c r="N147" s="906">
        <f>SUM(N145:N146)</f>
        <v>0</v>
      </c>
    </row>
    <row r="148" spans="1:16" s="930" customFormat="1" ht="22.5" customHeight="1" x14ac:dyDescent="0.3">
      <c r="A148" s="839">
        <v>140</v>
      </c>
      <c r="B148" s="926"/>
      <c r="C148" s="882">
        <v>8</v>
      </c>
      <c r="D148" s="898" t="s">
        <v>549</v>
      </c>
      <c r="E148" s="920"/>
      <c r="F148" s="920"/>
      <c r="G148" s="921"/>
      <c r="H148" s="886" t="s">
        <v>296</v>
      </c>
      <c r="I148" s="923"/>
      <c r="J148" s="924"/>
      <c r="K148" s="924"/>
      <c r="L148" s="924"/>
      <c r="M148" s="924"/>
      <c r="N148" s="929"/>
    </row>
    <row r="149" spans="1:16" s="930" customFormat="1" ht="18" customHeight="1" x14ac:dyDescent="0.3">
      <c r="A149" s="839">
        <v>141</v>
      </c>
      <c r="B149" s="926"/>
      <c r="C149" s="882"/>
      <c r="D149" s="883" t="s">
        <v>230</v>
      </c>
      <c r="E149" s="920"/>
      <c r="F149" s="920"/>
      <c r="G149" s="921"/>
      <c r="H149" s="927"/>
      <c r="I149" s="887">
        <f>SUM(J149:N149)</f>
        <v>9300</v>
      </c>
      <c r="J149" s="924"/>
      <c r="K149" s="924"/>
      <c r="L149" s="924"/>
      <c r="M149" s="924"/>
      <c r="N149" s="900">
        <v>9300</v>
      </c>
    </row>
    <row r="150" spans="1:16" s="930" customFormat="1" ht="18" customHeight="1" x14ac:dyDescent="0.3">
      <c r="A150" s="839">
        <v>142</v>
      </c>
      <c r="B150" s="926"/>
      <c r="C150" s="882"/>
      <c r="D150" s="266" t="s">
        <v>231</v>
      </c>
      <c r="E150" s="920"/>
      <c r="F150" s="920"/>
      <c r="G150" s="921"/>
      <c r="H150" s="927"/>
      <c r="I150" s="878">
        <f>SUM(J150:N150)</f>
        <v>9300</v>
      </c>
      <c r="J150" s="904"/>
      <c r="K150" s="904"/>
      <c r="L150" s="904"/>
      <c r="M150" s="904"/>
      <c r="N150" s="903">
        <v>9300</v>
      </c>
    </row>
    <row r="151" spans="1:16" s="930" customFormat="1" ht="18" customHeight="1" x14ac:dyDescent="0.3">
      <c r="A151" s="839">
        <v>143</v>
      </c>
      <c r="B151" s="926"/>
      <c r="C151" s="882"/>
      <c r="D151" s="270" t="s">
        <v>245</v>
      </c>
      <c r="E151" s="920"/>
      <c r="F151" s="920"/>
      <c r="G151" s="921"/>
      <c r="H151" s="927"/>
      <c r="I151" s="272">
        <f>SUM(J151:Q151)</f>
        <v>0</v>
      </c>
      <c r="J151" s="924"/>
      <c r="K151" s="924"/>
      <c r="L151" s="924"/>
      <c r="M151" s="924"/>
      <c r="N151" s="900"/>
    </row>
    <row r="152" spans="1:16" s="930" customFormat="1" ht="18" customHeight="1" x14ac:dyDescent="0.3">
      <c r="A152" s="839">
        <v>144</v>
      </c>
      <c r="B152" s="926"/>
      <c r="C152" s="882"/>
      <c r="D152" s="266" t="s">
        <v>233</v>
      </c>
      <c r="E152" s="920"/>
      <c r="F152" s="920"/>
      <c r="G152" s="921"/>
      <c r="H152" s="927"/>
      <c r="I152" s="268">
        <f>SUM(J152:Q152)</f>
        <v>9300</v>
      </c>
      <c r="J152" s="904"/>
      <c r="K152" s="904"/>
      <c r="L152" s="904"/>
      <c r="M152" s="904"/>
      <c r="N152" s="903">
        <f>SUM(N150:N151)</f>
        <v>9300</v>
      </c>
    </row>
    <row r="153" spans="1:16" s="840" customFormat="1" ht="22.5" customHeight="1" x14ac:dyDescent="0.3">
      <c r="A153" s="839">
        <v>145</v>
      </c>
      <c r="B153" s="897"/>
      <c r="C153" s="882">
        <v>9</v>
      </c>
      <c r="D153" s="898" t="s">
        <v>16</v>
      </c>
      <c r="E153" s="884"/>
      <c r="F153" s="884">
        <v>11300</v>
      </c>
      <c r="G153" s="885">
        <v>7547</v>
      </c>
      <c r="H153" s="886" t="s">
        <v>296</v>
      </c>
      <c r="I153" s="887"/>
      <c r="J153" s="888"/>
      <c r="K153" s="888"/>
      <c r="L153" s="888"/>
      <c r="M153" s="888"/>
      <c r="N153" s="890"/>
      <c r="P153" s="891"/>
    </row>
    <row r="154" spans="1:16" s="891" customFormat="1" ht="18" customHeight="1" x14ac:dyDescent="0.3">
      <c r="A154" s="839">
        <v>146</v>
      </c>
      <c r="B154" s="881"/>
      <c r="C154" s="882"/>
      <c r="D154" s="883" t="s">
        <v>230</v>
      </c>
      <c r="F154" s="910"/>
      <c r="H154" s="886"/>
      <c r="I154" s="887">
        <f>SUM(J154:N154)</f>
        <v>35253</v>
      </c>
      <c r="J154" s="888"/>
      <c r="K154" s="888"/>
      <c r="L154" s="889">
        <f>18000+9253+8000</f>
        <v>35253</v>
      </c>
      <c r="M154" s="888"/>
      <c r="N154" s="890"/>
    </row>
    <row r="155" spans="1:16" s="891" customFormat="1" ht="18" customHeight="1" x14ac:dyDescent="0.3">
      <c r="A155" s="839">
        <v>147</v>
      </c>
      <c r="B155" s="881"/>
      <c r="C155" s="882"/>
      <c r="D155" s="266" t="s">
        <v>231</v>
      </c>
      <c r="E155" s="911"/>
      <c r="F155" s="910"/>
      <c r="G155" s="936"/>
      <c r="H155" s="886"/>
      <c r="I155" s="878">
        <f>SUM(J155:N155)</f>
        <v>35253</v>
      </c>
      <c r="J155" s="902">
        <v>1142</v>
      </c>
      <c r="K155" s="902">
        <v>1429</v>
      </c>
      <c r="L155" s="902">
        <v>32682</v>
      </c>
      <c r="M155" s="888"/>
      <c r="N155" s="890"/>
    </row>
    <row r="156" spans="1:16" s="891" customFormat="1" ht="18" customHeight="1" x14ac:dyDescent="0.3">
      <c r="A156" s="839">
        <v>148</v>
      </c>
      <c r="B156" s="881"/>
      <c r="C156" s="882"/>
      <c r="D156" s="270" t="s">
        <v>287</v>
      </c>
      <c r="E156" s="911"/>
      <c r="F156" s="911"/>
      <c r="G156" s="912"/>
      <c r="H156" s="886"/>
      <c r="I156" s="272">
        <f>SUM(J156:Q156)</f>
        <v>0</v>
      </c>
      <c r="J156" s="904">
        <v>752</v>
      </c>
      <c r="K156" s="904">
        <v>248</v>
      </c>
      <c r="L156" s="904">
        <v>-1000</v>
      </c>
      <c r="M156" s="888"/>
      <c r="N156" s="890"/>
    </row>
    <row r="157" spans="1:16" s="891" customFormat="1" ht="18" customHeight="1" x14ac:dyDescent="0.3">
      <c r="A157" s="839">
        <v>149</v>
      </c>
      <c r="B157" s="881"/>
      <c r="C157" s="882"/>
      <c r="D157" s="266" t="s">
        <v>233</v>
      </c>
      <c r="E157" s="913"/>
      <c r="F157" s="913"/>
      <c r="H157" s="886"/>
      <c r="I157" s="268">
        <f>SUM(J157:Q157)</f>
        <v>35253</v>
      </c>
      <c r="J157" s="902">
        <f>SUM(J155:J156)</f>
        <v>1894</v>
      </c>
      <c r="K157" s="902">
        <f>SUM(K155:K156)</f>
        <v>1677</v>
      </c>
      <c r="L157" s="902">
        <f>SUM(L155:L156)</f>
        <v>31682</v>
      </c>
      <c r="M157" s="888"/>
      <c r="N157" s="890"/>
    </row>
    <row r="158" spans="1:16" s="840" customFormat="1" ht="22.5" customHeight="1" x14ac:dyDescent="0.3">
      <c r="A158" s="839">
        <v>150</v>
      </c>
      <c r="B158" s="897"/>
      <c r="C158" s="882">
        <v>10</v>
      </c>
      <c r="D158" s="898" t="s">
        <v>14</v>
      </c>
      <c r="E158" s="884">
        <v>10545</v>
      </c>
      <c r="F158" s="884">
        <v>7344</v>
      </c>
      <c r="G158" s="885">
        <v>7988</v>
      </c>
      <c r="H158" s="886" t="s">
        <v>296</v>
      </c>
      <c r="I158" s="887"/>
      <c r="J158" s="888"/>
      <c r="K158" s="888"/>
      <c r="L158" s="888"/>
      <c r="M158" s="888"/>
      <c r="N158" s="890"/>
      <c r="P158" s="891"/>
    </row>
    <row r="159" spans="1:16" s="891" customFormat="1" ht="18" customHeight="1" x14ac:dyDescent="0.3">
      <c r="A159" s="839">
        <v>151</v>
      </c>
      <c r="B159" s="881"/>
      <c r="C159" s="882"/>
      <c r="D159" s="883" t="s">
        <v>230</v>
      </c>
      <c r="E159" s="884"/>
      <c r="F159" s="884"/>
      <c r="G159" s="885"/>
      <c r="H159" s="886"/>
      <c r="I159" s="887">
        <f>SUM(J159:N159)</f>
        <v>16516</v>
      </c>
      <c r="J159" s="889">
        <v>3006</v>
      </c>
      <c r="K159" s="889">
        <v>1242</v>
      </c>
      <c r="L159" s="889">
        <f>10752+1516</f>
        <v>12268</v>
      </c>
      <c r="M159" s="888"/>
      <c r="N159" s="890"/>
    </row>
    <row r="160" spans="1:16" s="891" customFormat="1" ht="18" customHeight="1" x14ac:dyDescent="0.3">
      <c r="A160" s="839">
        <v>152</v>
      </c>
      <c r="B160" s="881"/>
      <c r="C160" s="882"/>
      <c r="D160" s="266" t="s">
        <v>231</v>
      </c>
      <c r="E160" s="884"/>
      <c r="F160" s="884"/>
      <c r="G160" s="885"/>
      <c r="H160" s="877"/>
      <c r="I160" s="878">
        <f>SUM(J160:N160)</f>
        <v>14457</v>
      </c>
      <c r="J160" s="902">
        <v>3506</v>
      </c>
      <c r="K160" s="902">
        <v>1407</v>
      </c>
      <c r="L160" s="902">
        <v>9544</v>
      </c>
      <c r="M160" s="888"/>
      <c r="N160" s="890"/>
    </row>
    <row r="161" spans="1:16" s="891" customFormat="1" ht="18" customHeight="1" x14ac:dyDescent="0.3">
      <c r="A161" s="839">
        <v>153</v>
      </c>
      <c r="B161" s="881"/>
      <c r="C161" s="882"/>
      <c r="D161" s="270" t="s">
        <v>550</v>
      </c>
      <c r="E161" s="884"/>
      <c r="F161" s="884"/>
      <c r="G161" s="885"/>
      <c r="H161" s="877"/>
      <c r="I161" s="272">
        <f>SUM(J161:Q161)</f>
        <v>-42</v>
      </c>
      <c r="J161" s="889"/>
      <c r="K161" s="889"/>
      <c r="L161" s="904">
        <v>-42</v>
      </c>
      <c r="M161" s="888"/>
      <c r="N161" s="890"/>
    </row>
    <row r="162" spans="1:16" s="891" customFormat="1" ht="18" customHeight="1" x14ac:dyDescent="0.3">
      <c r="A162" s="839">
        <v>154</v>
      </c>
      <c r="B162" s="881"/>
      <c r="C162" s="882"/>
      <c r="D162" s="266" t="s">
        <v>233</v>
      </c>
      <c r="E162" s="884"/>
      <c r="F162" s="884"/>
      <c r="G162" s="885"/>
      <c r="H162" s="877"/>
      <c r="I162" s="268">
        <f>SUM(J162:Q162)</f>
        <v>14415</v>
      </c>
      <c r="J162" s="902">
        <f>SUM(J160:J161)</f>
        <v>3506</v>
      </c>
      <c r="K162" s="902">
        <f>SUM(K160:K161)</f>
        <v>1407</v>
      </c>
      <c r="L162" s="902">
        <f>SUM(L160:L161)</f>
        <v>9502</v>
      </c>
      <c r="M162" s="888"/>
      <c r="N162" s="890"/>
    </row>
    <row r="163" spans="1:16" s="840" customFormat="1" ht="22.5" customHeight="1" x14ac:dyDescent="0.3">
      <c r="A163" s="839">
        <v>155</v>
      </c>
      <c r="B163" s="897"/>
      <c r="C163" s="882">
        <v>11</v>
      </c>
      <c r="D163" s="898" t="s">
        <v>551</v>
      </c>
      <c r="E163" s="884">
        <v>254</v>
      </c>
      <c r="F163" s="884">
        <v>2127</v>
      </c>
      <c r="G163" s="885">
        <v>536</v>
      </c>
      <c r="H163" s="877" t="s">
        <v>296</v>
      </c>
      <c r="I163" s="887"/>
      <c r="J163" s="888"/>
      <c r="K163" s="888"/>
      <c r="L163" s="888"/>
      <c r="M163" s="888"/>
      <c r="N163" s="890"/>
      <c r="P163" s="891"/>
    </row>
    <row r="164" spans="1:16" s="840" customFormat="1" ht="18" customHeight="1" x14ac:dyDescent="0.3">
      <c r="A164" s="839">
        <v>156</v>
      </c>
      <c r="B164" s="897"/>
      <c r="C164" s="882"/>
      <c r="D164" s="883" t="s">
        <v>230</v>
      </c>
      <c r="E164" s="884"/>
      <c r="F164" s="884"/>
      <c r="G164" s="885"/>
      <c r="H164" s="877"/>
      <c r="I164" s="887">
        <f>SUM(J164:N164)</f>
        <v>15441</v>
      </c>
      <c r="J164" s="888"/>
      <c r="K164" s="888"/>
      <c r="L164" s="889">
        <f>10700+1591</f>
        <v>12291</v>
      </c>
      <c r="M164" s="888"/>
      <c r="N164" s="900">
        <v>3150</v>
      </c>
      <c r="P164" s="891"/>
    </row>
    <row r="165" spans="1:16" s="840" customFormat="1" ht="18" customHeight="1" x14ac:dyDescent="0.3">
      <c r="A165" s="839">
        <v>157</v>
      </c>
      <c r="B165" s="897"/>
      <c r="C165" s="882"/>
      <c r="D165" s="266" t="s">
        <v>231</v>
      </c>
      <c r="E165" s="884"/>
      <c r="F165" s="884"/>
      <c r="G165" s="885"/>
      <c r="H165" s="877"/>
      <c r="I165" s="878">
        <f>SUM(J165:N165)</f>
        <v>15441</v>
      </c>
      <c r="J165" s="901"/>
      <c r="K165" s="901"/>
      <c r="L165" s="902">
        <v>12291</v>
      </c>
      <c r="M165" s="901"/>
      <c r="N165" s="903">
        <v>3150</v>
      </c>
      <c r="P165" s="891"/>
    </row>
    <row r="166" spans="1:16" s="840" customFormat="1" ht="18" customHeight="1" x14ac:dyDescent="0.3">
      <c r="A166" s="839">
        <v>158</v>
      </c>
      <c r="B166" s="897"/>
      <c r="C166" s="882"/>
      <c r="D166" s="270" t="s">
        <v>245</v>
      </c>
      <c r="E166" s="884"/>
      <c r="F166" s="884"/>
      <c r="G166" s="885"/>
      <c r="H166" s="877"/>
      <c r="I166" s="272">
        <f>SUM(J166:Q166)</f>
        <v>0</v>
      </c>
      <c r="J166" s="888"/>
      <c r="K166" s="888"/>
      <c r="L166" s="889"/>
      <c r="M166" s="888"/>
      <c r="N166" s="900"/>
      <c r="P166" s="891"/>
    </row>
    <row r="167" spans="1:16" s="840" customFormat="1" ht="18" customHeight="1" x14ac:dyDescent="0.3">
      <c r="A167" s="839">
        <v>159</v>
      </c>
      <c r="B167" s="897"/>
      <c r="C167" s="882"/>
      <c r="D167" s="266" t="s">
        <v>233</v>
      </c>
      <c r="E167" s="884"/>
      <c r="F167" s="884"/>
      <c r="G167" s="885"/>
      <c r="H167" s="877"/>
      <c r="I167" s="268">
        <f>SUM(J167:Q167)</f>
        <v>15441</v>
      </c>
      <c r="J167" s="888"/>
      <c r="K167" s="888"/>
      <c r="L167" s="902">
        <f>SUM(L165:L166)</f>
        <v>12291</v>
      </c>
      <c r="M167" s="902"/>
      <c r="N167" s="903">
        <f>SUM(N165:N166)</f>
        <v>3150</v>
      </c>
      <c r="P167" s="891"/>
    </row>
    <row r="168" spans="1:16" s="840" customFormat="1" ht="22.5" customHeight="1" x14ac:dyDescent="0.3">
      <c r="A168" s="839">
        <v>160</v>
      </c>
      <c r="B168" s="897"/>
      <c r="C168" s="882">
        <v>13</v>
      </c>
      <c r="D168" s="898" t="s">
        <v>552</v>
      </c>
      <c r="E168" s="884">
        <f>SUM(E173,E178,E193,E194)</f>
        <v>3500</v>
      </c>
      <c r="F168" s="884">
        <f>SUM(F173,F178,F193,F194)</f>
        <v>2000</v>
      </c>
      <c r="G168" s="885">
        <f>SUM(G173,G178,G193,G194)+5199</f>
        <v>9199</v>
      </c>
      <c r="H168" s="886" t="s">
        <v>296</v>
      </c>
      <c r="I168" s="887"/>
      <c r="J168" s="888"/>
      <c r="K168" s="888"/>
      <c r="L168" s="888"/>
      <c r="M168" s="888"/>
      <c r="N168" s="890"/>
      <c r="P168" s="891"/>
    </row>
    <row r="169" spans="1:16" s="840" customFormat="1" ht="18" customHeight="1" x14ac:dyDescent="0.3">
      <c r="A169" s="839">
        <v>161</v>
      </c>
      <c r="B169" s="897"/>
      <c r="C169" s="882"/>
      <c r="D169" s="883" t="s">
        <v>230</v>
      </c>
      <c r="E169" s="884"/>
      <c r="F169" s="884"/>
      <c r="G169" s="885"/>
      <c r="H169" s="886"/>
      <c r="I169" s="887">
        <f>SUM(J169:N169)</f>
        <v>29241</v>
      </c>
      <c r="J169" s="889">
        <f t="shared" ref="J169:N170" si="1">J179+J174+J196+J206+J211+J216+J221+J226+J201+J184+J189</f>
        <v>0</v>
      </c>
      <c r="K169" s="889">
        <f t="shared" si="1"/>
        <v>0</v>
      </c>
      <c r="L169" s="889">
        <f t="shared" si="1"/>
        <v>1441</v>
      </c>
      <c r="M169" s="889">
        <f t="shared" si="1"/>
        <v>0</v>
      </c>
      <c r="N169" s="900">
        <f t="shared" si="1"/>
        <v>27800</v>
      </c>
      <c r="P169" s="891"/>
    </row>
    <row r="170" spans="1:16" s="840" customFormat="1" ht="18" customHeight="1" x14ac:dyDescent="0.3">
      <c r="A170" s="839">
        <v>162</v>
      </c>
      <c r="B170" s="897"/>
      <c r="C170" s="882"/>
      <c r="D170" s="266" t="s">
        <v>231</v>
      </c>
      <c r="E170" s="884"/>
      <c r="F170" s="884"/>
      <c r="G170" s="885"/>
      <c r="H170" s="886"/>
      <c r="I170" s="878">
        <f>SUM(J170:N170)</f>
        <v>16741</v>
      </c>
      <c r="J170" s="902">
        <f t="shared" si="1"/>
        <v>0</v>
      </c>
      <c r="K170" s="902">
        <f t="shared" si="1"/>
        <v>0</v>
      </c>
      <c r="L170" s="902">
        <f t="shared" si="1"/>
        <v>1441</v>
      </c>
      <c r="M170" s="902">
        <f t="shared" si="1"/>
        <v>0</v>
      </c>
      <c r="N170" s="903">
        <f t="shared" si="1"/>
        <v>15300</v>
      </c>
      <c r="P170" s="891"/>
    </row>
    <row r="171" spans="1:16" s="840" customFormat="1" ht="18" customHeight="1" x14ac:dyDescent="0.3">
      <c r="A171" s="839">
        <v>163</v>
      </c>
      <c r="B171" s="897"/>
      <c r="C171" s="882"/>
      <c r="D171" s="270" t="s">
        <v>245</v>
      </c>
      <c r="E171" s="884"/>
      <c r="F171" s="884"/>
      <c r="G171" s="885"/>
      <c r="H171" s="886"/>
      <c r="I171" s="272">
        <f>SUM(J171:Q171)</f>
        <v>0</v>
      </c>
      <c r="J171" s="904">
        <f>J176+J181+J186+J191+J198+J203+J208+J213+J218+J223+J228</f>
        <v>0</v>
      </c>
      <c r="K171" s="904">
        <f>K176+K181+K186+K191+K198+K203+K208+K213+K218+K223+K228</f>
        <v>0</v>
      </c>
      <c r="L171" s="904">
        <f>L176+L181+L186+L191+L198+L203+L208+L213+L218+L223+L228</f>
        <v>0</v>
      </c>
      <c r="M171" s="904">
        <f>M176+M181+M186+M191+M198+M203+M208+M213+M218+M223+M228</f>
        <v>0</v>
      </c>
      <c r="N171" s="906">
        <f>N176+N181+N186+N191+N198+N203+N208+N213+N218+N223+N228</f>
        <v>0</v>
      </c>
      <c r="P171" s="891"/>
    </row>
    <row r="172" spans="1:16" s="840" customFormat="1" ht="18" customHeight="1" x14ac:dyDescent="0.3">
      <c r="A172" s="839">
        <v>164</v>
      </c>
      <c r="B172" s="897"/>
      <c r="C172" s="882"/>
      <c r="D172" s="266" t="s">
        <v>233</v>
      </c>
      <c r="E172" s="884"/>
      <c r="F172" s="884"/>
      <c r="G172" s="885"/>
      <c r="H172" s="886"/>
      <c r="I172" s="268">
        <f>SUM(J172:Q172)</f>
        <v>16741</v>
      </c>
      <c r="J172" s="902">
        <f>SUM(J170:J171)</f>
        <v>0</v>
      </c>
      <c r="K172" s="902">
        <f>SUM(K170:K171)</f>
        <v>0</v>
      </c>
      <c r="L172" s="902">
        <f>SUM(L170:L171)</f>
        <v>1441</v>
      </c>
      <c r="M172" s="902">
        <f>SUM(M170:M171)</f>
        <v>0</v>
      </c>
      <c r="N172" s="903">
        <f>SUM(N170:N171)</f>
        <v>15300</v>
      </c>
      <c r="P172" s="891"/>
    </row>
    <row r="173" spans="1:16" s="930" customFormat="1" ht="18" customHeight="1" x14ac:dyDescent="0.3">
      <c r="A173" s="839">
        <v>165</v>
      </c>
      <c r="B173" s="926"/>
      <c r="C173" s="882"/>
      <c r="D173" s="937" t="s">
        <v>553</v>
      </c>
      <c r="E173" s="920"/>
      <c r="F173" s="920"/>
      <c r="G173" s="921"/>
      <c r="H173" s="927"/>
      <c r="I173" s="928"/>
      <c r="J173" s="924"/>
      <c r="K173" s="924"/>
      <c r="L173" s="924"/>
      <c r="M173" s="924"/>
      <c r="N173" s="929"/>
    </row>
    <row r="174" spans="1:16" s="930" customFormat="1" ht="18" customHeight="1" x14ac:dyDescent="0.3">
      <c r="A174" s="839">
        <v>166</v>
      </c>
      <c r="B174" s="926"/>
      <c r="C174" s="882"/>
      <c r="D174" s="938" t="s">
        <v>230</v>
      </c>
      <c r="E174" s="920"/>
      <c r="F174" s="920"/>
      <c r="G174" s="921"/>
      <c r="H174" s="927"/>
      <c r="I174" s="923">
        <f>SUM(J174:N174)</f>
        <v>2500</v>
      </c>
      <c r="J174" s="924"/>
      <c r="K174" s="924"/>
      <c r="L174" s="924"/>
      <c r="M174" s="924"/>
      <c r="N174" s="929">
        <v>2500</v>
      </c>
    </row>
    <row r="175" spans="1:16" s="930" customFormat="1" ht="18" customHeight="1" x14ac:dyDescent="0.3">
      <c r="A175" s="839">
        <v>167</v>
      </c>
      <c r="B175" s="926"/>
      <c r="C175" s="882"/>
      <c r="D175" s="925" t="s">
        <v>231</v>
      </c>
      <c r="E175" s="920"/>
      <c r="F175" s="920"/>
      <c r="G175" s="921"/>
      <c r="H175" s="927"/>
      <c r="I175" s="920">
        <f>SUM(J175:N175)</f>
        <v>0</v>
      </c>
      <c r="J175" s="904"/>
      <c r="K175" s="904"/>
      <c r="L175" s="904"/>
      <c r="M175" s="904"/>
      <c r="N175" s="906">
        <v>0</v>
      </c>
    </row>
    <row r="176" spans="1:16" s="930" customFormat="1" ht="18" customHeight="1" x14ac:dyDescent="0.3">
      <c r="A176" s="839">
        <v>168</v>
      </c>
      <c r="B176" s="926"/>
      <c r="C176" s="882"/>
      <c r="D176" s="925" t="s">
        <v>232</v>
      </c>
      <c r="E176" s="920"/>
      <c r="F176" s="920"/>
      <c r="G176" s="921"/>
      <c r="H176" s="927"/>
      <c r="I176" s="272">
        <f>SUM(J176:Q176)</f>
        <v>0</v>
      </c>
      <c r="J176" s="924"/>
      <c r="K176" s="924"/>
      <c r="L176" s="924"/>
      <c r="M176" s="924"/>
      <c r="N176" s="906"/>
    </row>
    <row r="177" spans="1:14" s="930" customFormat="1" ht="18" customHeight="1" x14ac:dyDescent="0.3">
      <c r="A177" s="839">
        <v>169</v>
      </c>
      <c r="B177" s="926"/>
      <c r="C177" s="882"/>
      <c r="D177" s="925" t="s">
        <v>233</v>
      </c>
      <c r="E177" s="920"/>
      <c r="F177" s="920"/>
      <c r="G177" s="921"/>
      <c r="H177" s="927"/>
      <c r="I177" s="252">
        <f>SUM(J177:Q177)</f>
        <v>0</v>
      </c>
      <c r="J177" s="924"/>
      <c r="K177" s="924"/>
      <c r="L177" s="924"/>
      <c r="M177" s="924"/>
      <c r="N177" s="906">
        <f>SUM(N175:N176)</f>
        <v>0</v>
      </c>
    </row>
    <row r="178" spans="1:14" s="930" customFormat="1" ht="18" customHeight="1" x14ac:dyDescent="0.3">
      <c r="A178" s="839">
        <v>170</v>
      </c>
      <c r="B178" s="926"/>
      <c r="C178" s="882"/>
      <c r="D178" s="937" t="s">
        <v>554</v>
      </c>
      <c r="E178" s="920">
        <v>2000</v>
      </c>
      <c r="F178" s="920">
        <v>1500</v>
      </c>
      <c r="G178" s="921">
        <v>4000</v>
      </c>
      <c r="H178" s="927"/>
      <c r="I178" s="931"/>
      <c r="J178" s="932"/>
      <c r="K178" s="932"/>
      <c r="L178" s="932"/>
      <c r="M178" s="932"/>
      <c r="N178" s="933"/>
    </row>
    <row r="179" spans="1:14" s="930" customFormat="1" ht="18" customHeight="1" x14ac:dyDescent="0.3">
      <c r="A179" s="839">
        <v>171</v>
      </c>
      <c r="B179" s="926"/>
      <c r="C179" s="882"/>
      <c r="D179" s="938" t="s">
        <v>230</v>
      </c>
      <c r="E179" s="920"/>
      <c r="F179" s="920"/>
      <c r="G179" s="921"/>
      <c r="H179" s="927"/>
      <c r="I179" s="923">
        <f>SUM(J179:N179)</f>
        <v>4000</v>
      </c>
      <c r="J179" s="932"/>
      <c r="K179" s="932"/>
      <c r="L179" s="932"/>
      <c r="M179" s="932"/>
      <c r="N179" s="933">
        <v>4000</v>
      </c>
    </row>
    <row r="180" spans="1:14" s="930" customFormat="1" ht="18" customHeight="1" x14ac:dyDescent="0.3">
      <c r="A180" s="839">
        <v>172</v>
      </c>
      <c r="B180" s="926"/>
      <c r="C180" s="882"/>
      <c r="D180" s="925" t="s">
        <v>231</v>
      </c>
      <c r="E180" s="920"/>
      <c r="F180" s="920"/>
      <c r="G180" s="921"/>
      <c r="H180" s="927"/>
      <c r="I180" s="920">
        <f>SUM(J180:N180)</f>
        <v>4000</v>
      </c>
      <c r="J180" s="934"/>
      <c r="K180" s="934"/>
      <c r="L180" s="934"/>
      <c r="M180" s="934"/>
      <c r="N180" s="935">
        <v>4000</v>
      </c>
    </row>
    <row r="181" spans="1:14" s="930" customFormat="1" ht="18" customHeight="1" x14ac:dyDescent="0.3">
      <c r="A181" s="839">
        <v>173</v>
      </c>
      <c r="B181" s="926"/>
      <c r="C181" s="882"/>
      <c r="D181" s="925" t="s">
        <v>245</v>
      </c>
      <c r="E181" s="920"/>
      <c r="F181" s="920"/>
      <c r="G181" s="921"/>
      <c r="H181" s="927"/>
      <c r="I181" s="272">
        <f>SUM(J181:Q181)</f>
        <v>0</v>
      </c>
      <c r="J181" s="932"/>
      <c r="K181" s="932"/>
      <c r="L181" s="932"/>
      <c r="M181" s="932"/>
      <c r="N181" s="933"/>
    </row>
    <row r="182" spans="1:14" s="930" customFormat="1" ht="18" customHeight="1" x14ac:dyDescent="0.3">
      <c r="A182" s="839">
        <v>174</v>
      </c>
      <c r="B182" s="926"/>
      <c r="C182" s="882"/>
      <c r="D182" s="925" t="s">
        <v>233</v>
      </c>
      <c r="E182" s="920"/>
      <c r="F182" s="920"/>
      <c r="G182" s="921"/>
      <c r="H182" s="927"/>
      <c r="I182" s="252">
        <f>SUM(J182:Q182)</f>
        <v>4000</v>
      </c>
      <c r="J182" s="932"/>
      <c r="K182" s="932"/>
      <c r="L182" s="932"/>
      <c r="M182" s="932"/>
      <c r="N182" s="935">
        <f>SUM(N180:N181)</f>
        <v>4000</v>
      </c>
    </row>
    <row r="183" spans="1:14" s="930" customFormat="1" ht="18" customHeight="1" x14ac:dyDescent="0.3">
      <c r="A183" s="839">
        <v>175</v>
      </c>
      <c r="B183" s="926"/>
      <c r="C183" s="882"/>
      <c r="D183" s="937" t="s">
        <v>555</v>
      </c>
      <c r="E183" s="920"/>
      <c r="F183" s="920"/>
      <c r="G183" s="921"/>
      <c r="H183" s="927"/>
      <c r="I183" s="923"/>
      <c r="J183" s="932"/>
      <c r="K183" s="932"/>
      <c r="L183" s="932"/>
      <c r="M183" s="932"/>
      <c r="N183" s="933"/>
    </row>
    <row r="184" spans="1:14" s="930" customFormat="1" ht="18" customHeight="1" x14ac:dyDescent="0.3">
      <c r="A184" s="839">
        <v>176</v>
      </c>
      <c r="B184" s="926"/>
      <c r="C184" s="882"/>
      <c r="D184" s="938" t="s">
        <v>230</v>
      </c>
      <c r="E184" s="920"/>
      <c r="F184" s="920"/>
      <c r="G184" s="921"/>
      <c r="H184" s="927"/>
      <c r="I184" s="923">
        <f>SUM(J184:N184)</f>
        <v>1500</v>
      </c>
      <c r="J184" s="932"/>
      <c r="K184" s="932"/>
      <c r="L184" s="932"/>
      <c r="M184" s="932"/>
      <c r="N184" s="933">
        <v>1500</v>
      </c>
    </row>
    <row r="185" spans="1:14" s="930" customFormat="1" ht="18" customHeight="1" x14ac:dyDescent="0.3">
      <c r="A185" s="839">
        <v>177</v>
      </c>
      <c r="B185" s="926"/>
      <c r="C185" s="882"/>
      <c r="D185" s="925" t="s">
        <v>231</v>
      </c>
      <c r="E185" s="920"/>
      <c r="F185" s="920"/>
      <c r="G185" s="921"/>
      <c r="H185" s="927"/>
      <c r="I185" s="920">
        <f>SUM(J185:N185)</f>
        <v>1500</v>
      </c>
      <c r="J185" s="934"/>
      <c r="K185" s="934"/>
      <c r="L185" s="934"/>
      <c r="M185" s="934"/>
      <c r="N185" s="935">
        <v>1500</v>
      </c>
    </row>
    <row r="186" spans="1:14" s="930" customFormat="1" ht="18" customHeight="1" x14ac:dyDescent="0.3">
      <c r="A186" s="839">
        <v>178</v>
      </c>
      <c r="B186" s="926"/>
      <c r="C186" s="882"/>
      <c r="D186" s="925" t="s">
        <v>245</v>
      </c>
      <c r="E186" s="920"/>
      <c r="F186" s="920"/>
      <c r="G186" s="921"/>
      <c r="H186" s="927"/>
      <c r="I186" s="272">
        <f>SUM(J186:Q186)</f>
        <v>0</v>
      </c>
      <c r="J186" s="932"/>
      <c r="K186" s="932"/>
      <c r="L186" s="932"/>
      <c r="M186" s="932"/>
      <c r="N186" s="933"/>
    </row>
    <row r="187" spans="1:14" s="930" customFormat="1" ht="18" customHeight="1" x14ac:dyDescent="0.3">
      <c r="A187" s="839">
        <v>179</v>
      </c>
      <c r="B187" s="926"/>
      <c r="C187" s="882"/>
      <c r="D187" s="925" t="s">
        <v>233</v>
      </c>
      <c r="E187" s="920"/>
      <c r="F187" s="920"/>
      <c r="G187" s="921"/>
      <c r="H187" s="927"/>
      <c r="I187" s="252">
        <f>SUM(J187:Q187)</f>
        <v>1500</v>
      </c>
      <c r="J187" s="932"/>
      <c r="K187" s="932"/>
      <c r="L187" s="932"/>
      <c r="M187" s="932"/>
      <c r="N187" s="935">
        <f>SUM(N185:N186)</f>
        <v>1500</v>
      </c>
    </row>
    <row r="188" spans="1:14" s="930" customFormat="1" ht="18" customHeight="1" x14ac:dyDescent="0.3">
      <c r="A188" s="839">
        <v>180</v>
      </c>
      <c r="B188" s="926"/>
      <c r="C188" s="882"/>
      <c r="D188" s="937" t="s">
        <v>556</v>
      </c>
      <c r="E188" s="920"/>
      <c r="F188" s="920"/>
      <c r="G188" s="921"/>
      <c r="H188" s="927"/>
      <c r="I188" s="923"/>
      <c r="J188" s="932"/>
      <c r="K188" s="932"/>
      <c r="L188" s="932"/>
      <c r="M188" s="932"/>
      <c r="N188" s="933"/>
    </row>
    <row r="189" spans="1:14" s="930" customFormat="1" ht="18" customHeight="1" x14ac:dyDescent="0.3">
      <c r="A189" s="839">
        <v>181</v>
      </c>
      <c r="B189" s="926"/>
      <c r="C189" s="882"/>
      <c r="D189" s="938" t="s">
        <v>230</v>
      </c>
      <c r="E189" s="920"/>
      <c r="F189" s="920"/>
      <c r="G189" s="921"/>
      <c r="H189" s="927"/>
      <c r="I189" s="923">
        <f>SUM(J189:N189)</f>
        <v>2200</v>
      </c>
      <c r="J189" s="932"/>
      <c r="K189" s="932"/>
      <c r="L189" s="932"/>
      <c r="M189" s="932"/>
      <c r="N189" s="933">
        <v>2200</v>
      </c>
    </row>
    <row r="190" spans="1:14" s="930" customFormat="1" ht="18" customHeight="1" x14ac:dyDescent="0.3">
      <c r="A190" s="839">
        <v>182</v>
      </c>
      <c r="B190" s="926"/>
      <c r="C190" s="882"/>
      <c r="D190" s="925" t="s">
        <v>231</v>
      </c>
      <c r="E190" s="920"/>
      <c r="F190" s="920"/>
      <c r="G190" s="921"/>
      <c r="H190" s="927"/>
      <c r="I190" s="920">
        <f>SUM(J190:N190)</f>
        <v>2200</v>
      </c>
      <c r="J190" s="934"/>
      <c r="K190" s="934"/>
      <c r="L190" s="934"/>
      <c r="M190" s="934"/>
      <c r="N190" s="935">
        <v>2200</v>
      </c>
    </row>
    <row r="191" spans="1:14" s="930" customFormat="1" ht="18" customHeight="1" x14ac:dyDescent="0.3">
      <c r="A191" s="839">
        <v>183</v>
      </c>
      <c r="B191" s="926"/>
      <c r="C191" s="882"/>
      <c r="D191" s="925" t="s">
        <v>245</v>
      </c>
      <c r="E191" s="920"/>
      <c r="F191" s="920"/>
      <c r="G191" s="921"/>
      <c r="H191" s="927"/>
      <c r="I191" s="272">
        <f>SUM(J191:Q191)</f>
        <v>0</v>
      </c>
      <c r="J191" s="932"/>
      <c r="K191" s="932"/>
      <c r="L191" s="932"/>
      <c r="M191" s="932"/>
      <c r="N191" s="933"/>
    </row>
    <row r="192" spans="1:14" s="930" customFormat="1" ht="18" customHeight="1" x14ac:dyDescent="0.3">
      <c r="A192" s="839">
        <v>184</v>
      </c>
      <c r="B192" s="926"/>
      <c r="C192" s="882"/>
      <c r="D192" s="925" t="s">
        <v>233</v>
      </c>
      <c r="E192" s="920"/>
      <c r="F192" s="920"/>
      <c r="G192" s="921"/>
      <c r="H192" s="927"/>
      <c r="I192" s="252">
        <f>SUM(J192:Q192)</f>
        <v>2200</v>
      </c>
      <c r="J192" s="932"/>
      <c r="K192" s="932"/>
      <c r="L192" s="932"/>
      <c r="M192" s="932"/>
      <c r="N192" s="935">
        <f>SUM(N190:N191)</f>
        <v>2200</v>
      </c>
    </row>
    <row r="193" spans="1:14" s="930" customFormat="1" ht="18" customHeight="1" x14ac:dyDescent="0.3">
      <c r="A193" s="839">
        <v>185</v>
      </c>
      <c r="B193" s="926"/>
      <c r="C193" s="882"/>
      <c r="D193" s="937" t="s">
        <v>557</v>
      </c>
      <c r="E193" s="920">
        <v>500</v>
      </c>
      <c r="F193" s="920">
        <v>500</v>
      </c>
      <c r="G193" s="921"/>
      <c r="H193" s="927"/>
      <c r="I193" s="923"/>
      <c r="J193" s="924"/>
      <c r="K193" s="924"/>
      <c r="L193" s="924"/>
      <c r="M193" s="924"/>
      <c r="N193" s="929"/>
    </row>
    <row r="194" spans="1:14" s="930" customFormat="1" ht="18" customHeight="1" x14ac:dyDescent="0.3">
      <c r="A194" s="839">
        <v>186</v>
      </c>
      <c r="B194" s="926"/>
      <c r="C194" s="882"/>
      <c r="D194" s="937" t="s">
        <v>558</v>
      </c>
      <c r="E194" s="920">
        <v>1000</v>
      </c>
      <c r="F194" s="920"/>
      <c r="G194" s="921"/>
      <c r="H194" s="927"/>
      <c r="I194" s="928"/>
      <c r="J194" s="924"/>
      <c r="K194" s="924"/>
      <c r="L194" s="924"/>
      <c r="M194" s="924"/>
      <c r="N194" s="929"/>
    </row>
    <row r="195" spans="1:14" s="930" customFormat="1" ht="18" customHeight="1" x14ac:dyDescent="0.3">
      <c r="A195" s="839">
        <v>187</v>
      </c>
      <c r="B195" s="926"/>
      <c r="C195" s="882"/>
      <c r="D195" s="937" t="s">
        <v>559</v>
      </c>
      <c r="E195" s="920"/>
      <c r="F195" s="920"/>
      <c r="G195" s="921"/>
      <c r="H195" s="927"/>
      <c r="I195" s="923"/>
      <c r="J195" s="924"/>
      <c r="K195" s="924"/>
      <c r="L195" s="924"/>
      <c r="M195" s="924"/>
      <c r="N195" s="929"/>
    </row>
    <row r="196" spans="1:14" s="930" customFormat="1" ht="18" customHeight="1" x14ac:dyDescent="0.3">
      <c r="A196" s="839">
        <v>188</v>
      </c>
      <c r="B196" s="926"/>
      <c r="C196" s="882"/>
      <c r="D196" s="938" t="s">
        <v>230</v>
      </c>
      <c r="E196" s="920"/>
      <c r="F196" s="920"/>
      <c r="G196" s="921"/>
      <c r="H196" s="927"/>
      <c r="I196" s="923">
        <f>SUM(J196:N196)</f>
        <v>1500</v>
      </c>
      <c r="J196" s="924"/>
      <c r="K196" s="924"/>
      <c r="L196" s="924"/>
      <c r="M196" s="924"/>
      <c r="N196" s="929">
        <v>1500</v>
      </c>
    </row>
    <row r="197" spans="1:14" s="930" customFormat="1" ht="18" customHeight="1" x14ac:dyDescent="0.3">
      <c r="A197" s="839">
        <v>189</v>
      </c>
      <c r="B197" s="926"/>
      <c r="C197" s="882"/>
      <c r="D197" s="925" t="s">
        <v>231</v>
      </c>
      <c r="E197" s="920"/>
      <c r="F197" s="920"/>
      <c r="G197" s="921"/>
      <c r="H197" s="927"/>
      <c r="I197" s="920">
        <f>SUM(J197:N197)</f>
        <v>1500</v>
      </c>
      <c r="J197" s="904"/>
      <c r="K197" s="904"/>
      <c r="L197" s="904"/>
      <c r="M197" s="904"/>
      <c r="N197" s="906">
        <v>1500</v>
      </c>
    </row>
    <row r="198" spans="1:14" s="930" customFormat="1" ht="18" customHeight="1" x14ac:dyDescent="0.3">
      <c r="A198" s="839">
        <v>190</v>
      </c>
      <c r="B198" s="926"/>
      <c r="C198" s="882"/>
      <c r="D198" s="925" t="s">
        <v>245</v>
      </c>
      <c r="E198" s="920"/>
      <c r="F198" s="920"/>
      <c r="G198" s="921"/>
      <c r="H198" s="927"/>
      <c r="I198" s="272">
        <f>SUM(J198:Q198)</f>
        <v>0</v>
      </c>
      <c r="J198" s="924"/>
      <c r="K198" s="924"/>
      <c r="L198" s="924"/>
      <c r="M198" s="924"/>
      <c r="N198" s="929"/>
    </row>
    <row r="199" spans="1:14" s="930" customFormat="1" ht="18" customHeight="1" x14ac:dyDescent="0.3">
      <c r="A199" s="839">
        <v>191</v>
      </c>
      <c r="B199" s="926"/>
      <c r="C199" s="882"/>
      <c r="D199" s="925" t="s">
        <v>233</v>
      </c>
      <c r="E199" s="920"/>
      <c r="F199" s="920"/>
      <c r="G199" s="921"/>
      <c r="H199" s="927"/>
      <c r="I199" s="252">
        <f>SUM(J199:Q199)</f>
        <v>1500</v>
      </c>
      <c r="J199" s="924"/>
      <c r="K199" s="924"/>
      <c r="L199" s="924"/>
      <c r="M199" s="924"/>
      <c r="N199" s="906">
        <f>SUM(N197:N198)</f>
        <v>1500</v>
      </c>
    </row>
    <row r="200" spans="1:14" s="930" customFormat="1" ht="18" customHeight="1" x14ac:dyDescent="0.3">
      <c r="A200" s="839">
        <v>192</v>
      </c>
      <c r="B200" s="926"/>
      <c r="C200" s="882"/>
      <c r="D200" s="937" t="s">
        <v>560</v>
      </c>
      <c r="E200" s="920"/>
      <c r="F200" s="920"/>
      <c r="G200" s="921"/>
      <c r="H200" s="927"/>
      <c r="I200" s="928"/>
      <c r="J200" s="924"/>
      <c r="K200" s="924"/>
      <c r="L200" s="924"/>
      <c r="M200" s="924"/>
      <c r="N200" s="929"/>
    </row>
    <row r="201" spans="1:14" s="930" customFormat="1" ht="18" customHeight="1" x14ac:dyDescent="0.3">
      <c r="A201" s="839">
        <v>193</v>
      </c>
      <c r="B201" s="926"/>
      <c r="C201" s="882"/>
      <c r="D201" s="938" t="s">
        <v>230</v>
      </c>
      <c r="E201" s="920"/>
      <c r="F201" s="920"/>
      <c r="G201" s="921"/>
      <c r="H201" s="927"/>
      <c r="I201" s="923">
        <f>SUM(J201:N201)</f>
        <v>1400</v>
      </c>
      <c r="J201" s="924"/>
      <c r="K201" s="924"/>
      <c r="L201" s="924"/>
      <c r="M201" s="924"/>
      <c r="N201" s="929">
        <v>1400</v>
      </c>
    </row>
    <row r="202" spans="1:14" s="930" customFormat="1" ht="18" customHeight="1" x14ac:dyDescent="0.3">
      <c r="A202" s="839">
        <v>194</v>
      </c>
      <c r="B202" s="926"/>
      <c r="C202" s="882"/>
      <c r="D202" s="925" t="s">
        <v>231</v>
      </c>
      <c r="E202" s="920"/>
      <c r="F202" s="920"/>
      <c r="G202" s="921"/>
      <c r="H202" s="927"/>
      <c r="I202" s="920">
        <f>SUM(J202:N202)</f>
        <v>1400</v>
      </c>
      <c r="J202" s="904"/>
      <c r="K202" s="904"/>
      <c r="L202" s="904"/>
      <c r="M202" s="904"/>
      <c r="N202" s="906">
        <v>1400</v>
      </c>
    </row>
    <row r="203" spans="1:14" s="930" customFormat="1" ht="18" customHeight="1" x14ac:dyDescent="0.3">
      <c r="A203" s="839">
        <v>195</v>
      </c>
      <c r="B203" s="926"/>
      <c r="C203" s="882"/>
      <c r="D203" s="925" t="s">
        <v>245</v>
      </c>
      <c r="E203" s="920"/>
      <c r="F203" s="920"/>
      <c r="G203" s="921"/>
      <c r="H203" s="927"/>
      <c r="I203" s="272">
        <f>SUM(J203:Q203)</f>
        <v>0</v>
      </c>
      <c r="J203" s="924"/>
      <c r="K203" s="924"/>
      <c r="L203" s="924"/>
      <c r="M203" s="924"/>
      <c r="N203" s="929"/>
    </row>
    <row r="204" spans="1:14" s="930" customFormat="1" ht="18" customHeight="1" x14ac:dyDescent="0.3">
      <c r="A204" s="839">
        <v>196</v>
      </c>
      <c r="B204" s="926"/>
      <c r="C204" s="882"/>
      <c r="D204" s="925" t="s">
        <v>233</v>
      </c>
      <c r="E204" s="920"/>
      <c r="F204" s="920"/>
      <c r="G204" s="921"/>
      <c r="H204" s="927"/>
      <c r="I204" s="252">
        <f>SUM(J204:Q204)</f>
        <v>1400</v>
      </c>
      <c r="J204" s="924"/>
      <c r="K204" s="924"/>
      <c r="L204" s="924"/>
      <c r="M204" s="924"/>
      <c r="N204" s="906">
        <f>SUM(N202:N203)</f>
        <v>1400</v>
      </c>
    </row>
    <row r="205" spans="1:14" s="930" customFormat="1" ht="18" customHeight="1" x14ac:dyDescent="0.3">
      <c r="A205" s="839">
        <v>197</v>
      </c>
      <c r="B205" s="926"/>
      <c r="C205" s="882"/>
      <c r="D205" s="937" t="s">
        <v>561</v>
      </c>
      <c r="E205" s="920"/>
      <c r="F205" s="920"/>
      <c r="G205" s="921"/>
      <c r="H205" s="927"/>
      <c r="I205" s="928"/>
      <c r="J205" s="924"/>
      <c r="K205" s="924"/>
      <c r="L205" s="924"/>
      <c r="M205" s="924"/>
      <c r="N205" s="929"/>
    </row>
    <row r="206" spans="1:14" s="930" customFormat="1" ht="18" customHeight="1" x14ac:dyDescent="0.3">
      <c r="A206" s="839">
        <v>198</v>
      </c>
      <c r="B206" s="926"/>
      <c r="C206" s="882"/>
      <c r="D206" s="938" t="s">
        <v>230</v>
      </c>
      <c r="E206" s="920"/>
      <c r="F206" s="920"/>
      <c r="G206" s="921"/>
      <c r="H206" s="927"/>
      <c r="I206" s="923">
        <f>SUM(J206:N206)</f>
        <v>10000</v>
      </c>
      <c r="J206" s="924"/>
      <c r="K206" s="924"/>
      <c r="L206" s="924"/>
      <c r="M206" s="924"/>
      <c r="N206" s="929">
        <v>10000</v>
      </c>
    </row>
    <row r="207" spans="1:14" s="930" customFormat="1" ht="18" customHeight="1" x14ac:dyDescent="0.3">
      <c r="A207" s="839">
        <v>199</v>
      </c>
      <c r="B207" s="926"/>
      <c r="C207" s="882"/>
      <c r="D207" s="925" t="s">
        <v>231</v>
      </c>
      <c r="E207" s="939"/>
      <c r="F207" s="920"/>
      <c r="G207" s="921"/>
      <c r="H207" s="927"/>
      <c r="I207" s="920">
        <f>SUM(J207:N207)</f>
        <v>0</v>
      </c>
      <c r="J207" s="904">
        <v>0</v>
      </c>
      <c r="K207" s="904">
        <v>0</v>
      </c>
      <c r="L207" s="904"/>
      <c r="M207" s="904"/>
      <c r="N207" s="906">
        <v>0</v>
      </c>
    </row>
    <row r="208" spans="1:14" s="930" customFormat="1" ht="18" customHeight="1" x14ac:dyDescent="0.3">
      <c r="A208" s="839">
        <v>200</v>
      </c>
      <c r="B208" s="926"/>
      <c r="C208" s="882"/>
      <c r="D208" s="925" t="s">
        <v>232</v>
      </c>
      <c r="E208" s="939"/>
      <c r="F208" s="920"/>
      <c r="G208" s="921"/>
      <c r="H208" s="927"/>
      <c r="I208" s="272">
        <f>SUM(J208:Q208)</f>
        <v>0</v>
      </c>
      <c r="J208" s="904"/>
      <c r="K208" s="904"/>
      <c r="L208" s="924"/>
      <c r="M208" s="924"/>
      <c r="N208" s="906"/>
    </row>
    <row r="209" spans="1:14" s="930" customFormat="1" ht="18" customHeight="1" x14ac:dyDescent="0.3">
      <c r="A209" s="839">
        <v>201</v>
      </c>
      <c r="B209" s="926"/>
      <c r="C209" s="882"/>
      <c r="D209" s="925" t="s">
        <v>233</v>
      </c>
      <c r="E209" s="939"/>
      <c r="F209" s="920"/>
      <c r="G209" s="921"/>
      <c r="H209" s="927"/>
      <c r="I209" s="252">
        <f>SUM(J209:Q209)</f>
        <v>0</v>
      </c>
      <c r="J209" s="904">
        <f>SUM(J207:J208)</f>
        <v>0</v>
      </c>
      <c r="K209" s="904">
        <f>SUM(K207:K208)</f>
        <v>0</v>
      </c>
      <c r="L209" s="924"/>
      <c r="M209" s="924"/>
      <c r="N209" s="906">
        <f>SUM(N207:N208)</f>
        <v>0</v>
      </c>
    </row>
    <row r="210" spans="1:14" s="930" customFormat="1" ht="18" customHeight="1" x14ac:dyDescent="0.3">
      <c r="A210" s="839">
        <v>202</v>
      </c>
      <c r="B210" s="926"/>
      <c r="C210" s="882"/>
      <c r="D210" s="1988" t="s">
        <v>562</v>
      </c>
      <c r="E210" s="1988"/>
      <c r="F210" s="920"/>
      <c r="G210" s="921"/>
      <c r="H210" s="927"/>
      <c r="I210" s="928"/>
      <c r="J210" s="924"/>
      <c r="K210" s="924"/>
      <c r="L210" s="924"/>
      <c r="M210" s="924"/>
      <c r="N210" s="929"/>
    </row>
    <row r="211" spans="1:14" s="930" customFormat="1" ht="18" customHeight="1" x14ac:dyDescent="0.3">
      <c r="A211" s="839">
        <v>203</v>
      </c>
      <c r="B211" s="926"/>
      <c r="C211" s="882"/>
      <c r="D211" s="938" t="s">
        <v>230</v>
      </c>
      <c r="E211" s="920"/>
      <c r="F211" s="920"/>
      <c r="G211" s="921"/>
      <c r="H211" s="927"/>
      <c r="I211" s="923">
        <f>SUM(J211:N211)</f>
        <v>500</v>
      </c>
      <c r="J211" s="924"/>
      <c r="K211" s="924"/>
      <c r="L211" s="924"/>
      <c r="M211" s="924"/>
      <c r="N211" s="929">
        <v>500</v>
      </c>
    </row>
    <row r="212" spans="1:14" s="930" customFormat="1" ht="18" customHeight="1" x14ac:dyDescent="0.3">
      <c r="A212" s="839">
        <v>204</v>
      </c>
      <c r="B212" s="926"/>
      <c r="C212" s="882"/>
      <c r="D212" s="925" t="s">
        <v>231</v>
      </c>
      <c r="E212" s="920"/>
      <c r="F212" s="920"/>
      <c r="G212" s="921"/>
      <c r="H212" s="927"/>
      <c r="I212" s="920">
        <f>SUM(J212:N212)</f>
        <v>500</v>
      </c>
      <c r="J212" s="904"/>
      <c r="K212" s="904"/>
      <c r="L212" s="904"/>
      <c r="M212" s="904"/>
      <c r="N212" s="906">
        <v>500</v>
      </c>
    </row>
    <row r="213" spans="1:14" s="930" customFormat="1" ht="18" customHeight="1" x14ac:dyDescent="0.3">
      <c r="A213" s="839">
        <v>205</v>
      </c>
      <c r="B213" s="926"/>
      <c r="C213" s="882"/>
      <c r="D213" s="925" t="s">
        <v>245</v>
      </c>
      <c r="E213" s="920"/>
      <c r="F213" s="920"/>
      <c r="G213" s="921"/>
      <c r="H213" s="927"/>
      <c r="I213" s="272">
        <f>SUM(J213:Q213)</f>
        <v>0</v>
      </c>
      <c r="J213" s="924"/>
      <c r="K213" s="924"/>
      <c r="L213" s="924"/>
      <c r="M213" s="924"/>
      <c r="N213" s="929"/>
    </row>
    <row r="214" spans="1:14" s="930" customFormat="1" ht="18" customHeight="1" x14ac:dyDescent="0.3">
      <c r="A214" s="839">
        <v>206</v>
      </c>
      <c r="B214" s="926"/>
      <c r="C214" s="882"/>
      <c r="D214" s="925" t="s">
        <v>233</v>
      </c>
      <c r="E214" s="920"/>
      <c r="F214" s="920"/>
      <c r="G214" s="921"/>
      <c r="H214" s="927"/>
      <c r="I214" s="252">
        <f>SUM(J214:Q214)</f>
        <v>500</v>
      </c>
      <c r="J214" s="924"/>
      <c r="K214" s="924"/>
      <c r="L214" s="924"/>
      <c r="M214" s="924"/>
      <c r="N214" s="906">
        <f>SUM(N212:N213)</f>
        <v>500</v>
      </c>
    </row>
    <row r="215" spans="1:14" s="930" customFormat="1" ht="18" customHeight="1" x14ac:dyDescent="0.3">
      <c r="A215" s="839">
        <v>207</v>
      </c>
      <c r="B215" s="926"/>
      <c r="C215" s="882"/>
      <c r="D215" s="937" t="s">
        <v>563</v>
      </c>
      <c r="E215" s="920"/>
      <c r="F215" s="920"/>
      <c r="G215" s="921"/>
      <c r="H215" s="927"/>
      <c r="I215" s="928"/>
      <c r="J215" s="924"/>
      <c r="K215" s="924"/>
      <c r="L215" s="924"/>
      <c r="M215" s="924"/>
      <c r="N215" s="929"/>
    </row>
    <row r="216" spans="1:14" s="930" customFormat="1" ht="18" customHeight="1" x14ac:dyDescent="0.3">
      <c r="A216" s="839">
        <v>208</v>
      </c>
      <c r="B216" s="926"/>
      <c r="C216" s="882"/>
      <c r="D216" s="938" t="s">
        <v>230</v>
      </c>
      <c r="E216" s="920"/>
      <c r="F216" s="920"/>
      <c r="G216" s="921"/>
      <c r="H216" s="927"/>
      <c r="I216" s="923">
        <f>SUM(J216:N216)</f>
        <v>4200</v>
      </c>
      <c r="J216" s="924"/>
      <c r="K216" s="924"/>
      <c r="L216" s="924"/>
      <c r="M216" s="924"/>
      <c r="N216" s="929">
        <f>3000+1200</f>
        <v>4200</v>
      </c>
    </row>
    <row r="217" spans="1:14" s="930" customFormat="1" ht="18" customHeight="1" x14ac:dyDescent="0.3">
      <c r="A217" s="839">
        <v>209</v>
      </c>
      <c r="B217" s="926"/>
      <c r="C217" s="882"/>
      <c r="D217" s="925" t="s">
        <v>231</v>
      </c>
      <c r="E217" s="920"/>
      <c r="F217" s="920"/>
      <c r="G217" s="921"/>
      <c r="H217" s="927"/>
      <c r="I217" s="920">
        <f>SUM(J217:N217)</f>
        <v>4200</v>
      </c>
      <c r="J217" s="904"/>
      <c r="K217" s="904"/>
      <c r="L217" s="904"/>
      <c r="M217" s="904"/>
      <c r="N217" s="906">
        <v>4200</v>
      </c>
    </row>
    <row r="218" spans="1:14" s="930" customFormat="1" ht="18" customHeight="1" x14ac:dyDescent="0.3">
      <c r="A218" s="839">
        <v>210</v>
      </c>
      <c r="B218" s="926"/>
      <c r="C218" s="882"/>
      <c r="D218" s="925" t="s">
        <v>245</v>
      </c>
      <c r="E218" s="920"/>
      <c r="F218" s="920"/>
      <c r="G218" s="921"/>
      <c r="H218" s="927"/>
      <c r="I218" s="272">
        <f>SUM(J218:Q218)</f>
        <v>0</v>
      </c>
      <c r="J218" s="924"/>
      <c r="K218" s="924"/>
      <c r="L218" s="924"/>
      <c r="M218" s="924"/>
      <c r="N218" s="929"/>
    </row>
    <row r="219" spans="1:14" s="930" customFormat="1" ht="18" customHeight="1" x14ac:dyDescent="0.3">
      <c r="A219" s="839">
        <v>211</v>
      </c>
      <c r="B219" s="926"/>
      <c r="C219" s="882"/>
      <c r="D219" s="925" t="s">
        <v>233</v>
      </c>
      <c r="E219" s="920"/>
      <c r="F219" s="920"/>
      <c r="G219" s="921"/>
      <c r="H219" s="927"/>
      <c r="I219" s="252">
        <f>SUM(J219:Q219)</f>
        <v>4200</v>
      </c>
      <c r="J219" s="924"/>
      <c r="K219" s="924"/>
      <c r="L219" s="924"/>
      <c r="M219" s="924"/>
      <c r="N219" s="906">
        <f>SUM(N217:N218)</f>
        <v>4200</v>
      </c>
    </row>
    <row r="220" spans="1:14" s="930" customFormat="1" ht="18" customHeight="1" x14ac:dyDescent="0.3">
      <c r="A220" s="839">
        <v>212</v>
      </c>
      <c r="B220" s="926"/>
      <c r="C220" s="882"/>
      <c r="D220" s="937" t="s">
        <v>564</v>
      </c>
      <c r="E220" s="920"/>
      <c r="F220" s="920"/>
      <c r="G220" s="921"/>
      <c r="H220" s="927"/>
      <c r="I220" s="923"/>
      <c r="J220" s="924"/>
      <c r="K220" s="924"/>
      <c r="L220" s="924"/>
      <c r="M220" s="924"/>
      <c r="N220" s="929"/>
    </row>
    <row r="221" spans="1:14" s="930" customFormat="1" ht="18" customHeight="1" x14ac:dyDescent="0.3">
      <c r="A221" s="839">
        <v>213</v>
      </c>
      <c r="B221" s="926"/>
      <c r="C221" s="882"/>
      <c r="D221" s="938" t="s">
        <v>230</v>
      </c>
      <c r="E221" s="920"/>
      <c r="F221" s="920"/>
      <c r="G221" s="921"/>
      <c r="H221" s="927"/>
      <c r="I221" s="923">
        <f>SUM(J221:N221)</f>
        <v>1000</v>
      </c>
      <c r="J221" s="924"/>
      <c r="K221" s="924"/>
      <c r="L221" s="924">
        <v>1000</v>
      </c>
      <c r="M221" s="924"/>
      <c r="N221" s="929"/>
    </row>
    <row r="222" spans="1:14" s="930" customFormat="1" ht="18" customHeight="1" x14ac:dyDescent="0.3">
      <c r="A222" s="839">
        <v>214</v>
      </c>
      <c r="B222" s="926"/>
      <c r="C222" s="882"/>
      <c r="D222" s="925" t="s">
        <v>231</v>
      </c>
      <c r="E222" s="920"/>
      <c r="F222" s="920"/>
      <c r="G222" s="921"/>
      <c r="H222" s="927"/>
      <c r="I222" s="920">
        <f>SUM(J222:N222)</f>
        <v>1000</v>
      </c>
      <c r="J222" s="904"/>
      <c r="K222" s="904"/>
      <c r="L222" s="904">
        <v>1000</v>
      </c>
      <c r="M222" s="924"/>
      <c r="N222" s="929"/>
    </row>
    <row r="223" spans="1:14" s="930" customFormat="1" ht="18" customHeight="1" x14ac:dyDescent="0.3">
      <c r="A223" s="839">
        <v>215</v>
      </c>
      <c r="B223" s="926"/>
      <c r="C223" s="882"/>
      <c r="D223" s="925" t="s">
        <v>245</v>
      </c>
      <c r="E223" s="920"/>
      <c r="F223" s="920"/>
      <c r="G223" s="921"/>
      <c r="H223" s="927"/>
      <c r="I223" s="272">
        <f>SUM(J223:Q223)</f>
        <v>0</v>
      </c>
      <c r="J223" s="924"/>
      <c r="K223" s="924"/>
      <c r="L223" s="924"/>
      <c r="M223" s="924"/>
      <c r="N223" s="929"/>
    </row>
    <row r="224" spans="1:14" s="930" customFormat="1" ht="18" customHeight="1" x14ac:dyDescent="0.3">
      <c r="A224" s="839">
        <v>216</v>
      </c>
      <c r="B224" s="926"/>
      <c r="C224" s="882"/>
      <c r="D224" s="925" t="s">
        <v>233</v>
      </c>
      <c r="E224" s="920"/>
      <c r="F224" s="920"/>
      <c r="G224" s="921"/>
      <c r="H224" s="927"/>
      <c r="I224" s="252">
        <f>SUM(J224:Q224)</f>
        <v>1000</v>
      </c>
      <c r="J224" s="924"/>
      <c r="K224" s="924"/>
      <c r="L224" s="904">
        <f>SUM(L222:L223)</f>
        <v>1000</v>
      </c>
      <c r="M224" s="924"/>
      <c r="N224" s="929"/>
    </row>
    <row r="225" spans="1:14" s="930" customFormat="1" ht="18" customHeight="1" x14ac:dyDescent="0.3">
      <c r="A225" s="839">
        <v>217</v>
      </c>
      <c r="B225" s="926"/>
      <c r="C225" s="882"/>
      <c r="D225" s="937" t="s">
        <v>565</v>
      </c>
      <c r="E225" s="920"/>
      <c r="F225" s="920"/>
      <c r="G225" s="921"/>
      <c r="H225" s="927"/>
      <c r="I225" s="928"/>
      <c r="J225" s="924"/>
      <c r="K225" s="924"/>
      <c r="L225" s="924"/>
      <c r="M225" s="924"/>
      <c r="N225" s="929"/>
    </row>
    <row r="226" spans="1:14" s="930" customFormat="1" ht="18" customHeight="1" x14ac:dyDescent="0.3">
      <c r="A226" s="839">
        <v>218</v>
      </c>
      <c r="B226" s="926"/>
      <c r="C226" s="882"/>
      <c r="D226" s="938" t="s">
        <v>230</v>
      </c>
      <c r="E226" s="920"/>
      <c r="F226" s="920"/>
      <c r="G226" s="921"/>
      <c r="H226" s="927"/>
      <c r="I226" s="923">
        <f>SUM(J226:N226)</f>
        <v>441</v>
      </c>
      <c r="J226" s="924"/>
      <c r="K226" s="924"/>
      <c r="L226" s="924">
        <v>441</v>
      </c>
      <c r="M226" s="924"/>
      <c r="N226" s="929"/>
    </row>
    <row r="227" spans="1:14" s="930" customFormat="1" ht="18" customHeight="1" x14ac:dyDescent="0.3">
      <c r="A227" s="839">
        <v>219</v>
      </c>
      <c r="B227" s="926"/>
      <c r="C227" s="882"/>
      <c r="D227" s="925" t="s">
        <v>231</v>
      </c>
      <c r="E227" s="920"/>
      <c r="F227" s="920"/>
      <c r="G227" s="921"/>
      <c r="H227" s="927"/>
      <c r="I227" s="920">
        <f>SUM(J227:N227)</f>
        <v>441</v>
      </c>
      <c r="J227" s="904"/>
      <c r="K227" s="904"/>
      <c r="L227" s="904">
        <v>441</v>
      </c>
      <c r="M227" s="924"/>
      <c r="N227" s="929"/>
    </row>
    <row r="228" spans="1:14" s="930" customFormat="1" ht="18" customHeight="1" x14ac:dyDescent="0.3">
      <c r="A228" s="839">
        <v>220</v>
      </c>
      <c r="B228" s="926"/>
      <c r="C228" s="882"/>
      <c r="D228" s="925" t="s">
        <v>245</v>
      </c>
      <c r="E228" s="920"/>
      <c r="F228" s="920"/>
      <c r="G228" s="921"/>
      <c r="H228" s="927"/>
      <c r="I228" s="272">
        <f>SUM(J228:Q228)</f>
        <v>0</v>
      </c>
      <c r="J228" s="924"/>
      <c r="K228" s="924"/>
      <c r="L228" s="924"/>
      <c r="M228" s="924"/>
      <c r="N228" s="929"/>
    </row>
    <row r="229" spans="1:14" s="930" customFormat="1" ht="18" customHeight="1" x14ac:dyDescent="0.3">
      <c r="A229" s="839">
        <v>221</v>
      </c>
      <c r="B229" s="926"/>
      <c r="C229" s="882"/>
      <c r="D229" s="925" t="s">
        <v>233</v>
      </c>
      <c r="E229" s="920"/>
      <c r="F229" s="920"/>
      <c r="G229" s="921"/>
      <c r="H229" s="927"/>
      <c r="I229" s="252">
        <f>SUM(J229:Q229)</f>
        <v>441</v>
      </c>
      <c r="J229" s="924"/>
      <c r="K229" s="924"/>
      <c r="L229" s="904">
        <f>SUM(L227:L228)</f>
        <v>441</v>
      </c>
      <c r="M229" s="924"/>
      <c r="N229" s="929"/>
    </row>
    <row r="230" spans="1:14" s="930" customFormat="1" ht="22.5" customHeight="1" x14ac:dyDescent="0.3">
      <c r="A230" s="839">
        <v>222</v>
      </c>
      <c r="B230" s="926"/>
      <c r="C230" s="882">
        <v>14</v>
      </c>
      <c r="D230" s="898" t="s">
        <v>566</v>
      </c>
      <c r="E230" s="920">
        <v>1250</v>
      </c>
      <c r="F230" s="920">
        <v>1250</v>
      </c>
      <c r="G230" s="921">
        <v>1250</v>
      </c>
      <c r="H230" s="886" t="s">
        <v>296</v>
      </c>
      <c r="I230" s="928"/>
      <c r="J230" s="924"/>
      <c r="K230" s="924"/>
      <c r="L230" s="924"/>
      <c r="M230" s="924"/>
      <c r="N230" s="929"/>
    </row>
    <row r="231" spans="1:14" s="943" customFormat="1" ht="18" customHeight="1" x14ac:dyDescent="0.3">
      <c r="A231" s="839">
        <v>223</v>
      </c>
      <c r="B231" s="940"/>
      <c r="C231" s="915"/>
      <c r="D231" s="883" t="s">
        <v>230</v>
      </c>
      <c r="E231" s="928"/>
      <c r="F231" s="928"/>
      <c r="G231" s="941"/>
      <c r="H231" s="917"/>
      <c r="I231" s="887">
        <f>SUM(J231:N231)</f>
        <v>1250</v>
      </c>
      <c r="J231" s="942"/>
      <c r="K231" s="942"/>
      <c r="L231" s="942"/>
      <c r="M231" s="942"/>
      <c r="N231" s="900">
        <v>1250</v>
      </c>
    </row>
    <row r="232" spans="1:14" s="943" customFormat="1" ht="18" customHeight="1" x14ac:dyDescent="0.3">
      <c r="A232" s="839">
        <v>224</v>
      </c>
      <c r="B232" s="940"/>
      <c r="C232" s="915"/>
      <c r="D232" s="266" t="s">
        <v>231</v>
      </c>
      <c r="E232" s="928"/>
      <c r="F232" s="928"/>
      <c r="G232" s="941"/>
      <c r="H232" s="917"/>
      <c r="I232" s="878">
        <f>SUM(J232:N232)</f>
        <v>1250</v>
      </c>
      <c r="J232" s="905"/>
      <c r="K232" s="905"/>
      <c r="L232" s="905"/>
      <c r="M232" s="905"/>
      <c r="N232" s="903">
        <v>1250</v>
      </c>
    </row>
    <row r="233" spans="1:14" s="943" customFormat="1" ht="18" customHeight="1" x14ac:dyDescent="0.3">
      <c r="A233" s="839">
        <v>225</v>
      </c>
      <c r="B233" s="940"/>
      <c r="C233" s="915"/>
      <c r="D233" s="270" t="s">
        <v>245</v>
      </c>
      <c r="E233" s="928"/>
      <c r="F233" s="928"/>
      <c r="G233" s="941"/>
      <c r="H233" s="917"/>
      <c r="I233" s="272">
        <f>SUM(J233:Q233)</f>
        <v>0</v>
      </c>
      <c r="J233" s="942"/>
      <c r="K233" s="942"/>
      <c r="L233" s="942"/>
      <c r="M233" s="942"/>
      <c r="N233" s="900"/>
    </row>
    <row r="234" spans="1:14" s="943" customFormat="1" ht="18" customHeight="1" x14ac:dyDescent="0.3">
      <c r="A234" s="839">
        <v>226</v>
      </c>
      <c r="B234" s="940"/>
      <c r="C234" s="915"/>
      <c r="D234" s="266" t="s">
        <v>233</v>
      </c>
      <c r="E234" s="928"/>
      <c r="F234" s="928"/>
      <c r="G234" s="941"/>
      <c r="H234" s="917"/>
      <c r="I234" s="268">
        <f>SUM(J234:Q234)</f>
        <v>1250</v>
      </c>
      <c r="J234" s="942"/>
      <c r="K234" s="942"/>
      <c r="L234" s="942"/>
      <c r="M234" s="942"/>
      <c r="N234" s="903">
        <f>SUM(N232:N233)</f>
        <v>1250</v>
      </c>
    </row>
    <row r="235" spans="1:14" s="930" customFormat="1" ht="22.5" customHeight="1" x14ac:dyDescent="0.3">
      <c r="A235" s="839">
        <v>227</v>
      </c>
      <c r="B235" s="926"/>
      <c r="C235" s="882">
        <v>15</v>
      </c>
      <c r="D235" s="898" t="s">
        <v>567</v>
      </c>
      <c r="E235" s="920">
        <v>1250</v>
      </c>
      <c r="F235" s="920">
        <v>1250</v>
      </c>
      <c r="G235" s="921">
        <v>5653</v>
      </c>
      <c r="H235" s="886" t="s">
        <v>296</v>
      </c>
      <c r="I235" s="928"/>
      <c r="J235" s="924"/>
      <c r="K235" s="924"/>
      <c r="L235" s="924"/>
      <c r="M235" s="924"/>
      <c r="N235" s="929"/>
    </row>
    <row r="236" spans="1:14" s="943" customFormat="1" ht="18" customHeight="1" x14ac:dyDescent="0.3">
      <c r="A236" s="839">
        <v>228</v>
      </c>
      <c r="B236" s="940"/>
      <c r="C236" s="915"/>
      <c r="D236" s="883" t="s">
        <v>230</v>
      </c>
      <c r="E236" s="928"/>
      <c r="F236" s="928"/>
      <c r="G236" s="941"/>
      <c r="H236" s="917"/>
      <c r="I236" s="887">
        <f>SUM(J236:N236)</f>
        <v>5000</v>
      </c>
      <c r="J236" s="942"/>
      <c r="K236" s="942"/>
      <c r="L236" s="942"/>
      <c r="M236" s="942"/>
      <c r="N236" s="900">
        <v>5000</v>
      </c>
    </row>
    <row r="237" spans="1:14" s="943" customFormat="1" ht="18" customHeight="1" x14ac:dyDescent="0.3">
      <c r="A237" s="839">
        <v>229</v>
      </c>
      <c r="B237" s="940"/>
      <c r="C237" s="915"/>
      <c r="D237" s="266" t="s">
        <v>231</v>
      </c>
      <c r="E237" s="928"/>
      <c r="F237" s="928"/>
      <c r="G237" s="941"/>
      <c r="H237" s="917"/>
      <c r="I237" s="878">
        <f>SUM(J237:N237)</f>
        <v>5000</v>
      </c>
      <c r="J237" s="905"/>
      <c r="K237" s="905"/>
      <c r="L237" s="905"/>
      <c r="M237" s="905"/>
      <c r="N237" s="903">
        <v>5000</v>
      </c>
    </row>
    <row r="238" spans="1:14" s="943" customFormat="1" ht="18" customHeight="1" x14ac:dyDescent="0.3">
      <c r="A238" s="839">
        <v>230</v>
      </c>
      <c r="B238" s="940"/>
      <c r="C238" s="915"/>
      <c r="D238" s="270" t="s">
        <v>245</v>
      </c>
      <c r="E238" s="928"/>
      <c r="F238" s="928"/>
      <c r="G238" s="941"/>
      <c r="H238" s="917"/>
      <c r="I238" s="272">
        <f>SUM(J238:Q238)</f>
        <v>0</v>
      </c>
      <c r="J238" s="942"/>
      <c r="K238" s="942"/>
      <c r="L238" s="942"/>
      <c r="M238" s="942"/>
      <c r="N238" s="900"/>
    </row>
    <row r="239" spans="1:14" s="943" customFormat="1" ht="18" customHeight="1" x14ac:dyDescent="0.3">
      <c r="A239" s="839">
        <v>231</v>
      </c>
      <c r="B239" s="940"/>
      <c r="C239" s="915"/>
      <c r="D239" s="266" t="s">
        <v>233</v>
      </c>
      <c r="E239" s="928"/>
      <c r="F239" s="928"/>
      <c r="G239" s="941"/>
      <c r="H239" s="917"/>
      <c r="I239" s="268">
        <f>SUM(J239:Q239)</f>
        <v>5000</v>
      </c>
      <c r="J239" s="942"/>
      <c r="K239" s="942"/>
      <c r="L239" s="942"/>
      <c r="M239" s="942"/>
      <c r="N239" s="903">
        <f>SUM(N237:N238)</f>
        <v>5000</v>
      </c>
    </row>
    <row r="240" spans="1:14" s="930" customFormat="1" ht="22.5" customHeight="1" x14ac:dyDescent="0.3">
      <c r="A240" s="839">
        <v>232</v>
      </c>
      <c r="B240" s="926"/>
      <c r="C240" s="882">
        <v>16</v>
      </c>
      <c r="D240" s="898" t="s">
        <v>568</v>
      </c>
      <c r="E240" s="920"/>
      <c r="F240" s="920"/>
      <c r="G240" s="921"/>
      <c r="H240" s="886" t="s">
        <v>296</v>
      </c>
      <c r="I240" s="928"/>
      <c r="J240" s="924"/>
      <c r="K240" s="924"/>
      <c r="L240" s="924"/>
      <c r="M240" s="924"/>
      <c r="N240" s="929"/>
    </row>
    <row r="241" spans="1:16" s="943" customFormat="1" ht="18" customHeight="1" x14ac:dyDescent="0.3">
      <c r="A241" s="839">
        <v>233</v>
      </c>
      <c r="B241" s="940"/>
      <c r="C241" s="915"/>
      <c r="D241" s="883" t="s">
        <v>230</v>
      </c>
      <c r="E241" s="928"/>
      <c r="F241" s="928"/>
      <c r="G241" s="941"/>
      <c r="H241" s="944"/>
      <c r="I241" s="887">
        <f>SUM(J241:N241)</f>
        <v>2100</v>
      </c>
      <c r="J241" s="942"/>
      <c r="K241" s="942"/>
      <c r="L241" s="942"/>
      <c r="M241" s="942"/>
      <c r="N241" s="900">
        <v>2100</v>
      </c>
    </row>
    <row r="242" spans="1:16" s="943" customFormat="1" ht="18" customHeight="1" x14ac:dyDescent="0.3">
      <c r="A242" s="839">
        <v>234</v>
      </c>
      <c r="B242" s="940"/>
      <c r="C242" s="915"/>
      <c r="D242" s="266" t="s">
        <v>231</v>
      </c>
      <c r="E242" s="928"/>
      <c r="F242" s="928"/>
      <c r="G242" s="941"/>
      <c r="H242" s="944"/>
      <c r="I242" s="878">
        <f>SUM(J242:N242)</f>
        <v>2100</v>
      </c>
      <c r="J242" s="905"/>
      <c r="K242" s="905"/>
      <c r="L242" s="905"/>
      <c r="M242" s="905"/>
      <c r="N242" s="903">
        <v>2100</v>
      </c>
    </row>
    <row r="243" spans="1:16" s="943" customFormat="1" ht="18" customHeight="1" x14ac:dyDescent="0.3">
      <c r="A243" s="839">
        <v>235</v>
      </c>
      <c r="B243" s="940"/>
      <c r="C243" s="915"/>
      <c r="D243" s="270" t="s">
        <v>245</v>
      </c>
      <c r="E243" s="928"/>
      <c r="F243" s="928"/>
      <c r="G243" s="941"/>
      <c r="H243" s="944"/>
      <c r="I243" s="272">
        <f>SUM(J243:Q243)</f>
        <v>0</v>
      </c>
      <c r="J243" s="942"/>
      <c r="K243" s="942"/>
      <c r="L243" s="942"/>
      <c r="M243" s="942"/>
      <c r="N243" s="900"/>
    </row>
    <row r="244" spans="1:16" s="943" customFormat="1" ht="18" customHeight="1" x14ac:dyDescent="0.3">
      <c r="A244" s="839">
        <v>236</v>
      </c>
      <c r="B244" s="940"/>
      <c r="C244" s="915"/>
      <c r="D244" s="266" t="s">
        <v>233</v>
      </c>
      <c r="E244" s="928"/>
      <c r="F244" s="928"/>
      <c r="G244" s="941"/>
      <c r="H244" s="944"/>
      <c r="I244" s="268">
        <f>SUM(J244:Q244)</f>
        <v>2100</v>
      </c>
      <c r="J244" s="942"/>
      <c r="K244" s="942"/>
      <c r="L244" s="942"/>
      <c r="M244" s="942"/>
      <c r="N244" s="903">
        <f>SUM(N242:N243)</f>
        <v>2100</v>
      </c>
    </row>
    <row r="245" spans="1:16" s="930" customFormat="1" ht="22.5" customHeight="1" x14ac:dyDescent="0.3">
      <c r="A245" s="839">
        <v>237</v>
      </c>
      <c r="B245" s="926"/>
      <c r="C245" s="882">
        <v>17</v>
      </c>
      <c r="D245" s="898" t="s">
        <v>569</v>
      </c>
      <c r="E245" s="920">
        <v>500</v>
      </c>
      <c r="F245" s="920">
        <v>500</v>
      </c>
      <c r="G245" s="921">
        <v>500</v>
      </c>
      <c r="H245" s="886" t="s">
        <v>296</v>
      </c>
      <c r="I245" s="928"/>
      <c r="J245" s="924"/>
      <c r="K245" s="924"/>
      <c r="L245" s="924"/>
      <c r="M245" s="924"/>
      <c r="N245" s="929"/>
    </row>
    <row r="246" spans="1:16" s="943" customFormat="1" ht="18" customHeight="1" x14ac:dyDescent="0.3">
      <c r="A246" s="839">
        <v>238</v>
      </c>
      <c r="B246" s="940"/>
      <c r="C246" s="915"/>
      <c r="D246" s="883" t="s">
        <v>230</v>
      </c>
      <c r="F246" s="945"/>
      <c r="H246" s="944"/>
      <c r="I246" s="887">
        <f>SUM(J246:N246)</f>
        <v>2500</v>
      </c>
      <c r="J246" s="942"/>
      <c r="K246" s="942"/>
      <c r="L246" s="942"/>
      <c r="M246" s="942"/>
      <c r="N246" s="900">
        <v>2500</v>
      </c>
    </row>
    <row r="247" spans="1:16" s="943" customFormat="1" ht="18" customHeight="1" x14ac:dyDescent="0.3">
      <c r="A247" s="839">
        <v>239</v>
      </c>
      <c r="B247" s="940"/>
      <c r="C247" s="915"/>
      <c r="D247" s="266" t="s">
        <v>231</v>
      </c>
      <c r="F247" s="945"/>
      <c r="H247" s="944"/>
      <c r="I247" s="878">
        <f>SUM(J247:N247)</f>
        <v>4200</v>
      </c>
      <c r="J247" s="905"/>
      <c r="K247" s="905"/>
      <c r="L247" s="905"/>
      <c r="M247" s="905"/>
      <c r="N247" s="903">
        <v>4200</v>
      </c>
    </row>
    <row r="248" spans="1:16" s="943" customFormat="1" ht="18" customHeight="1" x14ac:dyDescent="0.3">
      <c r="A248" s="839">
        <v>240</v>
      </c>
      <c r="B248" s="940"/>
      <c r="C248" s="915"/>
      <c r="D248" s="270" t="s">
        <v>232</v>
      </c>
      <c r="E248" s="946"/>
      <c r="F248" s="946"/>
      <c r="G248" s="947"/>
      <c r="H248" s="944"/>
      <c r="I248" s="272">
        <f>SUM(J248:Q248)</f>
        <v>0</v>
      </c>
      <c r="J248" s="942"/>
      <c r="K248" s="942"/>
      <c r="L248" s="942"/>
      <c r="M248" s="942"/>
      <c r="N248" s="906"/>
    </row>
    <row r="249" spans="1:16" s="943" customFormat="1" ht="18" customHeight="1" x14ac:dyDescent="0.3">
      <c r="A249" s="839">
        <v>241</v>
      </c>
      <c r="B249" s="940"/>
      <c r="C249" s="915"/>
      <c r="D249" s="266" t="s">
        <v>233</v>
      </c>
      <c r="E249" s="948"/>
      <c r="F249" s="948"/>
      <c r="H249" s="944"/>
      <c r="I249" s="268">
        <f>SUM(J249:Q249)</f>
        <v>4200</v>
      </c>
      <c r="J249" s="942"/>
      <c r="K249" s="942"/>
      <c r="L249" s="942"/>
      <c r="M249" s="942"/>
      <c r="N249" s="903">
        <f>SUM(N247:N248)</f>
        <v>4200</v>
      </c>
    </row>
    <row r="250" spans="1:16" s="840" customFormat="1" ht="22.5" customHeight="1" x14ac:dyDescent="0.3">
      <c r="A250" s="839">
        <v>242</v>
      </c>
      <c r="B250" s="897"/>
      <c r="C250" s="882">
        <v>18</v>
      </c>
      <c r="D250" s="898" t="s">
        <v>570</v>
      </c>
      <c r="E250" s="884"/>
      <c r="F250" s="884"/>
      <c r="G250" s="885"/>
      <c r="H250" s="886" t="s">
        <v>296</v>
      </c>
      <c r="I250" s="907"/>
      <c r="J250" s="908"/>
      <c r="K250" s="908"/>
      <c r="L250" s="908"/>
      <c r="M250" s="908"/>
      <c r="N250" s="909"/>
      <c r="O250" s="891"/>
      <c r="P250" s="891"/>
    </row>
    <row r="251" spans="1:16" s="840" customFormat="1" ht="22.5" customHeight="1" x14ac:dyDescent="0.3">
      <c r="A251" s="839">
        <v>243</v>
      </c>
      <c r="B251" s="897"/>
      <c r="C251" s="882">
        <v>19</v>
      </c>
      <c r="D251" s="898" t="s">
        <v>571</v>
      </c>
      <c r="E251" s="884">
        <f>SUM(E256,E261,E266,E271,E276)</f>
        <v>93500</v>
      </c>
      <c r="F251" s="884">
        <f>SUM(F256,F261,F266,F271,F276)</f>
        <v>80000</v>
      </c>
      <c r="G251" s="885">
        <f>SUM(G256,G261,G266,G271,G276)+G281</f>
        <v>101000</v>
      </c>
      <c r="H251" s="886" t="s">
        <v>296</v>
      </c>
      <c r="I251" s="907"/>
      <c r="J251" s="908"/>
      <c r="K251" s="908"/>
      <c r="L251" s="908"/>
      <c r="M251" s="908"/>
      <c r="N251" s="909"/>
      <c r="O251" s="891"/>
      <c r="P251" s="891"/>
    </row>
    <row r="252" spans="1:16" s="918" customFormat="1" ht="18" customHeight="1" x14ac:dyDescent="0.3">
      <c r="A252" s="839">
        <v>244</v>
      </c>
      <c r="B252" s="914"/>
      <c r="C252" s="915"/>
      <c r="D252" s="883" t="s">
        <v>230</v>
      </c>
      <c r="E252" s="887"/>
      <c r="F252" s="887"/>
      <c r="G252" s="916"/>
      <c r="H252" s="917"/>
      <c r="I252" s="887">
        <f>SUM(J252:N252)</f>
        <v>141100</v>
      </c>
      <c r="J252" s="949">
        <f t="shared" ref="J252:N253" si="2">SUM(J257,)+J262+J267+J272+J277+J282</f>
        <v>0</v>
      </c>
      <c r="K252" s="949">
        <f t="shared" si="2"/>
        <v>0</v>
      </c>
      <c r="L252" s="949">
        <f t="shared" si="2"/>
        <v>0</v>
      </c>
      <c r="M252" s="949">
        <f t="shared" si="2"/>
        <v>0</v>
      </c>
      <c r="N252" s="950">
        <f t="shared" si="2"/>
        <v>141100</v>
      </c>
    </row>
    <row r="253" spans="1:16" s="918" customFormat="1" ht="18" customHeight="1" x14ac:dyDescent="0.3">
      <c r="A253" s="839">
        <v>245</v>
      </c>
      <c r="B253" s="914"/>
      <c r="C253" s="915"/>
      <c r="D253" s="266" t="s">
        <v>231</v>
      </c>
      <c r="E253" s="887"/>
      <c r="F253" s="887"/>
      <c r="G253" s="916"/>
      <c r="H253" s="917"/>
      <c r="I253" s="878">
        <f>SUM(J253:N253)</f>
        <v>149100</v>
      </c>
      <c r="J253" s="951">
        <f t="shared" si="2"/>
        <v>0</v>
      </c>
      <c r="K253" s="951">
        <f t="shared" si="2"/>
        <v>0</v>
      </c>
      <c r="L253" s="951">
        <f t="shared" si="2"/>
        <v>0</v>
      </c>
      <c r="M253" s="951">
        <f t="shared" si="2"/>
        <v>0</v>
      </c>
      <c r="N253" s="952">
        <f t="shared" si="2"/>
        <v>149100</v>
      </c>
    </row>
    <row r="254" spans="1:16" s="918" customFormat="1" ht="18" customHeight="1" x14ac:dyDescent="0.3">
      <c r="A254" s="839">
        <v>246</v>
      </c>
      <c r="B254" s="914"/>
      <c r="C254" s="915"/>
      <c r="D254" s="270" t="s">
        <v>245</v>
      </c>
      <c r="E254" s="887"/>
      <c r="F254" s="887"/>
      <c r="G254" s="916"/>
      <c r="H254" s="917"/>
      <c r="I254" s="272">
        <f>SUM(J254:Q254)</f>
        <v>0</v>
      </c>
      <c r="J254" s="934">
        <f>J259+J264+J269+J274+J279+J284</f>
        <v>0</v>
      </c>
      <c r="K254" s="934">
        <f>K259+K264+K269+K274+K279+K284</f>
        <v>0</v>
      </c>
      <c r="L254" s="934">
        <f>L259+L264+L269+L274+L279+L284</f>
        <v>0</v>
      </c>
      <c r="M254" s="934">
        <f>M259+M264+M269+M274+M279+M284</f>
        <v>0</v>
      </c>
      <c r="N254" s="935">
        <f>N259+N264+N269+N274+N279+N284</f>
        <v>0</v>
      </c>
    </row>
    <row r="255" spans="1:16" s="918" customFormat="1" ht="18" customHeight="1" x14ac:dyDescent="0.3">
      <c r="A255" s="839">
        <v>247</v>
      </c>
      <c r="B255" s="914"/>
      <c r="C255" s="915"/>
      <c r="D255" s="266" t="s">
        <v>233</v>
      </c>
      <c r="E255" s="887"/>
      <c r="F255" s="887"/>
      <c r="G255" s="916"/>
      <c r="H255" s="917"/>
      <c r="I255" s="268">
        <f>SUM(J255:Q255)</f>
        <v>149100</v>
      </c>
      <c r="J255" s="951">
        <f>SUM(J253:J254)</f>
        <v>0</v>
      </c>
      <c r="K255" s="951">
        <f>SUM(K253:K254)</f>
        <v>0</v>
      </c>
      <c r="L255" s="951">
        <f>SUM(L253:L254)</f>
        <v>0</v>
      </c>
      <c r="M255" s="951">
        <f>SUM(M253:M254)</f>
        <v>0</v>
      </c>
      <c r="N255" s="952">
        <f>SUM(N253:N254)</f>
        <v>149100</v>
      </c>
    </row>
    <row r="256" spans="1:16" s="930" customFormat="1" ht="18" customHeight="1" x14ac:dyDescent="0.3">
      <c r="A256" s="839">
        <v>248</v>
      </c>
      <c r="B256" s="926"/>
      <c r="C256" s="882"/>
      <c r="D256" s="953" t="s">
        <v>572</v>
      </c>
      <c r="E256" s="920">
        <v>85000</v>
      </c>
      <c r="F256" s="920">
        <v>80000</v>
      </c>
      <c r="G256" s="921">
        <v>80000</v>
      </c>
      <c r="H256" s="927"/>
      <c r="I256" s="928"/>
      <c r="J256" s="924"/>
      <c r="K256" s="924"/>
      <c r="L256" s="924"/>
      <c r="M256" s="924"/>
      <c r="N256" s="929"/>
      <c r="P256" s="891"/>
    </row>
    <row r="257" spans="1:16" s="943" customFormat="1" ht="18" customHeight="1" x14ac:dyDescent="0.3">
      <c r="A257" s="839">
        <v>249</v>
      </c>
      <c r="B257" s="940"/>
      <c r="C257" s="915"/>
      <c r="D257" s="938" t="s">
        <v>230</v>
      </c>
      <c r="E257" s="928"/>
      <c r="F257" s="928"/>
      <c r="G257" s="941"/>
      <c r="H257" s="944"/>
      <c r="I257" s="923">
        <f>SUM(J257:N257)</f>
        <v>98000</v>
      </c>
      <c r="J257" s="942"/>
      <c r="K257" s="942"/>
      <c r="L257" s="942"/>
      <c r="M257" s="942"/>
      <c r="N257" s="929">
        <v>98000</v>
      </c>
      <c r="P257" s="918"/>
    </row>
    <row r="258" spans="1:16" s="943" customFormat="1" ht="18" customHeight="1" x14ac:dyDescent="0.3">
      <c r="A258" s="839">
        <v>250</v>
      </c>
      <c r="B258" s="940"/>
      <c r="C258" s="915"/>
      <c r="D258" s="925" t="s">
        <v>231</v>
      </c>
      <c r="E258" s="928"/>
      <c r="F258" s="928"/>
      <c r="G258" s="941"/>
      <c r="H258" s="944"/>
      <c r="I258" s="920">
        <f>SUM(J258:N258)</f>
        <v>98000</v>
      </c>
      <c r="J258" s="905"/>
      <c r="K258" s="905"/>
      <c r="L258" s="905"/>
      <c r="M258" s="905"/>
      <c r="N258" s="906">
        <v>98000</v>
      </c>
      <c r="P258" s="918"/>
    </row>
    <row r="259" spans="1:16" s="943" customFormat="1" ht="18" customHeight="1" x14ac:dyDescent="0.3">
      <c r="A259" s="839">
        <v>251</v>
      </c>
      <c r="B259" s="940"/>
      <c r="C259" s="915"/>
      <c r="D259" s="925" t="s">
        <v>245</v>
      </c>
      <c r="E259" s="928"/>
      <c r="F259" s="928"/>
      <c r="G259" s="941"/>
      <c r="H259" s="944"/>
      <c r="I259" s="272">
        <f>SUM(J259:Q259)</f>
        <v>0</v>
      </c>
      <c r="J259" s="942"/>
      <c r="K259" s="942"/>
      <c r="L259" s="942"/>
      <c r="M259" s="942"/>
      <c r="N259" s="929"/>
      <c r="P259" s="918"/>
    </row>
    <row r="260" spans="1:16" s="943" customFormat="1" ht="18" customHeight="1" x14ac:dyDescent="0.3">
      <c r="A260" s="839">
        <v>252</v>
      </c>
      <c r="B260" s="940"/>
      <c r="C260" s="915"/>
      <c r="D260" s="925" t="s">
        <v>233</v>
      </c>
      <c r="E260" s="928"/>
      <c r="F260" s="928"/>
      <c r="G260" s="941"/>
      <c r="H260" s="944"/>
      <c r="I260" s="272">
        <f>SUM(J260:Q260)</f>
        <v>98000</v>
      </c>
      <c r="J260" s="942"/>
      <c r="K260" s="942"/>
      <c r="L260" s="942"/>
      <c r="M260" s="942"/>
      <c r="N260" s="906">
        <f>SUM(N258:N259)</f>
        <v>98000</v>
      </c>
      <c r="P260" s="918"/>
    </row>
    <row r="261" spans="1:16" s="930" customFormat="1" ht="18" customHeight="1" x14ac:dyDescent="0.3">
      <c r="A261" s="839">
        <v>253</v>
      </c>
      <c r="B261" s="926"/>
      <c r="C261" s="882"/>
      <c r="D261" s="954" t="s">
        <v>573</v>
      </c>
      <c r="E261" s="920">
        <v>3500</v>
      </c>
      <c r="F261" s="920"/>
      <c r="G261" s="921">
        <v>4500</v>
      </c>
      <c r="H261" s="927"/>
      <c r="I261" s="931"/>
      <c r="J261" s="932"/>
      <c r="K261" s="932"/>
      <c r="L261" s="932"/>
      <c r="M261" s="932"/>
      <c r="N261" s="933"/>
      <c r="P261" s="891"/>
    </row>
    <row r="262" spans="1:16" s="930" customFormat="1" ht="18" customHeight="1" x14ac:dyDescent="0.3">
      <c r="A262" s="839">
        <v>254</v>
      </c>
      <c r="B262" s="926"/>
      <c r="C262" s="882"/>
      <c r="D262" s="938" t="s">
        <v>230</v>
      </c>
      <c r="E262" s="920"/>
      <c r="F262" s="920"/>
      <c r="G262" s="921"/>
      <c r="H262" s="927"/>
      <c r="I262" s="923">
        <f>SUM(J262:N262)</f>
        <v>11600</v>
      </c>
      <c r="J262" s="932"/>
      <c r="K262" s="932"/>
      <c r="L262" s="932"/>
      <c r="M262" s="932"/>
      <c r="N262" s="933">
        <v>11600</v>
      </c>
      <c r="P262" s="891"/>
    </row>
    <row r="263" spans="1:16" s="930" customFormat="1" ht="18" customHeight="1" x14ac:dyDescent="0.3">
      <c r="A263" s="839">
        <v>255</v>
      </c>
      <c r="B263" s="926"/>
      <c r="C263" s="882"/>
      <c r="D263" s="925" t="s">
        <v>231</v>
      </c>
      <c r="E263" s="920"/>
      <c r="F263" s="920"/>
      <c r="G263" s="921"/>
      <c r="H263" s="927"/>
      <c r="I263" s="920">
        <f>SUM(J263:N263)</f>
        <v>19600</v>
      </c>
      <c r="J263" s="934"/>
      <c r="K263" s="934"/>
      <c r="L263" s="934"/>
      <c r="M263" s="934"/>
      <c r="N263" s="935">
        <v>19600</v>
      </c>
      <c r="P263" s="891"/>
    </row>
    <row r="264" spans="1:16" s="930" customFormat="1" ht="18" customHeight="1" x14ac:dyDescent="0.3">
      <c r="A264" s="839">
        <v>256</v>
      </c>
      <c r="B264" s="926"/>
      <c r="C264" s="882"/>
      <c r="D264" s="925" t="s">
        <v>232</v>
      </c>
      <c r="E264" s="920"/>
      <c r="F264" s="920"/>
      <c r="G264" s="921"/>
      <c r="H264" s="927"/>
      <c r="I264" s="272">
        <f>SUM(J264:Q264)</f>
        <v>0</v>
      </c>
      <c r="J264" s="934"/>
      <c r="K264" s="934"/>
      <c r="L264" s="934"/>
      <c r="M264" s="934"/>
      <c r="N264" s="935"/>
      <c r="P264" s="891"/>
    </row>
    <row r="265" spans="1:16" s="930" customFormat="1" ht="18" customHeight="1" x14ac:dyDescent="0.3">
      <c r="A265" s="839">
        <v>257</v>
      </c>
      <c r="B265" s="926"/>
      <c r="C265" s="882"/>
      <c r="D265" s="925" t="s">
        <v>233</v>
      </c>
      <c r="E265" s="920"/>
      <c r="F265" s="920"/>
      <c r="G265" s="921"/>
      <c r="H265" s="927"/>
      <c r="I265" s="272">
        <f>SUM(J265:Q265)</f>
        <v>19600</v>
      </c>
      <c r="J265" s="934"/>
      <c r="K265" s="934"/>
      <c r="L265" s="934"/>
      <c r="M265" s="934"/>
      <c r="N265" s="935">
        <f>SUM(N263:N264)</f>
        <v>19600</v>
      </c>
      <c r="P265" s="891"/>
    </row>
    <row r="266" spans="1:16" s="930" customFormat="1" ht="18" customHeight="1" x14ac:dyDescent="0.3">
      <c r="A266" s="839">
        <v>258</v>
      </c>
      <c r="B266" s="926"/>
      <c r="C266" s="882"/>
      <c r="D266" s="954" t="s">
        <v>574</v>
      </c>
      <c r="E266" s="920">
        <v>3000</v>
      </c>
      <c r="F266" s="920"/>
      <c r="G266" s="921">
        <v>9500</v>
      </c>
      <c r="H266" s="927"/>
      <c r="I266" s="931"/>
      <c r="J266" s="932"/>
      <c r="K266" s="932"/>
      <c r="L266" s="932"/>
      <c r="M266" s="932"/>
      <c r="N266" s="933"/>
      <c r="P266" s="891"/>
    </row>
    <row r="267" spans="1:16" s="930" customFormat="1" ht="18" customHeight="1" x14ac:dyDescent="0.3">
      <c r="A267" s="839">
        <v>259</v>
      </c>
      <c r="B267" s="926"/>
      <c r="C267" s="882"/>
      <c r="D267" s="938" t="s">
        <v>230</v>
      </c>
      <c r="E267" s="920"/>
      <c r="F267" s="920"/>
      <c r="G267" s="921"/>
      <c r="H267" s="927"/>
      <c r="I267" s="923">
        <f>SUM(J267:N267)</f>
        <v>9500</v>
      </c>
      <c r="J267" s="932"/>
      <c r="K267" s="932"/>
      <c r="L267" s="932"/>
      <c r="M267" s="932"/>
      <c r="N267" s="933">
        <v>9500</v>
      </c>
      <c r="P267" s="891"/>
    </row>
    <row r="268" spans="1:16" s="930" customFormat="1" ht="18" customHeight="1" x14ac:dyDescent="0.3">
      <c r="A268" s="839">
        <v>260</v>
      </c>
      <c r="B268" s="926"/>
      <c r="C268" s="882"/>
      <c r="D268" s="925" t="s">
        <v>231</v>
      </c>
      <c r="E268" s="920"/>
      <c r="F268" s="920"/>
      <c r="G268" s="921"/>
      <c r="H268" s="927"/>
      <c r="I268" s="920">
        <f>SUM(J268:N268)</f>
        <v>9500</v>
      </c>
      <c r="J268" s="934"/>
      <c r="K268" s="934"/>
      <c r="L268" s="934"/>
      <c r="M268" s="934"/>
      <c r="N268" s="935">
        <v>9500</v>
      </c>
      <c r="P268" s="891"/>
    </row>
    <row r="269" spans="1:16" s="930" customFormat="1" ht="18" customHeight="1" x14ac:dyDescent="0.3">
      <c r="A269" s="839">
        <v>261</v>
      </c>
      <c r="B269" s="926"/>
      <c r="C269" s="882"/>
      <c r="D269" s="925" t="s">
        <v>245</v>
      </c>
      <c r="E269" s="920"/>
      <c r="F269" s="920"/>
      <c r="G269" s="921"/>
      <c r="H269" s="927"/>
      <c r="I269" s="272">
        <f>SUM(J269:Q269)</f>
        <v>0</v>
      </c>
      <c r="J269" s="932"/>
      <c r="K269" s="932"/>
      <c r="L269" s="932"/>
      <c r="M269" s="932"/>
      <c r="N269" s="933"/>
      <c r="P269" s="891"/>
    </row>
    <row r="270" spans="1:16" s="930" customFormat="1" ht="18" customHeight="1" x14ac:dyDescent="0.3">
      <c r="A270" s="839">
        <v>262</v>
      </c>
      <c r="B270" s="926"/>
      <c r="C270" s="882"/>
      <c r="D270" s="925" t="s">
        <v>233</v>
      </c>
      <c r="E270" s="920"/>
      <c r="F270" s="920"/>
      <c r="G270" s="921"/>
      <c r="H270" s="927"/>
      <c r="I270" s="272">
        <f>SUM(J270:Q270)</f>
        <v>9500</v>
      </c>
      <c r="J270" s="932"/>
      <c r="K270" s="932"/>
      <c r="L270" s="932"/>
      <c r="M270" s="932"/>
      <c r="N270" s="935">
        <f>SUM(N268:N269)</f>
        <v>9500</v>
      </c>
      <c r="P270" s="891"/>
    </row>
    <row r="271" spans="1:16" s="930" customFormat="1" ht="18" customHeight="1" x14ac:dyDescent="0.3">
      <c r="A271" s="839">
        <v>263</v>
      </c>
      <c r="B271" s="926"/>
      <c r="C271" s="882"/>
      <c r="D271" s="954" t="s">
        <v>575</v>
      </c>
      <c r="E271" s="920">
        <v>1000</v>
      </c>
      <c r="F271" s="920"/>
      <c r="G271" s="921">
        <v>3000</v>
      </c>
      <c r="H271" s="927"/>
      <c r="I271" s="931"/>
      <c r="J271" s="932"/>
      <c r="K271" s="932"/>
      <c r="L271" s="932"/>
      <c r="M271" s="932"/>
      <c r="N271" s="933"/>
      <c r="P271" s="891"/>
    </row>
    <row r="272" spans="1:16" s="930" customFormat="1" ht="18" customHeight="1" x14ac:dyDescent="0.3">
      <c r="A272" s="839">
        <v>264</v>
      </c>
      <c r="B272" s="926"/>
      <c r="C272" s="882"/>
      <c r="D272" s="938" t="s">
        <v>230</v>
      </c>
      <c r="E272" s="920"/>
      <c r="F272" s="920"/>
      <c r="G272" s="921"/>
      <c r="H272" s="927"/>
      <c r="I272" s="923">
        <f>SUM(J272:N272)</f>
        <v>8000</v>
      </c>
      <c r="J272" s="932"/>
      <c r="K272" s="932"/>
      <c r="L272" s="932"/>
      <c r="M272" s="932"/>
      <c r="N272" s="933">
        <v>8000</v>
      </c>
      <c r="P272" s="891"/>
    </row>
    <row r="273" spans="1:16" s="930" customFormat="1" ht="18" customHeight="1" x14ac:dyDescent="0.3">
      <c r="A273" s="839">
        <v>265</v>
      </c>
      <c r="B273" s="926"/>
      <c r="C273" s="882"/>
      <c r="D273" s="925" t="s">
        <v>231</v>
      </c>
      <c r="E273" s="920"/>
      <c r="F273" s="920"/>
      <c r="G273" s="921"/>
      <c r="H273" s="927"/>
      <c r="I273" s="920">
        <f>SUM(J273:N273)</f>
        <v>8000</v>
      </c>
      <c r="J273" s="934"/>
      <c r="K273" s="934"/>
      <c r="L273" s="934"/>
      <c r="M273" s="934"/>
      <c r="N273" s="935">
        <v>8000</v>
      </c>
      <c r="P273" s="891"/>
    </row>
    <row r="274" spans="1:16" s="930" customFormat="1" ht="18" customHeight="1" x14ac:dyDescent="0.3">
      <c r="A274" s="839">
        <v>266</v>
      </c>
      <c r="B274" s="926"/>
      <c r="C274" s="882"/>
      <c r="D274" s="925" t="s">
        <v>245</v>
      </c>
      <c r="E274" s="920"/>
      <c r="F274" s="920"/>
      <c r="G274" s="921"/>
      <c r="H274" s="927"/>
      <c r="I274" s="272">
        <f>SUM(J274:Q274)</f>
        <v>0</v>
      </c>
      <c r="J274" s="932"/>
      <c r="K274" s="932"/>
      <c r="L274" s="932"/>
      <c r="M274" s="932"/>
      <c r="N274" s="933"/>
      <c r="P274" s="891"/>
    </row>
    <row r="275" spans="1:16" s="930" customFormat="1" ht="18" customHeight="1" x14ac:dyDescent="0.3">
      <c r="A275" s="839">
        <v>267</v>
      </c>
      <c r="B275" s="926"/>
      <c r="C275" s="882"/>
      <c r="D275" s="925" t="s">
        <v>233</v>
      </c>
      <c r="E275" s="920"/>
      <c r="F275" s="920"/>
      <c r="G275" s="921"/>
      <c r="H275" s="927"/>
      <c r="I275" s="252">
        <f>SUM(J275:Q275)</f>
        <v>8000</v>
      </c>
      <c r="J275" s="932"/>
      <c r="K275" s="932"/>
      <c r="L275" s="932"/>
      <c r="M275" s="932"/>
      <c r="N275" s="935">
        <f>SUM(N273:N274)</f>
        <v>8000</v>
      </c>
      <c r="P275" s="891"/>
    </row>
    <row r="276" spans="1:16" s="930" customFormat="1" ht="18" customHeight="1" x14ac:dyDescent="0.3">
      <c r="A276" s="839">
        <v>268</v>
      </c>
      <c r="B276" s="926"/>
      <c r="C276" s="882"/>
      <c r="D276" s="954" t="s">
        <v>576</v>
      </c>
      <c r="E276" s="920">
        <v>1000</v>
      </c>
      <c r="F276" s="920"/>
      <c r="G276" s="921">
        <v>2000</v>
      </c>
      <c r="H276" s="927"/>
      <c r="I276" s="931"/>
      <c r="J276" s="932"/>
      <c r="K276" s="932"/>
      <c r="L276" s="932"/>
      <c r="M276" s="932"/>
      <c r="N276" s="933"/>
      <c r="P276" s="891"/>
    </row>
    <row r="277" spans="1:16" s="930" customFormat="1" ht="18" customHeight="1" x14ac:dyDescent="0.3">
      <c r="A277" s="839">
        <v>269</v>
      </c>
      <c r="B277" s="926"/>
      <c r="C277" s="882"/>
      <c r="D277" s="938" t="s">
        <v>230</v>
      </c>
      <c r="E277" s="920"/>
      <c r="F277" s="920"/>
      <c r="G277" s="921"/>
      <c r="H277" s="927"/>
      <c r="I277" s="923">
        <f>SUM(J277:N277)</f>
        <v>7000</v>
      </c>
      <c r="J277" s="932"/>
      <c r="K277" s="932"/>
      <c r="L277" s="932"/>
      <c r="M277" s="932"/>
      <c r="N277" s="933">
        <v>7000</v>
      </c>
      <c r="P277" s="891"/>
    </row>
    <row r="278" spans="1:16" s="930" customFormat="1" ht="18" customHeight="1" x14ac:dyDescent="0.3">
      <c r="A278" s="839">
        <v>270</v>
      </c>
      <c r="B278" s="926"/>
      <c r="C278" s="882"/>
      <c r="D278" s="925" t="s">
        <v>231</v>
      </c>
      <c r="E278" s="920"/>
      <c r="F278" s="920"/>
      <c r="G278" s="921"/>
      <c r="H278" s="927"/>
      <c r="I278" s="920">
        <f>SUM(J278:N278)</f>
        <v>7000</v>
      </c>
      <c r="J278" s="934"/>
      <c r="K278" s="934"/>
      <c r="L278" s="934"/>
      <c r="M278" s="934"/>
      <c r="N278" s="935">
        <v>7000</v>
      </c>
      <c r="P278" s="891"/>
    </row>
    <row r="279" spans="1:16" s="930" customFormat="1" ht="18" customHeight="1" x14ac:dyDescent="0.3">
      <c r="A279" s="839">
        <v>271</v>
      </c>
      <c r="B279" s="926"/>
      <c r="C279" s="882"/>
      <c r="D279" s="925" t="s">
        <v>245</v>
      </c>
      <c r="E279" s="920"/>
      <c r="F279" s="920"/>
      <c r="G279" s="921"/>
      <c r="H279" s="927"/>
      <c r="I279" s="272">
        <f>SUM(J279:Q279)</f>
        <v>0</v>
      </c>
      <c r="J279" s="932"/>
      <c r="K279" s="932"/>
      <c r="L279" s="932"/>
      <c r="M279" s="932"/>
      <c r="N279" s="933"/>
      <c r="P279" s="891"/>
    </row>
    <row r="280" spans="1:16" s="930" customFormat="1" ht="18" customHeight="1" x14ac:dyDescent="0.3">
      <c r="A280" s="839">
        <v>272</v>
      </c>
      <c r="B280" s="926"/>
      <c r="C280" s="882"/>
      <c r="D280" s="925" t="s">
        <v>233</v>
      </c>
      <c r="E280" s="920"/>
      <c r="F280" s="920"/>
      <c r="G280" s="921"/>
      <c r="H280" s="927"/>
      <c r="I280" s="252">
        <f>SUM(J280:Q280)</f>
        <v>7000</v>
      </c>
      <c r="J280" s="932"/>
      <c r="K280" s="932"/>
      <c r="L280" s="932"/>
      <c r="M280" s="932"/>
      <c r="N280" s="935">
        <f>SUM(N278:N279)</f>
        <v>7000</v>
      </c>
      <c r="P280" s="891"/>
    </row>
    <row r="281" spans="1:16" s="930" customFormat="1" ht="18" customHeight="1" x14ac:dyDescent="0.3">
      <c r="A281" s="839">
        <v>273</v>
      </c>
      <c r="B281" s="926"/>
      <c r="C281" s="882"/>
      <c r="D281" s="954" t="s">
        <v>577</v>
      </c>
      <c r="E281" s="920"/>
      <c r="F281" s="920"/>
      <c r="G281" s="921">
        <v>2000</v>
      </c>
      <c r="H281" s="927"/>
      <c r="I281" s="923"/>
      <c r="J281" s="932"/>
      <c r="K281" s="932"/>
      <c r="L281" s="932"/>
      <c r="M281" s="932"/>
      <c r="N281" s="933"/>
      <c r="P281" s="891"/>
    </row>
    <row r="282" spans="1:16" s="930" customFormat="1" ht="18" customHeight="1" x14ac:dyDescent="0.3">
      <c r="A282" s="839">
        <v>274</v>
      </c>
      <c r="B282" s="926"/>
      <c r="C282" s="882"/>
      <c r="D282" s="938" t="s">
        <v>230</v>
      </c>
      <c r="E282" s="920"/>
      <c r="F282" s="920"/>
      <c r="G282" s="921"/>
      <c r="H282" s="927"/>
      <c r="I282" s="923">
        <f>SUM(J282:N282)</f>
        <v>7000</v>
      </c>
      <c r="J282" s="932"/>
      <c r="K282" s="932"/>
      <c r="L282" s="932"/>
      <c r="M282" s="932"/>
      <c r="N282" s="933">
        <v>7000</v>
      </c>
      <c r="P282" s="891"/>
    </row>
    <row r="283" spans="1:16" s="930" customFormat="1" ht="18" customHeight="1" x14ac:dyDescent="0.3">
      <c r="A283" s="839">
        <v>275</v>
      </c>
      <c r="B283" s="926"/>
      <c r="C283" s="882"/>
      <c r="D283" s="925" t="s">
        <v>231</v>
      </c>
      <c r="E283" s="920"/>
      <c r="F283" s="920"/>
      <c r="G283" s="921"/>
      <c r="H283" s="927"/>
      <c r="I283" s="920">
        <f>SUM(J283:N283)</f>
        <v>7000</v>
      </c>
      <c r="J283" s="934"/>
      <c r="K283" s="934"/>
      <c r="L283" s="934"/>
      <c r="M283" s="934"/>
      <c r="N283" s="935">
        <v>7000</v>
      </c>
      <c r="P283" s="891"/>
    </row>
    <row r="284" spans="1:16" s="930" customFormat="1" ht="18" customHeight="1" x14ac:dyDescent="0.3">
      <c r="A284" s="839">
        <v>276</v>
      </c>
      <c r="B284" s="926"/>
      <c r="C284" s="882"/>
      <c r="D284" s="925" t="s">
        <v>245</v>
      </c>
      <c r="E284" s="920"/>
      <c r="F284" s="920"/>
      <c r="G284" s="921"/>
      <c r="H284" s="927"/>
      <c r="I284" s="272">
        <f>SUM(J284:Q284)</f>
        <v>0</v>
      </c>
      <c r="J284" s="932"/>
      <c r="K284" s="932"/>
      <c r="L284" s="932"/>
      <c r="M284" s="932"/>
      <c r="N284" s="933"/>
      <c r="P284" s="891"/>
    </row>
    <row r="285" spans="1:16" s="930" customFormat="1" ht="18" customHeight="1" x14ac:dyDescent="0.3">
      <c r="A285" s="839">
        <v>277</v>
      </c>
      <c r="B285" s="926"/>
      <c r="C285" s="882"/>
      <c r="D285" s="925" t="s">
        <v>233</v>
      </c>
      <c r="E285" s="920"/>
      <c r="F285" s="920"/>
      <c r="G285" s="921"/>
      <c r="H285" s="927"/>
      <c r="I285" s="252">
        <f>SUM(J285:Q285)</f>
        <v>7000</v>
      </c>
      <c r="J285" s="932"/>
      <c r="K285" s="932"/>
      <c r="L285" s="932"/>
      <c r="M285" s="932"/>
      <c r="N285" s="935">
        <f>SUM(N283:N284)</f>
        <v>7000</v>
      </c>
      <c r="P285" s="891"/>
    </row>
    <row r="286" spans="1:16" s="930" customFormat="1" ht="22.5" customHeight="1" x14ac:dyDescent="0.3">
      <c r="A286" s="839">
        <v>278</v>
      </c>
      <c r="B286" s="926"/>
      <c r="C286" s="882">
        <v>20</v>
      </c>
      <c r="D286" s="898" t="s">
        <v>578</v>
      </c>
      <c r="E286" s="920"/>
      <c r="F286" s="920"/>
      <c r="G286" s="921"/>
      <c r="H286" s="886" t="s">
        <v>296</v>
      </c>
      <c r="I286" s="887"/>
      <c r="J286" s="924"/>
      <c r="K286" s="924"/>
      <c r="L286" s="924"/>
      <c r="M286" s="924"/>
      <c r="N286" s="929"/>
      <c r="P286" s="891"/>
    </row>
    <row r="287" spans="1:16" s="930" customFormat="1" ht="18" customHeight="1" x14ac:dyDescent="0.3">
      <c r="A287" s="839">
        <v>279</v>
      </c>
      <c r="B287" s="926"/>
      <c r="C287" s="882"/>
      <c r="D287" s="883" t="s">
        <v>230</v>
      </c>
      <c r="E287" s="920"/>
      <c r="F287" s="920"/>
      <c r="G287" s="921"/>
      <c r="H287" s="886"/>
      <c r="I287" s="887">
        <f>SUM(J287:N287)</f>
        <v>3800</v>
      </c>
      <c r="J287" s="924"/>
      <c r="K287" s="924"/>
      <c r="L287" s="924"/>
      <c r="M287" s="924"/>
      <c r="N287" s="900">
        <v>3800</v>
      </c>
      <c r="P287" s="891"/>
    </row>
    <row r="288" spans="1:16" s="930" customFormat="1" ht="18" customHeight="1" x14ac:dyDescent="0.3">
      <c r="A288" s="839">
        <v>280</v>
      </c>
      <c r="B288" s="926"/>
      <c r="C288" s="882"/>
      <c r="D288" s="266" t="s">
        <v>231</v>
      </c>
      <c r="E288" s="920"/>
      <c r="F288" s="920"/>
      <c r="G288" s="921"/>
      <c r="H288" s="886"/>
      <c r="I288" s="878">
        <f>SUM(J288:N288)</f>
        <v>0</v>
      </c>
      <c r="J288" s="904"/>
      <c r="K288" s="904"/>
      <c r="L288" s="904"/>
      <c r="M288" s="904"/>
      <c r="N288" s="903">
        <v>0</v>
      </c>
      <c r="P288" s="891"/>
    </row>
    <row r="289" spans="1:16" s="930" customFormat="1" ht="18" customHeight="1" x14ac:dyDescent="0.3">
      <c r="A289" s="839">
        <v>281</v>
      </c>
      <c r="B289" s="926"/>
      <c r="C289" s="882"/>
      <c r="D289" s="270" t="s">
        <v>232</v>
      </c>
      <c r="E289" s="920"/>
      <c r="F289" s="920"/>
      <c r="G289" s="921"/>
      <c r="H289" s="886"/>
      <c r="I289" s="272">
        <f>SUM(J289:Q289)</f>
        <v>0</v>
      </c>
      <c r="J289" s="924"/>
      <c r="K289" s="924"/>
      <c r="L289" s="924"/>
      <c r="M289" s="924"/>
      <c r="N289" s="906"/>
      <c r="P289" s="891"/>
    </row>
    <row r="290" spans="1:16" s="930" customFormat="1" ht="18" customHeight="1" x14ac:dyDescent="0.3">
      <c r="A290" s="839">
        <v>282</v>
      </c>
      <c r="B290" s="926"/>
      <c r="C290" s="882"/>
      <c r="D290" s="266" t="s">
        <v>233</v>
      </c>
      <c r="E290" s="920"/>
      <c r="F290" s="920"/>
      <c r="G290" s="921"/>
      <c r="H290" s="886"/>
      <c r="I290" s="268">
        <f>SUM(J290:Q290)</f>
        <v>0</v>
      </c>
      <c r="J290" s="924"/>
      <c r="K290" s="924"/>
      <c r="L290" s="924"/>
      <c r="M290" s="924"/>
      <c r="N290" s="903">
        <f>SUM(N288:N289)</f>
        <v>0</v>
      </c>
      <c r="P290" s="891"/>
    </row>
    <row r="291" spans="1:16" s="930" customFormat="1" ht="22.5" customHeight="1" x14ac:dyDescent="0.3">
      <c r="A291" s="839">
        <v>283</v>
      </c>
      <c r="B291" s="926"/>
      <c r="C291" s="882">
        <v>27</v>
      </c>
      <c r="D291" s="898" t="s">
        <v>579</v>
      </c>
      <c r="E291" s="920"/>
      <c r="F291" s="920"/>
      <c r="G291" s="921"/>
      <c r="H291" s="886" t="s">
        <v>296</v>
      </c>
      <c r="I291" s="887"/>
      <c r="J291" s="924"/>
      <c r="K291" s="924"/>
      <c r="L291" s="924"/>
      <c r="M291" s="924"/>
      <c r="N291" s="929"/>
      <c r="P291" s="891"/>
    </row>
    <row r="292" spans="1:16" s="930" customFormat="1" ht="18" customHeight="1" x14ac:dyDescent="0.3">
      <c r="A292" s="839">
        <v>284</v>
      </c>
      <c r="B292" s="926"/>
      <c r="C292" s="882"/>
      <c r="D292" s="883" t="s">
        <v>230</v>
      </c>
      <c r="E292" s="920"/>
      <c r="F292" s="920"/>
      <c r="G292" s="921"/>
      <c r="H292" s="886"/>
      <c r="I292" s="887">
        <f>SUM(J292:N292)</f>
        <v>3000</v>
      </c>
      <c r="J292" s="924"/>
      <c r="K292" s="924"/>
      <c r="L292" s="924"/>
      <c r="M292" s="924"/>
      <c r="N292" s="900">
        <v>3000</v>
      </c>
      <c r="P292" s="891"/>
    </row>
    <row r="293" spans="1:16" s="930" customFormat="1" ht="18" customHeight="1" x14ac:dyDescent="0.3">
      <c r="A293" s="839">
        <v>285</v>
      </c>
      <c r="B293" s="926"/>
      <c r="C293" s="882"/>
      <c r="D293" s="266" t="s">
        <v>231</v>
      </c>
      <c r="E293" s="920"/>
      <c r="F293" s="920"/>
      <c r="G293" s="921"/>
      <c r="H293" s="886"/>
      <c r="I293" s="878">
        <f>SUM(J293:N293)</f>
        <v>3000</v>
      </c>
      <c r="J293" s="904"/>
      <c r="K293" s="904"/>
      <c r="L293" s="904"/>
      <c r="M293" s="904"/>
      <c r="N293" s="903">
        <v>3000</v>
      </c>
      <c r="P293" s="891"/>
    </row>
    <row r="294" spans="1:16" s="930" customFormat="1" ht="18" customHeight="1" x14ac:dyDescent="0.3">
      <c r="A294" s="839">
        <v>286</v>
      </c>
      <c r="B294" s="926"/>
      <c r="C294" s="882"/>
      <c r="D294" s="270" t="s">
        <v>245</v>
      </c>
      <c r="E294" s="920"/>
      <c r="F294" s="920"/>
      <c r="G294" s="921"/>
      <c r="H294" s="886"/>
      <c r="I294" s="272">
        <f>SUM(J294:Q294)</f>
        <v>0</v>
      </c>
      <c r="J294" s="924"/>
      <c r="K294" s="924"/>
      <c r="L294" s="924"/>
      <c r="M294" s="924"/>
      <c r="N294" s="900"/>
      <c r="P294" s="891"/>
    </row>
    <row r="295" spans="1:16" s="930" customFormat="1" ht="18" customHeight="1" x14ac:dyDescent="0.3">
      <c r="A295" s="839">
        <v>287</v>
      </c>
      <c r="B295" s="926"/>
      <c r="C295" s="882"/>
      <c r="D295" s="266" t="s">
        <v>233</v>
      </c>
      <c r="E295" s="920"/>
      <c r="F295" s="920"/>
      <c r="G295" s="921"/>
      <c r="H295" s="886"/>
      <c r="I295" s="268">
        <f>SUM(J295:Q295)</f>
        <v>3000</v>
      </c>
      <c r="J295" s="924"/>
      <c r="K295" s="924"/>
      <c r="L295" s="924"/>
      <c r="M295" s="924"/>
      <c r="N295" s="903">
        <f>SUM(N293:N294)</f>
        <v>3000</v>
      </c>
      <c r="P295" s="891"/>
    </row>
    <row r="296" spans="1:16" s="840" customFormat="1" ht="22.5" customHeight="1" x14ac:dyDescent="0.3">
      <c r="A296" s="839">
        <v>288</v>
      </c>
      <c r="B296" s="897"/>
      <c r="C296" s="882">
        <v>28</v>
      </c>
      <c r="D296" s="898" t="s">
        <v>580</v>
      </c>
      <c r="E296" s="884"/>
      <c r="F296" s="884"/>
      <c r="G296" s="885"/>
      <c r="H296" s="886" t="s">
        <v>296</v>
      </c>
      <c r="I296" s="887"/>
      <c r="J296" s="888"/>
      <c r="K296" s="888"/>
      <c r="L296" s="888"/>
      <c r="M296" s="888"/>
      <c r="N296" s="890"/>
      <c r="P296" s="891"/>
    </row>
    <row r="297" spans="1:16" s="840" customFormat="1" ht="18" customHeight="1" x14ac:dyDescent="0.3">
      <c r="A297" s="839">
        <v>289</v>
      </c>
      <c r="B297" s="897"/>
      <c r="C297" s="882"/>
      <c r="D297" s="883" t="s">
        <v>230</v>
      </c>
      <c r="E297" s="884"/>
      <c r="F297" s="884"/>
      <c r="G297" s="885"/>
      <c r="H297" s="886"/>
      <c r="I297" s="887">
        <f>SUM(J297:N297)</f>
        <v>9600</v>
      </c>
      <c r="J297" s="888"/>
      <c r="K297" s="888"/>
      <c r="L297" s="889">
        <v>9600</v>
      </c>
      <c r="M297" s="888"/>
      <c r="N297" s="890"/>
      <c r="P297" s="891"/>
    </row>
    <row r="298" spans="1:16" s="840" customFormat="1" ht="18" customHeight="1" x14ac:dyDescent="0.3">
      <c r="A298" s="839">
        <v>290</v>
      </c>
      <c r="B298" s="897"/>
      <c r="C298" s="882"/>
      <c r="D298" s="266" t="s">
        <v>231</v>
      </c>
      <c r="E298" s="884"/>
      <c r="F298" s="884"/>
      <c r="G298" s="885"/>
      <c r="H298" s="886"/>
      <c r="I298" s="878">
        <f>SUM(J298:N298)</f>
        <v>3805</v>
      </c>
      <c r="J298" s="901"/>
      <c r="K298" s="901"/>
      <c r="L298" s="902">
        <v>3805</v>
      </c>
      <c r="M298" s="888"/>
      <c r="N298" s="890"/>
      <c r="P298" s="891"/>
    </row>
    <row r="299" spans="1:16" s="840" customFormat="1" ht="18" customHeight="1" x14ac:dyDescent="0.3">
      <c r="A299" s="839">
        <v>291</v>
      </c>
      <c r="B299" s="897"/>
      <c r="C299" s="882"/>
      <c r="D299" s="270" t="s">
        <v>232</v>
      </c>
      <c r="E299" s="884"/>
      <c r="F299" s="884"/>
      <c r="G299" s="885"/>
      <c r="H299" s="886"/>
      <c r="I299" s="272">
        <f>SUM(J299:Q299)</f>
        <v>0</v>
      </c>
      <c r="J299" s="888"/>
      <c r="K299" s="888"/>
      <c r="L299" s="904"/>
      <c r="M299" s="888"/>
      <c r="N299" s="890"/>
      <c r="P299" s="891"/>
    </row>
    <row r="300" spans="1:16" s="840" customFormat="1" ht="18" customHeight="1" x14ac:dyDescent="0.3">
      <c r="A300" s="839">
        <v>292</v>
      </c>
      <c r="B300" s="897"/>
      <c r="C300" s="882"/>
      <c r="D300" s="266" t="s">
        <v>233</v>
      </c>
      <c r="E300" s="884"/>
      <c r="F300" s="884"/>
      <c r="G300" s="885"/>
      <c r="H300" s="886"/>
      <c r="I300" s="268">
        <f>SUM(J300:Q300)</f>
        <v>3805</v>
      </c>
      <c r="J300" s="888"/>
      <c r="K300" s="888"/>
      <c r="L300" s="902">
        <f>SUM(L298:L299)</f>
        <v>3805</v>
      </c>
      <c r="M300" s="888"/>
      <c r="N300" s="890"/>
      <c r="P300" s="891"/>
    </row>
    <row r="301" spans="1:16" s="891" customFormat="1" ht="22.5" customHeight="1" x14ac:dyDescent="0.3">
      <c r="A301" s="839">
        <v>293</v>
      </c>
      <c r="B301" s="881"/>
      <c r="C301" s="882">
        <v>29</v>
      </c>
      <c r="D301" s="874" t="s">
        <v>581</v>
      </c>
      <c r="E301" s="884"/>
      <c r="F301" s="884"/>
      <c r="G301" s="885"/>
      <c r="H301" s="886" t="s">
        <v>296</v>
      </c>
      <c r="I301" s="887"/>
      <c r="J301" s="888"/>
      <c r="K301" s="888"/>
      <c r="L301" s="888"/>
      <c r="M301" s="888"/>
      <c r="N301" s="890"/>
    </row>
    <row r="302" spans="1:16" s="891" customFormat="1" ht="22.5" customHeight="1" x14ac:dyDescent="0.3">
      <c r="A302" s="839">
        <v>294</v>
      </c>
      <c r="B302" s="955"/>
      <c r="C302" s="882">
        <v>30</v>
      </c>
      <c r="D302" s="898" t="s">
        <v>582</v>
      </c>
      <c r="E302" s="875"/>
      <c r="F302" s="875"/>
      <c r="G302" s="876"/>
      <c r="H302" s="886" t="s">
        <v>296</v>
      </c>
      <c r="I302" s="887"/>
      <c r="J302" s="896"/>
      <c r="K302" s="896"/>
      <c r="L302" s="896"/>
      <c r="M302" s="896"/>
      <c r="N302" s="893"/>
    </row>
    <row r="303" spans="1:16" s="891" customFormat="1" ht="18" customHeight="1" x14ac:dyDescent="0.3">
      <c r="A303" s="839">
        <v>295</v>
      </c>
      <c r="B303" s="955"/>
      <c r="C303" s="882"/>
      <c r="D303" s="883" t="s">
        <v>230</v>
      </c>
      <c r="E303" s="875"/>
      <c r="F303" s="875"/>
      <c r="G303" s="876"/>
      <c r="H303" s="886"/>
      <c r="I303" s="887">
        <f>SUM(J303:N303)</f>
        <v>50000</v>
      </c>
      <c r="J303" s="896"/>
      <c r="K303" s="896"/>
      <c r="L303" s="896"/>
      <c r="M303" s="896"/>
      <c r="N303" s="956">
        <v>50000</v>
      </c>
    </row>
    <row r="304" spans="1:16" s="891" customFormat="1" ht="18" customHeight="1" x14ac:dyDescent="0.3">
      <c r="A304" s="839">
        <v>296</v>
      </c>
      <c r="B304" s="955"/>
      <c r="C304" s="882"/>
      <c r="D304" s="266" t="s">
        <v>231</v>
      </c>
      <c r="E304" s="875"/>
      <c r="F304" s="875"/>
      <c r="G304" s="876"/>
      <c r="H304" s="886"/>
      <c r="I304" s="878">
        <f>SUM(J304:N304)</f>
        <v>0</v>
      </c>
      <c r="J304" s="879"/>
      <c r="K304" s="879"/>
      <c r="L304" s="879"/>
      <c r="M304" s="879"/>
      <c r="N304" s="957">
        <f>50000-50000</f>
        <v>0</v>
      </c>
    </row>
    <row r="305" spans="1:16" s="891" customFormat="1" ht="18" customHeight="1" x14ac:dyDescent="0.3">
      <c r="A305" s="839">
        <v>297</v>
      </c>
      <c r="B305" s="955"/>
      <c r="C305" s="882"/>
      <c r="D305" s="270" t="s">
        <v>245</v>
      </c>
      <c r="E305" s="875"/>
      <c r="F305" s="875"/>
      <c r="G305" s="876"/>
      <c r="H305" s="886"/>
      <c r="I305" s="272">
        <f>SUM(J305:Q305)</f>
        <v>0</v>
      </c>
      <c r="J305" s="896"/>
      <c r="K305" s="896"/>
      <c r="L305" s="896"/>
      <c r="M305" s="896"/>
      <c r="N305" s="956"/>
    </row>
    <row r="306" spans="1:16" s="891" customFormat="1" ht="18" customHeight="1" x14ac:dyDescent="0.3">
      <c r="A306" s="839">
        <v>298</v>
      </c>
      <c r="B306" s="955"/>
      <c r="C306" s="882"/>
      <c r="D306" s="266" t="s">
        <v>233</v>
      </c>
      <c r="E306" s="875"/>
      <c r="F306" s="875"/>
      <c r="G306" s="876"/>
      <c r="H306" s="886"/>
      <c r="I306" s="268">
        <f>SUM(J306:Q306)</f>
        <v>0</v>
      </c>
      <c r="J306" s="896"/>
      <c r="K306" s="896"/>
      <c r="L306" s="896"/>
      <c r="M306" s="896"/>
      <c r="N306" s="957">
        <f>SUM(N304:N305)</f>
        <v>0</v>
      </c>
    </row>
    <row r="307" spans="1:16" s="960" customFormat="1" ht="22.5" customHeight="1" x14ac:dyDescent="0.3">
      <c r="A307" s="839">
        <v>299</v>
      </c>
      <c r="B307" s="958"/>
      <c r="C307" s="882">
        <v>31</v>
      </c>
      <c r="D307" s="898" t="s">
        <v>583</v>
      </c>
      <c r="E307" s="875">
        <v>45000</v>
      </c>
      <c r="F307" s="875">
        <v>20000</v>
      </c>
      <c r="G307" s="876">
        <v>55000</v>
      </c>
      <c r="H307" s="886" t="s">
        <v>296</v>
      </c>
      <c r="I307" s="887"/>
      <c r="J307" s="896"/>
      <c r="K307" s="896"/>
      <c r="L307" s="896"/>
      <c r="M307" s="896"/>
      <c r="N307" s="893"/>
      <c r="O307" s="959"/>
      <c r="P307" s="891"/>
    </row>
    <row r="308" spans="1:16" s="960" customFormat="1" ht="18" customHeight="1" x14ac:dyDescent="0.3">
      <c r="A308" s="839">
        <v>300</v>
      </c>
      <c r="B308" s="958"/>
      <c r="C308" s="882"/>
      <c r="D308" s="883" t="s">
        <v>230</v>
      </c>
      <c r="E308" s="875"/>
      <c r="F308" s="961"/>
      <c r="G308" s="962"/>
      <c r="H308" s="886"/>
      <c r="I308" s="887">
        <f>SUM(J308:N308)</f>
        <v>45000</v>
      </c>
      <c r="J308" s="896"/>
      <c r="K308" s="896"/>
      <c r="L308" s="896"/>
      <c r="M308" s="896"/>
      <c r="N308" s="956">
        <v>45000</v>
      </c>
      <c r="O308" s="959"/>
      <c r="P308" s="891"/>
    </row>
    <row r="309" spans="1:16" s="960" customFormat="1" ht="18" customHeight="1" x14ac:dyDescent="0.3">
      <c r="A309" s="839">
        <v>301</v>
      </c>
      <c r="B309" s="958"/>
      <c r="C309" s="882"/>
      <c r="D309" s="266" t="s">
        <v>231</v>
      </c>
      <c r="E309" s="875"/>
      <c r="F309" s="961"/>
      <c r="G309" s="962"/>
      <c r="H309" s="886"/>
      <c r="I309" s="878">
        <f>SUM(J309:N309)</f>
        <v>45000</v>
      </c>
      <c r="J309" s="879"/>
      <c r="K309" s="879"/>
      <c r="L309" s="879"/>
      <c r="M309" s="879"/>
      <c r="N309" s="957">
        <v>45000</v>
      </c>
      <c r="O309" s="959"/>
      <c r="P309" s="891"/>
    </row>
    <row r="310" spans="1:16" s="960" customFormat="1" ht="18" customHeight="1" x14ac:dyDescent="0.3">
      <c r="A310" s="839">
        <v>302</v>
      </c>
      <c r="B310" s="958"/>
      <c r="C310" s="882"/>
      <c r="D310" s="270" t="s">
        <v>287</v>
      </c>
      <c r="E310" s="875"/>
      <c r="F310" s="961"/>
      <c r="G310" s="962"/>
      <c r="H310" s="886"/>
      <c r="I310" s="272">
        <f>SUM(J310:Q310)</f>
        <v>40000</v>
      </c>
      <c r="J310" s="896"/>
      <c r="K310" s="896"/>
      <c r="L310" s="896"/>
      <c r="M310" s="896"/>
      <c r="N310" s="895">
        <v>40000</v>
      </c>
      <c r="O310" s="959"/>
      <c r="P310" s="891"/>
    </row>
    <row r="311" spans="1:16" s="960" customFormat="1" ht="18" customHeight="1" x14ac:dyDescent="0.3">
      <c r="A311" s="839">
        <v>303</v>
      </c>
      <c r="B311" s="958"/>
      <c r="C311" s="882"/>
      <c r="D311" s="266" t="s">
        <v>233</v>
      </c>
      <c r="E311" s="875"/>
      <c r="F311" s="961"/>
      <c r="G311" s="962"/>
      <c r="H311" s="886"/>
      <c r="I311" s="268">
        <f>SUM(J311:Q311)</f>
        <v>85000</v>
      </c>
      <c r="J311" s="896"/>
      <c r="K311" s="896"/>
      <c r="L311" s="896"/>
      <c r="M311" s="896"/>
      <c r="N311" s="957">
        <f>SUM(N309:N310)</f>
        <v>85000</v>
      </c>
      <c r="O311" s="959"/>
      <c r="P311" s="891"/>
    </row>
    <row r="312" spans="1:16" s="840" customFormat="1" ht="22.5" customHeight="1" x14ac:dyDescent="0.3">
      <c r="A312" s="839">
        <v>304</v>
      </c>
      <c r="B312" s="897"/>
      <c r="C312" s="882">
        <v>32</v>
      </c>
      <c r="D312" s="898" t="s">
        <v>584</v>
      </c>
      <c r="E312" s="884"/>
      <c r="F312" s="884"/>
      <c r="G312" s="885"/>
      <c r="H312" s="886" t="s">
        <v>296</v>
      </c>
      <c r="I312" s="887"/>
      <c r="J312" s="888"/>
      <c r="K312" s="888"/>
      <c r="L312" s="888"/>
      <c r="M312" s="888"/>
      <c r="N312" s="890"/>
      <c r="P312" s="891"/>
    </row>
    <row r="313" spans="1:16" s="840" customFormat="1" ht="22.5" customHeight="1" x14ac:dyDescent="0.3">
      <c r="A313" s="839">
        <v>305</v>
      </c>
      <c r="B313" s="897"/>
      <c r="C313" s="882"/>
      <c r="D313" s="266" t="s">
        <v>231</v>
      </c>
      <c r="E313" s="884"/>
      <c r="F313" s="884"/>
      <c r="G313" s="885"/>
      <c r="H313" s="886"/>
      <c r="I313" s="268">
        <f>SUM(J313:Q313)</f>
        <v>5000</v>
      </c>
      <c r="J313" s="888"/>
      <c r="K313" s="888"/>
      <c r="L313" s="888"/>
      <c r="M313" s="888"/>
      <c r="N313" s="903">
        <v>5000</v>
      </c>
      <c r="P313" s="891"/>
    </row>
    <row r="314" spans="1:16" s="840" customFormat="1" ht="18" customHeight="1" x14ac:dyDescent="0.3">
      <c r="A314" s="839">
        <v>306</v>
      </c>
      <c r="B314" s="897"/>
      <c r="C314" s="882"/>
      <c r="D314" s="270" t="s">
        <v>245</v>
      </c>
      <c r="E314" s="884"/>
      <c r="F314" s="884"/>
      <c r="G314" s="885"/>
      <c r="H314" s="886"/>
      <c r="I314" s="272">
        <f>SUM(J314:Q314)</f>
        <v>0</v>
      </c>
      <c r="J314" s="888"/>
      <c r="K314" s="888"/>
      <c r="L314" s="888"/>
      <c r="M314" s="888"/>
      <c r="N314" s="906"/>
      <c r="P314" s="891"/>
    </row>
    <row r="315" spans="1:16" s="840" customFormat="1" ht="18" customHeight="1" x14ac:dyDescent="0.3">
      <c r="A315" s="839">
        <v>307</v>
      </c>
      <c r="B315" s="897"/>
      <c r="C315" s="882"/>
      <c r="D315" s="266" t="s">
        <v>233</v>
      </c>
      <c r="E315" s="884"/>
      <c r="F315" s="884"/>
      <c r="G315" s="885"/>
      <c r="H315" s="886"/>
      <c r="I315" s="268">
        <f>SUM(J315:Q315)</f>
        <v>5000</v>
      </c>
      <c r="J315" s="888"/>
      <c r="K315" s="888"/>
      <c r="L315" s="888"/>
      <c r="M315" s="888"/>
      <c r="N315" s="903">
        <f>SUM(N313:N314)</f>
        <v>5000</v>
      </c>
      <c r="P315" s="891"/>
    </row>
    <row r="316" spans="1:16" s="918" customFormat="1" ht="22.5" customHeight="1" x14ac:dyDescent="0.3">
      <c r="A316" s="839">
        <v>308</v>
      </c>
      <c r="B316" s="914"/>
      <c r="C316" s="882">
        <v>33</v>
      </c>
      <c r="D316" s="898" t="s">
        <v>585</v>
      </c>
      <c r="E316" s="884"/>
      <c r="F316" s="920"/>
      <c r="G316" s="921"/>
      <c r="H316" s="886" t="s">
        <v>296</v>
      </c>
      <c r="I316" s="887"/>
      <c r="J316" s="889"/>
      <c r="K316" s="889"/>
      <c r="L316" s="889"/>
      <c r="M316" s="889"/>
      <c r="N316" s="900"/>
    </row>
    <row r="317" spans="1:16" s="918" customFormat="1" ht="22.5" customHeight="1" x14ac:dyDescent="0.3">
      <c r="A317" s="839">
        <v>309</v>
      </c>
      <c r="B317" s="914"/>
      <c r="C317" s="882">
        <v>34</v>
      </c>
      <c r="D317" s="898" t="s">
        <v>586</v>
      </c>
      <c r="E317" s="884"/>
      <c r="F317" s="884">
        <v>700</v>
      </c>
      <c r="G317" s="884">
        <v>700</v>
      </c>
      <c r="H317" s="886" t="s">
        <v>296</v>
      </c>
      <c r="I317" s="887"/>
      <c r="J317" s="889"/>
      <c r="K317" s="889"/>
      <c r="L317" s="889"/>
      <c r="M317" s="889"/>
      <c r="N317" s="900"/>
    </row>
    <row r="318" spans="1:16" s="840" customFormat="1" ht="22.5" customHeight="1" x14ac:dyDescent="0.3">
      <c r="A318" s="839">
        <v>310</v>
      </c>
      <c r="B318" s="897"/>
      <c r="C318" s="882">
        <v>35</v>
      </c>
      <c r="D318" s="898" t="s">
        <v>587</v>
      </c>
      <c r="E318" s="884">
        <v>254500</v>
      </c>
      <c r="F318" s="884">
        <v>327787</v>
      </c>
      <c r="G318" s="885">
        <v>349950</v>
      </c>
      <c r="H318" s="886" t="s">
        <v>106</v>
      </c>
      <c r="I318" s="887"/>
      <c r="J318" s="888"/>
      <c r="K318" s="888"/>
      <c r="L318" s="888"/>
      <c r="M318" s="888"/>
      <c r="N318" s="890"/>
      <c r="P318" s="891"/>
    </row>
    <row r="319" spans="1:16" s="918" customFormat="1" ht="18" customHeight="1" x14ac:dyDescent="0.3">
      <c r="A319" s="839">
        <v>311</v>
      </c>
      <c r="B319" s="914"/>
      <c r="C319" s="915"/>
      <c r="D319" s="883" t="s">
        <v>230</v>
      </c>
      <c r="E319" s="887"/>
      <c r="F319" s="887"/>
      <c r="G319" s="916"/>
      <c r="H319" s="917"/>
      <c r="I319" s="887">
        <f>SUM(J319:N319)</f>
        <v>395787</v>
      </c>
      <c r="J319" s="889"/>
      <c r="K319" s="889"/>
      <c r="L319" s="889"/>
      <c r="M319" s="889"/>
      <c r="N319" s="900">
        <f>403450+337-8000</f>
        <v>395787</v>
      </c>
    </row>
    <row r="320" spans="1:16" s="918" customFormat="1" ht="18" customHeight="1" x14ac:dyDescent="0.3">
      <c r="A320" s="839">
        <v>312</v>
      </c>
      <c r="B320" s="914"/>
      <c r="C320" s="915"/>
      <c r="D320" s="266" t="s">
        <v>231</v>
      </c>
      <c r="E320" s="887"/>
      <c r="F320" s="887"/>
      <c r="G320" s="916"/>
      <c r="H320" s="917"/>
      <c r="I320" s="878">
        <f>SUM(J320:N320)</f>
        <v>447787</v>
      </c>
      <c r="J320" s="902"/>
      <c r="K320" s="902"/>
      <c r="L320" s="902"/>
      <c r="M320" s="902"/>
      <c r="N320" s="903">
        <f>435787+12000</f>
        <v>447787</v>
      </c>
    </row>
    <row r="321" spans="1:16" s="918" customFormat="1" ht="18" customHeight="1" x14ac:dyDescent="0.3">
      <c r="A321" s="839">
        <v>313</v>
      </c>
      <c r="B321" s="914"/>
      <c r="C321" s="915"/>
      <c r="D321" s="270" t="s">
        <v>232</v>
      </c>
      <c r="E321" s="887"/>
      <c r="F321" s="887"/>
      <c r="G321" s="916"/>
      <c r="H321" s="917"/>
      <c r="I321" s="272">
        <f>SUM(J321:Q321)</f>
        <v>0</v>
      </c>
      <c r="J321" s="889"/>
      <c r="K321" s="889"/>
      <c r="L321" s="889"/>
      <c r="M321" s="889"/>
      <c r="N321" s="906"/>
    </row>
    <row r="322" spans="1:16" s="918" customFormat="1" ht="18" customHeight="1" x14ac:dyDescent="0.3">
      <c r="A322" s="839">
        <v>314</v>
      </c>
      <c r="B322" s="914"/>
      <c r="C322" s="915"/>
      <c r="D322" s="266" t="s">
        <v>233</v>
      </c>
      <c r="E322" s="887"/>
      <c r="F322" s="887"/>
      <c r="G322" s="916"/>
      <c r="H322" s="917"/>
      <c r="I322" s="268">
        <f>SUM(J322:Q322)</f>
        <v>447787</v>
      </c>
      <c r="J322" s="889"/>
      <c r="K322" s="889"/>
      <c r="L322" s="889"/>
      <c r="M322" s="889"/>
      <c r="N322" s="903">
        <f>SUM(N320:N321)</f>
        <v>447787</v>
      </c>
    </row>
    <row r="323" spans="1:16" s="840" customFormat="1" ht="22.5" customHeight="1" x14ac:dyDescent="0.3">
      <c r="A323" s="839">
        <v>315</v>
      </c>
      <c r="B323" s="897"/>
      <c r="C323" s="882">
        <v>36</v>
      </c>
      <c r="D323" s="898" t="s">
        <v>588</v>
      </c>
      <c r="E323" s="884">
        <v>1250</v>
      </c>
      <c r="F323" s="884">
        <v>2500</v>
      </c>
      <c r="G323" s="885">
        <v>1250</v>
      </c>
      <c r="H323" s="886" t="s">
        <v>106</v>
      </c>
      <c r="I323" s="887"/>
      <c r="J323" s="888"/>
      <c r="K323" s="888"/>
      <c r="L323" s="888"/>
      <c r="M323" s="888"/>
      <c r="N323" s="890"/>
      <c r="P323" s="891"/>
    </row>
    <row r="324" spans="1:16" s="918" customFormat="1" ht="18" customHeight="1" x14ac:dyDescent="0.3">
      <c r="A324" s="839">
        <v>316</v>
      </c>
      <c r="B324" s="914"/>
      <c r="C324" s="915"/>
      <c r="D324" s="883" t="s">
        <v>230</v>
      </c>
      <c r="E324" s="887"/>
      <c r="F324" s="887"/>
      <c r="G324" s="916"/>
      <c r="H324" s="917"/>
      <c r="I324" s="887">
        <f>SUM(J324:N324)</f>
        <v>2500</v>
      </c>
      <c r="J324" s="889"/>
      <c r="K324" s="889"/>
      <c r="L324" s="889">
        <f>1250+1250</f>
        <v>2500</v>
      </c>
      <c r="M324" s="889"/>
      <c r="N324" s="900"/>
    </row>
    <row r="325" spans="1:16" s="918" customFormat="1" ht="18" customHeight="1" x14ac:dyDescent="0.3">
      <c r="A325" s="839">
        <v>317</v>
      </c>
      <c r="B325" s="914"/>
      <c r="C325" s="915"/>
      <c r="D325" s="266" t="s">
        <v>231</v>
      </c>
      <c r="E325" s="887"/>
      <c r="F325" s="887"/>
      <c r="G325" s="916"/>
      <c r="H325" s="917"/>
      <c r="I325" s="878">
        <f>SUM(J325:N325)</f>
        <v>2500</v>
      </c>
      <c r="J325" s="902"/>
      <c r="K325" s="902"/>
      <c r="L325" s="902">
        <v>2500</v>
      </c>
      <c r="M325" s="889"/>
      <c r="N325" s="900"/>
    </row>
    <row r="326" spans="1:16" s="918" customFormat="1" ht="18" customHeight="1" x14ac:dyDescent="0.3">
      <c r="A326" s="839">
        <v>318</v>
      </c>
      <c r="B326" s="914"/>
      <c r="C326" s="915"/>
      <c r="D326" s="270" t="s">
        <v>245</v>
      </c>
      <c r="E326" s="887"/>
      <c r="F326" s="887"/>
      <c r="G326" s="916"/>
      <c r="H326" s="917"/>
      <c r="I326" s="272">
        <f>SUM(J326:Q326)</f>
        <v>0</v>
      </c>
      <c r="J326" s="889"/>
      <c r="K326" s="889"/>
      <c r="L326" s="889"/>
      <c r="M326" s="889"/>
      <c r="N326" s="900"/>
    </row>
    <row r="327" spans="1:16" s="918" customFormat="1" ht="18" customHeight="1" x14ac:dyDescent="0.3">
      <c r="A327" s="839">
        <v>319</v>
      </c>
      <c r="B327" s="914"/>
      <c r="C327" s="915"/>
      <c r="D327" s="266" t="s">
        <v>233</v>
      </c>
      <c r="E327" s="887"/>
      <c r="F327" s="887"/>
      <c r="G327" s="916"/>
      <c r="H327" s="917"/>
      <c r="I327" s="268">
        <f>SUM(J327:Q327)</f>
        <v>2500</v>
      </c>
      <c r="J327" s="889"/>
      <c r="K327" s="889"/>
      <c r="L327" s="902">
        <f>SUM(L325:L326)</f>
        <v>2500</v>
      </c>
      <c r="M327" s="889"/>
      <c r="N327" s="900"/>
    </row>
    <row r="328" spans="1:16" s="840" customFormat="1" ht="22.5" customHeight="1" x14ac:dyDescent="0.3">
      <c r="A328" s="839">
        <v>320</v>
      </c>
      <c r="B328" s="897"/>
      <c r="C328" s="882">
        <v>37</v>
      </c>
      <c r="D328" s="898" t="s">
        <v>589</v>
      </c>
      <c r="E328" s="884"/>
      <c r="F328" s="884"/>
      <c r="G328" s="885"/>
      <c r="H328" s="886" t="s">
        <v>106</v>
      </c>
      <c r="I328" s="887"/>
      <c r="J328" s="888"/>
      <c r="K328" s="888"/>
      <c r="L328" s="888"/>
      <c r="M328" s="888"/>
      <c r="N328" s="890"/>
      <c r="P328" s="891"/>
    </row>
    <row r="329" spans="1:16" s="891" customFormat="1" ht="22.5" customHeight="1" x14ac:dyDescent="0.3">
      <c r="A329" s="839">
        <v>321</v>
      </c>
      <c r="B329" s="881"/>
      <c r="C329" s="882">
        <v>38</v>
      </c>
      <c r="D329" s="874" t="s">
        <v>590</v>
      </c>
      <c r="E329" s="884">
        <v>56773</v>
      </c>
      <c r="F329" s="884">
        <v>136429</v>
      </c>
      <c r="G329" s="885">
        <v>88532</v>
      </c>
      <c r="H329" s="886" t="s">
        <v>106</v>
      </c>
      <c r="I329" s="887"/>
      <c r="J329" s="888"/>
      <c r="K329" s="888"/>
      <c r="L329" s="888"/>
      <c r="M329" s="888"/>
      <c r="N329" s="890"/>
    </row>
    <row r="330" spans="1:16" s="918" customFormat="1" ht="18" customHeight="1" x14ac:dyDescent="0.3">
      <c r="A330" s="839">
        <v>322</v>
      </c>
      <c r="B330" s="914"/>
      <c r="C330" s="915"/>
      <c r="D330" s="883" t="s">
        <v>230</v>
      </c>
      <c r="E330" s="887"/>
      <c r="F330" s="887"/>
      <c r="G330" s="916"/>
      <c r="H330" s="917"/>
      <c r="I330" s="887">
        <f>SUM(J330:N330)</f>
        <v>139464</v>
      </c>
      <c r="J330" s="889"/>
      <c r="K330" s="889"/>
      <c r="L330" s="889">
        <v>139464</v>
      </c>
      <c r="M330" s="889"/>
      <c r="N330" s="900"/>
    </row>
    <row r="331" spans="1:16" s="918" customFormat="1" ht="18" customHeight="1" x14ac:dyDescent="0.3">
      <c r="A331" s="839">
        <v>323</v>
      </c>
      <c r="B331" s="914"/>
      <c r="C331" s="915"/>
      <c r="D331" s="266" t="s">
        <v>231</v>
      </c>
      <c r="E331" s="887"/>
      <c r="F331" s="887"/>
      <c r="G331" s="916"/>
      <c r="H331" s="917"/>
      <c r="I331" s="878">
        <f>SUM(J331:N331)</f>
        <v>176818</v>
      </c>
      <c r="J331" s="902"/>
      <c r="K331" s="902"/>
      <c r="L331" s="902">
        <v>176818</v>
      </c>
      <c r="M331" s="889"/>
      <c r="N331" s="900"/>
    </row>
    <row r="332" spans="1:16" s="918" customFormat="1" ht="18" customHeight="1" x14ac:dyDescent="0.3">
      <c r="A332" s="839">
        <v>324</v>
      </c>
      <c r="B332" s="914"/>
      <c r="C332" s="915"/>
      <c r="D332" s="270" t="s">
        <v>232</v>
      </c>
      <c r="E332" s="887"/>
      <c r="F332" s="887"/>
      <c r="G332" s="916"/>
      <c r="H332" s="917"/>
      <c r="I332" s="272">
        <f>SUM(J332:Q332)</f>
        <v>0</v>
      </c>
      <c r="J332" s="889"/>
      <c r="K332" s="889"/>
      <c r="L332" s="904"/>
      <c r="M332" s="889"/>
      <c r="N332" s="900"/>
    </row>
    <row r="333" spans="1:16" s="918" customFormat="1" ht="18" customHeight="1" x14ac:dyDescent="0.3">
      <c r="A333" s="839">
        <v>325</v>
      </c>
      <c r="B333" s="914"/>
      <c r="C333" s="915"/>
      <c r="D333" s="266" t="s">
        <v>233</v>
      </c>
      <c r="E333" s="887"/>
      <c r="F333" s="887"/>
      <c r="G333" s="916"/>
      <c r="H333" s="917"/>
      <c r="I333" s="268">
        <f>SUM(J333:Q333)</f>
        <v>176818</v>
      </c>
      <c r="J333" s="889"/>
      <c r="K333" s="889"/>
      <c r="L333" s="902">
        <f>SUM(L331:L332)</f>
        <v>176818</v>
      </c>
      <c r="M333" s="889"/>
      <c r="N333" s="900"/>
    </row>
    <row r="334" spans="1:16" s="840" customFormat="1" ht="22.5" customHeight="1" x14ac:dyDescent="0.3">
      <c r="A334" s="839">
        <v>326</v>
      </c>
      <c r="B334" s="897"/>
      <c r="C334" s="882">
        <v>39</v>
      </c>
      <c r="D334" s="898" t="s">
        <v>591</v>
      </c>
      <c r="E334" s="884">
        <v>3743</v>
      </c>
      <c r="F334" s="884">
        <v>1533</v>
      </c>
      <c r="G334" s="885">
        <v>1124</v>
      </c>
      <c r="H334" s="886" t="s">
        <v>106</v>
      </c>
      <c r="I334" s="931"/>
      <c r="J334" s="932"/>
      <c r="K334" s="932"/>
      <c r="L334" s="932"/>
      <c r="M334" s="932"/>
      <c r="N334" s="933"/>
      <c r="O334" s="891"/>
      <c r="P334" s="891"/>
    </row>
    <row r="335" spans="1:16" s="918" customFormat="1" ht="18" customHeight="1" x14ac:dyDescent="0.3">
      <c r="A335" s="839">
        <v>327</v>
      </c>
      <c r="B335" s="914"/>
      <c r="C335" s="915"/>
      <c r="D335" s="883" t="s">
        <v>230</v>
      </c>
      <c r="E335" s="887"/>
      <c r="F335" s="887"/>
      <c r="G335" s="916"/>
      <c r="H335" s="917"/>
      <c r="I335" s="887">
        <f>SUM(J335:N335)</f>
        <v>12459</v>
      </c>
      <c r="J335" s="889"/>
      <c r="K335" s="889"/>
      <c r="L335" s="889">
        <f>11500+959</f>
        <v>12459</v>
      </c>
      <c r="M335" s="889"/>
      <c r="N335" s="900"/>
    </row>
    <row r="336" spans="1:16" s="918" customFormat="1" ht="18" customHeight="1" x14ac:dyDescent="0.3">
      <c r="A336" s="839">
        <v>328</v>
      </c>
      <c r="B336" s="914"/>
      <c r="C336" s="915"/>
      <c r="D336" s="266" t="s">
        <v>231</v>
      </c>
      <c r="E336" s="887"/>
      <c r="F336" s="887"/>
      <c r="G336" s="916"/>
      <c r="H336" s="917"/>
      <c r="I336" s="878">
        <f>SUM(J336:N336)</f>
        <v>11639</v>
      </c>
      <c r="J336" s="902">
        <v>51</v>
      </c>
      <c r="K336" s="902">
        <v>22</v>
      </c>
      <c r="L336" s="902">
        <v>11566</v>
      </c>
      <c r="M336" s="889"/>
      <c r="N336" s="900"/>
    </row>
    <row r="337" spans="1:16" s="918" customFormat="1" ht="18" customHeight="1" x14ac:dyDescent="0.3">
      <c r="A337" s="839">
        <v>329</v>
      </c>
      <c r="B337" s="914"/>
      <c r="C337" s="915"/>
      <c r="D337" s="270" t="s">
        <v>232</v>
      </c>
      <c r="E337" s="887"/>
      <c r="F337" s="887"/>
      <c r="G337" s="916"/>
      <c r="H337" s="917"/>
      <c r="I337" s="272">
        <f>SUM(J337:Q337)</f>
        <v>0</v>
      </c>
      <c r="J337" s="904"/>
      <c r="K337" s="904"/>
      <c r="L337" s="904"/>
      <c r="M337" s="889"/>
      <c r="N337" s="900"/>
    </row>
    <row r="338" spans="1:16" s="918" customFormat="1" ht="18" customHeight="1" x14ac:dyDescent="0.3">
      <c r="A338" s="839">
        <v>330</v>
      </c>
      <c r="B338" s="914"/>
      <c r="C338" s="915"/>
      <c r="D338" s="266" t="s">
        <v>233</v>
      </c>
      <c r="E338" s="887"/>
      <c r="F338" s="887"/>
      <c r="G338" s="916"/>
      <c r="H338" s="917"/>
      <c r="I338" s="268">
        <f>SUM(J338:Q338)</f>
        <v>11639</v>
      </c>
      <c r="J338" s="902">
        <f>SUM(J336:J337)</f>
        <v>51</v>
      </c>
      <c r="K338" s="902">
        <f>SUM(K336:K337)</f>
        <v>22</v>
      </c>
      <c r="L338" s="902">
        <f>SUM(L336:L337)</f>
        <v>11566</v>
      </c>
      <c r="M338" s="889"/>
      <c r="N338" s="900"/>
    </row>
    <row r="339" spans="1:16" s="847" customFormat="1" ht="22.5" customHeight="1" x14ac:dyDescent="0.35">
      <c r="A339" s="839">
        <v>331</v>
      </c>
      <c r="B339" s="963"/>
      <c r="C339" s="882">
        <v>42</v>
      </c>
      <c r="D339" s="898" t="s">
        <v>592</v>
      </c>
      <c r="E339" s="884">
        <v>22750</v>
      </c>
      <c r="F339" s="884">
        <v>43050</v>
      </c>
      <c r="G339" s="885">
        <v>26700</v>
      </c>
      <c r="H339" s="886" t="s">
        <v>296</v>
      </c>
      <c r="I339" s="931"/>
      <c r="J339" s="932"/>
      <c r="K339" s="932"/>
      <c r="L339" s="932"/>
      <c r="M339" s="932"/>
      <c r="N339" s="933"/>
      <c r="O339" s="848"/>
      <c r="P339" s="848"/>
    </row>
    <row r="340" spans="1:16" s="918" customFormat="1" ht="18" customHeight="1" x14ac:dyDescent="0.3">
      <c r="A340" s="839">
        <v>332</v>
      </c>
      <c r="B340" s="914"/>
      <c r="C340" s="915"/>
      <c r="D340" s="883" t="s">
        <v>230</v>
      </c>
      <c r="E340" s="887"/>
      <c r="F340" s="887"/>
      <c r="G340" s="916"/>
      <c r="H340" s="917"/>
      <c r="I340" s="887">
        <f>SUM(J340:N340)</f>
        <v>61350</v>
      </c>
      <c r="J340" s="889"/>
      <c r="K340" s="889"/>
      <c r="L340" s="889">
        <f>45000+16350</f>
        <v>61350</v>
      </c>
      <c r="M340" s="889"/>
      <c r="N340" s="900"/>
    </row>
    <row r="341" spans="1:16" s="918" customFormat="1" ht="18" customHeight="1" x14ac:dyDescent="0.3">
      <c r="A341" s="839">
        <v>333</v>
      </c>
      <c r="B341" s="914"/>
      <c r="C341" s="915"/>
      <c r="D341" s="266" t="s">
        <v>231</v>
      </c>
      <c r="E341" s="887"/>
      <c r="F341" s="887"/>
      <c r="G341" s="916"/>
      <c r="H341" s="917"/>
      <c r="I341" s="878">
        <f>SUM(J341:N341)</f>
        <v>46398</v>
      </c>
      <c r="J341" s="902"/>
      <c r="K341" s="902"/>
      <c r="L341" s="902">
        <v>46398</v>
      </c>
      <c r="M341" s="889"/>
      <c r="N341" s="900"/>
    </row>
    <row r="342" spans="1:16" s="918" customFormat="1" ht="18" customHeight="1" x14ac:dyDescent="0.3">
      <c r="A342" s="839">
        <v>334</v>
      </c>
      <c r="B342" s="914"/>
      <c r="C342" s="915"/>
      <c r="D342" s="270" t="s">
        <v>232</v>
      </c>
      <c r="E342" s="887"/>
      <c r="F342" s="887"/>
      <c r="G342" s="916"/>
      <c r="H342" s="917"/>
      <c r="I342" s="272">
        <f>SUM(J342:Q342)</f>
        <v>0</v>
      </c>
      <c r="J342" s="889"/>
      <c r="K342" s="889"/>
      <c r="L342" s="904"/>
      <c r="M342" s="889"/>
      <c r="N342" s="900"/>
    </row>
    <row r="343" spans="1:16" s="918" customFormat="1" ht="18" customHeight="1" x14ac:dyDescent="0.3">
      <c r="A343" s="839">
        <v>335</v>
      </c>
      <c r="B343" s="914"/>
      <c r="C343" s="915"/>
      <c r="D343" s="266" t="s">
        <v>233</v>
      </c>
      <c r="E343" s="887"/>
      <c r="F343" s="887"/>
      <c r="G343" s="916"/>
      <c r="H343" s="917"/>
      <c r="I343" s="268">
        <f>SUM(J343:Q343)</f>
        <v>46398</v>
      </c>
      <c r="J343" s="889"/>
      <c r="K343" s="889"/>
      <c r="L343" s="902">
        <f>SUM(L341:L342)</f>
        <v>46398</v>
      </c>
      <c r="M343" s="889"/>
      <c r="N343" s="900"/>
    </row>
    <row r="344" spans="1:16" s="847" customFormat="1" ht="22.5" customHeight="1" x14ac:dyDescent="0.35">
      <c r="A344" s="839">
        <v>336</v>
      </c>
      <c r="B344" s="963"/>
      <c r="C344" s="882">
        <v>43</v>
      </c>
      <c r="D344" s="898" t="s">
        <v>18</v>
      </c>
      <c r="E344" s="884">
        <v>4885</v>
      </c>
      <c r="F344" s="884">
        <v>6766</v>
      </c>
      <c r="G344" s="885">
        <v>6952</v>
      </c>
      <c r="H344" s="886" t="s">
        <v>296</v>
      </c>
      <c r="I344" s="931"/>
      <c r="J344" s="932"/>
      <c r="K344" s="932"/>
      <c r="L344" s="932"/>
      <c r="M344" s="932"/>
      <c r="N344" s="933"/>
      <c r="O344" s="848"/>
      <c r="P344" s="848"/>
    </row>
    <row r="345" spans="1:16" s="918" customFormat="1" ht="18" customHeight="1" x14ac:dyDescent="0.3">
      <c r="A345" s="839">
        <v>337</v>
      </c>
      <c r="B345" s="914"/>
      <c r="C345" s="915"/>
      <c r="D345" s="883" t="s">
        <v>230</v>
      </c>
      <c r="E345" s="887"/>
      <c r="F345" s="887"/>
      <c r="G345" s="916"/>
      <c r="H345" s="917"/>
      <c r="I345" s="887">
        <f>SUM(J345:N345)</f>
        <v>7023</v>
      </c>
      <c r="J345" s="889"/>
      <c r="K345" s="889"/>
      <c r="L345" s="889">
        <f>5000+2023</f>
        <v>7023</v>
      </c>
      <c r="M345" s="889"/>
      <c r="N345" s="900"/>
    </row>
    <row r="346" spans="1:16" s="918" customFormat="1" ht="18" customHeight="1" x14ac:dyDescent="0.3">
      <c r="A346" s="839">
        <v>338</v>
      </c>
      <c r="B346" s="914"/>
      <c r="C346" s="915"/>
      <c r="D346" s="266" t="s">
        <v>231</v>
      </c>
      <c r="E346" s="887"/>
      <c r="F346" s="887"/>
      <c r="G346" s="916"/>
      <c r="H346" s="917"/>
      <c r="I346" s="878">
        <f>SUM(J346:N346)</f>
        <v>6523</v>
      </c>
      <c r="J346" s="902"/>
      <c r="K346" s="902">
        <v>140</v>
      </c>
      <c r="L346" s="902">
        <v>5633</v>
      </c>
      <c r="M346" s="902"/>
      <c r="N346" s="903">
        <v>750</v>
      </c>
    </row>
    <row r="347" spans="1:16" s="918" customFormat="1" ht="18" customHeight="1" x14ac:dyDescent="0.3">
      <c r="A347" s="839">
        <v>339</v>
      </c>
      <c r="B347" s="914"/>
      <c r="C347" s="915"/>
      <c r="D347" s="270" t="s">
        <v>287</v>
      </c>
      <c r="E347" s="887"/>
      <c r="F347" s="887"/>
      <c r="G347" s="916"/>
      <c r="H347" s="917"/>
      <c r="I347" s="272">
        <f>SUM(J347:Q347)</f>
        <v>1000</v>
      </c>
      <c r="J347" s="904"/>
      <c r="K347" s="904"/>
      <c r="L347" s="904">
        <f>1000-500</f>
        <v>500</v>
      </c>
      <c r="M347" s="904"/>
      <c r="N347" s="906">
        <v>500</v>
      </c>
    </row>
    <row r="348" spans="1:16" s="918" customFormat="1" ht="18" customHeight="1" x14ac:dyDescent="0.3">
      <c r="A348" s="839">
        <v>340</v>
      </c>
      <c r="B348" s="914"/>
      <c r="C348" s="915"/>
      <c r="D348" s="266" t="s">
        <v>233</v>
      </c>
      <c r="E348" s="887"/>
      <c r="F348" s="887"/>
      <c r="G348" s="916"/>
      <c r="H348" s="917"/>
      <c r="I348" s="268">
        <f>SUM(J348:Q348)</f>
        <v>7523</v>
      </c>
      <c r="J348" s="902">
        <f>SUM(J346:J347)</f>
        <v>0</v>
      </c>
      <c r="K348" s="902">
        <f>SUM(K346:K347)</f>
        <v>140</v>
      </c>
      <c r="L348" s="902">
        <f>SUM(L346:L347)</f>
        <v>6133</v>
      </c>
      <c r="M348" s="889"/>
      <c r="N348" s="903">
        <f>SUM(N346:N347)</f>
        <v>1250</v>
      </c>
    </row>
    <row r="349" spans="1:16" s="847" customFormat="1" ht="22.5" customHeight="1" x14ac:dyDescent="0.35">
      <c r="A349" s="839">
        <v>341</v>
      </c>
      <c r="B349" s="963"/>
      <c r="C349" s="882">
        <v>44</v>
      </c>
      <c r="D349" s="898" t="s">
        <v>593</v>
      </c>
      <c r="E349" s="884">
        <f>SUM(E354,E359,E369,E374)</f>
        <v>431</v>
      </c>
      <c r="F349" s="884">
        <f>SUM(F354,F359,F369,F374)</f>
        <v>3269</v>
      </c>
      <c r="G349" s="885">
        <f>SUM(G354,G359,G369,G374)+G364</f>
        <v>4600</v>
      </c>
      <c r="H349" s="886" t="s">
        <v>296</v>
      </c>
      <c r="I349" s="931"/>
      <c r="J349" s="932"/>
      <c r="K349" s="932"/>
      <c r="L349" s="932"/>
      <c r="M349" s="932"/>
      <c r="N349" s="933"/>
      <c r="O349" s="848"/>
      <c r="P349" s="848"/>
    </row>
    <row r="350" spans="1:16" s="918" customFormat="1" ht="18" customHeight="1" x14ac:dyDescent="0.3">
      <c r="A350" s="839">
        <v>342</v>
      </c>
      <c r="B350" s="914"/>
      <c r="C350" s="915"/>
      <c r="D350" s="883" t="s">
        <v>230</v>
      </c>
      <c r="E350" s="887"/>
      <c r="F350" s="887"/>
      <c r="G350" s="916"/>
      <c r="H350" s="917"/>
      <c r="I350" s="887">
        <f>SUM(J350:N350)</f>
        <v>24100</v>
      </c>
      <c r="J350" s="949">
        <f t="shared" ref="J350:N351" si="3">SUM(J355,J375)+J360+J365+J370</f>
        <v>0</v>
      </c>
      <c r="K350" s="949">
        <f t="shared" si="3"/>
        <v>0</v>
      </c>
      <c r="L350" s="949">
        <f t="shared" si="3"/>
        <v>0</v>
      </c>
      <c r="M350" s="949">
        <f t="shared" si="3"/>
        <v>0</v>
      </c>
      <c r="N350" s="950">
        <f t="shared" si="3"/>
        <v>24100</v>
      </c>
    </row>
    <row r="351" spans="1:16" s="918" customFormat="1" ht="18" customHeight="1" x14ac:dyDescent="0.3">
      <c r="A351" s="839">
        <v>343</v>
      </c>
      <c r="B351" s="914"/>
      <c r="C351" s="915"/>
      <c r="D351" s="266" t="s">
        <v>231</v>
      </c>
      <c r="E351" s="887"/>
      <c r="F351" s="887"/>
      <c r="G351" s="916"/>
      <c r="H351" s="917"/>
      <c r="I351" s="878">
        <f>SUM(J351:N351)</f>
        <v>26200</v>
      </c>
      <c r="J351" s="951">
        <f t="shared" si="3"/>
        <v>0</v>
      </c>
      <c r="K351" s="951">
        <f t="shared" si="3"/>
        <v>0</v>
      </c>
      <c r="L351" s="951">
        <f t="shared" si="3"/>
        <v>0</v>
      </c>
      <c r="M351" s="951">
        <f t="shared" si="3"/>
        <v>0</v>
      </c>
      <c r="N351" s="952">
        <f t="shared" si="3"/>
        <v>26200</v>
      </c>
    </row>
    <row r="352" spans="1:16" s="918" customFormat="1" ht="18" customHeight="1" x14ac:dyDescent="0.3">
      <c r="A352" s="839">
        <v>344</v>
      </c>
      <c r="B352" s="914"/>
      <c r="C352" s="915"/>
      <c r="D352" s="270" t="s">
        <v>245</v>
      </c>
      <c r="E352" s="887"/>
      <c r="F352" s="887"/>
      <c r="G352" s="916"/>
      <c r="H352" s="917"/>
      <c r="I352" s="272">
        <f>SUM(J352:Q352)</f>
        <v>0</v>
      </c>
      <c r="J352" s="934">
        <f>J357+J362+J367+J372+J377</f>
        <v>0</v>
      </c>
      <c r="K352" s="934">
        <f>K357+K362+K367+K372+K377</f>
        <v>0</v>
      </c>
      <c r="L352" s="934">
        <f>L357+L362+L367+L372+L377</f>
        <v>0</v>
      </c>
      <c r="M352" s="934">
        <f>M357+M362+M367+M372+M377</f>
        <v>0</v>
      </c>
      <c r="N352" s="935">
        <f>N357+N362+N367+N372+N377</f>
        <v>0</v>
      </c>
    </row>
    <row r="353" spans="1:16" s="918" customFormat="1" ht="18" customHeight="1" x14ac:dyDescent="0.3">
      <c r="A353" s="839">
        <v>345</v>
      </c>
      <c r="B353" s="914"/>
      <c r="C353" s="915"/>
      <c r="D353" s="266" t="s">
        <v>233</v>
      </c>
      <c r="E353" s="887"/>
      <c r="F353" s="887"/>
      <c r="G353" s="916"/>
      <c r="H353" s="917"/>
      <c r="I353" s="268">
        <f>SUM(J353:Q353)</f>
        <v>26200</v>
      </c>
      <c r="J353" s="951">
        <f>SUM(J351:J352)</f>
        <v>0</v>
      </c>
      <c r="K353" s="951">
        <f>SUM(K351:K352)</f>
        <v>0</v>
      </c>
      <c r="L353" s="951">
        <f>SUM(L351:L352)</f>
        <v>0</v>
      </c>
      <c r="M353" s="951">
        <f>SUM(M351:M352)</f>
        <v>0</v>
      </c>
      <c r="N353" s="952">
        <f>SUM(N351:N352)</f>
        <v>26200</v>
      </c>
    </row>
    <row r="354" spans="1:16" s="964" customFormat="1" ht="18" customHeight="1" x14ac:dyDescent="0.3">
      <c r="A354" s="839">
        <v>346</v>
      </c>
      <c r="B354" s="926"/>
      <c r="C354" s="882"/>
      <c r="D354" s="919" t="s">
        <v>594</v>
      </c>
      <c r="E354" s="884"/>
      <c r="F354" s="920">
        <v>2500</v>
      </c>
      <c r="G354" s="920"/>
      <c r="H354" s="927"/>
      <c r="I354" s="928"/>
      <c r="J354" s="932"/>
      <c r="K354" s="932"/>
      <c r="L354" s="932"/>
      <c r="M354" s="932"/>
      <c r="N354" s="929"/>
      <c r="P354" s="965"/>
    </row>
    <row r="355" spans="1:16" s="966" customFormat="1" ht="18" customHeight="1" x14ac:dyDescent="0.3">
      <c r="A355" s="839">
        <v>347</v>
      </c>
      <c r="B355" s="940"/>
      <c r="C355" s="915"/>
      <c r="D355" s="938" t="s">
        <v>230</v>
      </c>
      <c r="E355" s="887"/>
      <c r="F355" s="928"/>
      <c r="G355" s="941"/>
      <c r="H355" s="944"/>
      <c r="I355" s="923">
        <f>SUM(J355:N355)</f>
        <v>3500</v>
      </c>
      <c r="J355" s="942"/>
      <c r="K355" s="942"/>
      <c r="L355" s="942"/>
      <c r="M355" s="942"/>
      <c r="N355" s="929">
        <v>3500</v>
      </c>
      <c r="P355" s="967"/>
    </row>
    <row r="356" spans="1:16" s="966" customFormat="1" ht="18" customHeight="1" x14ac:dyDescent="0.3">
      <c r="A356" s="839">
        <v>348</v>
      </c>
      <c r="B356" s="940"/>
      <c r="C356" s="915"/>
      <c r="D356" s="925" t="s">
        <v>231</v>
      </c>
      <c r="E356" s="887"/>
      <c r="F356" s="928"/>
      <c r="G356" s="941"/>
      <c r="H356" s="944"/>
      <c r="I356" s="920">
        <f>SUM(J356:N356)</f>
        <v>0</v>
      </c>
      <c r="J356" s="905"/>
      <c r="K356" s="905"/>
      <c r="L356" s="905"/>
      <c r="M356" s="905"/>
      <c r="N356" s="906">
        <v>0</v>
      </c>
      <c r="P356" s="967"/>
    </row>
    <row r="357" spans="1:16" s="966" customFormat="1" ht="18" customHeight="1" x14ac:dyDescent="0.3">
      <c r="A357" s="839">
        <v>349</v>
      </c>
      <c r="B357" s="940"/>
      <c r="C357" s="915"/>
      <c r="D357" s="925" t="s">
        <v>232</v>
      </c>
      <c r="E357" s="887"/>
      <c r="F357" s="928"/>
      <c r="G357" s="941"/>
      <c r="H357" s="944"/>
      <c r="I357" s="272">
        <f>SUM(J357:Q357)</f>
        <v>0</v>
      </c>
      <c r="J357" s="942"/>
      <c r="K357" s="942"/>
      <c r="L357" s="942"/>
      <c r="M357" s="942"/>
      <c r="N357" s="906"/>
      <c r="P357" s="967"/>
    </row>
    <row r="358" spans="1:16" s="966" customFormat="1" ht="18" customHeight="1" x14ac:dyDescent="0.3">
      <c r="A358" s="839">
        <v>350</v>
      </c>
      <c r="B358" s="940"/>
      <c r="C358" s="915"/>
      <c r="D358" s="925" t="s">
        <v>233</v>
      </c>
      <c r="E358" s="887"/>
      <c r="F358" s="928"/>
      <c r="G358" s="941"/>
      <c r="H358" s="944"/>
      <c r="I358" s="252">
        <f>SUM(J358:Q358)</f>
        <v>0</v>
      </c>
      <c r="J358" s="942"/>
      <c r="K358" s="942"/>
      <c r="L358" s="942"/>
      <c r="M358" s="942"/>
      <c r="N358" s="906">
        <f>SUM(N356:N357)</f>
        <v>0</v>
      </c>
      <c r="P358" s="967"/>
    </row>
    <row r="359" spans="1:16" s="964" customFormat="1" ht="18" customHeight="1" x14ac:dyDescent="0.3">
      <c r="A359" s="839">
        <v>351</v>
      </c>
      <c r="B359" s="926"/>
      <c r="C359" s="882"/>
      <c r="D359" s="919" t="s">
        <v>595</v>
      </c>
      <c r="E359" s="920"/>
      <c r="F359" s="920"/>
      <c r="G359" s="921"/>
      <c r="H359" s="927"/>
      <c r="I359" s="968"/>
      <c r="J359" s="932"/>
      <c r="K359" s="932"/>
      <c r="L359" s="932"/>
      <c r="M359" s="932"/>
      <c r="N359" s="933"/>
      <c r="P359" s="965"/>
    </row>
    <row r="360" spans="1:16" s="964" customFormat="1" ht="18" customHeight="1" x14ac:dyDescent="0.3">
      <c r="A360" s="839">
        <v>352</v>
      </c>
      <c r="B360" s="926"/>
      <c r="C360" s="882"/>
      <c r="D360" s="938" t="s">
        <v>230</v>
      </c>
      <c r="E360" s="920"/>
      <c r="F360" s="920"/>
      <c r="G360" s="921"/>
      <c r="H360" s="927"/>
      <c r="I360" s="923">
        <f>SUM(J360:N360)</f>
        <v>15000</v>
      </c>
      <c r="J360" s="932"/>
      <c r="K360" s="932"/>
      <c r="L360" s="932"/>
      <c r="M360" s="932"/>
      <c r="N360" s="933">
        <v>15000</v>
      </c>
      <c r="P360" s="965"/>
    </row>
    <row r="361" spans="1:16" s="964" customFormat="1" ht="18" customHeight="1" x14ac:dyDescent="0.3">
      <c r="A361" s="839">
        <v>353</v>
      </c>
      <c r="B361" s="926"/>
      <c r="C361" s="882"/>
      <c r="D361" s="925" t="s">
        <v>231</v>
      </c>
      <c r="E361" s="920"/>
      <c r="F361" s="920"/>
      <c r="G361" s="921"/>
      <c r="H361" s="927"/>
      <c r="I361" s="920">
        <f>SUM(J361:N361)</f>
        <v>20000</v>
      </c>
      <c r="J361" s="934"/>
      <c r="K361" s="934"/>
      <c r="L361" s="934"/>
      <c r="M361" s="934"/>
      <c r="N361" s="935">
        <v>20000</v>
      </c>
      <c r="P361" s="965"/>
    </row>
    <row r="362" spans="1:16" s="964" customFormat="1" ht="18" customHeight="1" x14ac:dyDescent="0.3">
      <c r="A362" s="839">
        <v>354</v>
      </c>
      <c r="B362" s="926"/>
      <c r="C362" s="882"/>
      <c r="D362" s="925" t="s">
        <v>232</v>
      </c>
      <c r="E362" s="920"/>
      <c r="F362" s="920"/>
      <c r="G362" s="921"/>
      <c r="H362" s="927"/>
      <c r="I362" s="272">
        <f>SUM(J362:Q362)</f>
        <v>0</v>
      </c>
      <c r="J362" s="932"/>
      <c r="K362" s="932"/>
      <c r="L362" s="932"/>
      <c r="M362" s="932"/>
      <c r="N362" s="935"/>
      <c r="P362" s="965"/>
    </row>
    <row r="363" spans="1:16" s="964" customFormat="1" ht="18" customHeight="1" x14ac:dyDescent="0.3">
      <c r="A363" s="839">
        <v>355</v>
      </c>
      <c r="B363" s="926"/>
      <c r="C363" s="882"/>
      <c r="D363" s="925" t="s">
        <v>233</v>
      </c>
      <c r="E363" s="920"/>
      <c r="F363" s="920"/>
      <c r="G363" s="921"/>
      <c r="H363" s="927"/>
      <c r="I363" s="252">
        <f>SUM(J363:Q363)</f>
        <v>20000</v>
      </c>
      <c r="J363" s="932"/>
      <c r="K363" s="932"/>
      <c r="L363" s="932"/>
      <c r="M363" s="932"/>
      <c r="N363" s="935">
        <f>SUM(N361:N362)</f>
        <v>20000</v>
      </c>
      <c r="P363" s="965"/>
    </row>
    <row r="364" spans="1:16" s="964" customFormat="1" ht="18" customHeight="1" x14ac:dyDescent="0.3">
      <c r="A364" s="839">
        <v>356</v>
      </c>
      <c r="B364" s="926"/>
      <c r="C364" s="882"/>
      <c r="D364" s="919" t="s">
        <v>596</v>
      </c>
      <c r="E364" s="920"/>
      <c r="F364" s="920"/>
      <c r="G364" s="921">
        <v>4000</v>
      </c>
      <c r="H364" s="927"/>
      <c r="I364" s="923"/>
      <c r="J364" s="932"/>
      <c r="K364" s="932"/>
      <c r="L364" s="932"/>
      <c r="M364" s="932"/>
      <c r="N364" s="933"/>
      <c r="P364" s="965"/>
    </row>
    <row r="365" spans="1:16" s="964" customFormat="1" ht="18" customHeight="1" x14ac:dyDescent="0.3">
      <c r="A365" s="839">
        <v>357</v>
      </c>
      <c r="B365" s="926"/>
      <c r="C365" s="882"/>
      <c r="D365" s="938" t="s">
        <v>230</v>
      </c>
      <c r="E365" s="920"/>
      <c r="F365" s="920"/>
      <c r="G365" s="921"/>
      <c r="H365" s="927"/>
      <c r="I365" s="923">
        <f>SUM(J365:N365)</f>
        <v>4000</v>
      </c>
      <c r="J365" s="932"/>
      <c r="K365" s="932"/>
      <c r="L365" s="932"/>
      <c r="M365" s="932"/>
      <c r="N365" s="933">
        <v>4000</v>
      </c>
      <c r="P365" s="965"/>
    </row>
    <row r="366" spans="1:16" s="964" customFormat="1" ht="18" customHeight="1" x14ac:dyDescent="0.3">
      <c r="A366" s="839">
        <v>358</v>
      </c>
      <c r="B366" s="926"/>
      <c r="C366" s="882"/>
      <c r="D366" s="925" t="s">
        <v>231</v>
      </c>
      <c r="E366" s="920"/>
      <c r="F366" s="920"/>
      <c r="G366" s="921"/>
      <c r="H366" s="927"/>
      <c r="I366" s="920">
        <f>SUM(J366:N366)</f>
        <v>4000</v>
      </c>
      <c r="J366" s="934"/>
      <c r="K366" s="934"/>
      <c r="L366" s="934"/>
      <c r="M366" s="934"/>
      <c r="N366" s="935">
        <v>4000</v>
      </c>
      <c r="P366" s="965"/>
    </row>
    <row r="367" spans="1:16" s="964" customFormat="1" ht="18" customHeight="1" x14ac:dyDescent="0.3">
      <c r="A367" s="839">
        <v>359</v>
      </c>
      <c r="B367" s="926"/>
      <c r="C367" s="882"/>
      <c r="D367" s="925" t="s">
        <v>245</v>
      </c>
      <c r="E367" s="920"/>
      <c r="F367" s="920"/>
      <c r="G367" s="921"/>
      <c r="H367" s="927"/>
      <c r="I367" s="272">
        <f>SUM(J367:Q367)</f>
        <v>0</v>
      </c>
      <c r="J367" s="932"/>
      <c r="K367" s="932"/>
      <c r="L367" s="932"/>
      <c r="M367" s="932"/>
      <c r="N367" s="933"/>
      <c r="P367" s="965"/>
    </row>
    <row r="368" spans="1:16" s="964" customFormat="1" ht="18" customHeight="1" x14ac:dyDescent="0.3">
      <c r="A368" s="839">
        <v>360</v>
      </c>
      <c r="B368" s="926"/>
      <c r="C368" s="882"/>
      <c r="D368" s="925" t="s">
        <v>233</v>
      </c>
      <c r="E368" s="920"/>
      <c r="F368" s="920"/>
      <c r="G368" s="921"/>
      <c r="H368" s="927"/>
      <c r="I368" s="252">
        <f>SUM(J368:Q368)</f>
        <v>4000</v>
      </c>
      <c r="J368" s="932"/>
      <c r="K368" s="932"/>
      <c r="L368" s="932"/>
      <c r="M368" s="932"/>
      <c r="N368" s="935">
        <f>SUM(N366:N367)</f>
        <v>4000</v>
      </c>
      <c r="P368" s="965"/>
    </row>
    <row r="369" spans="1:16" s="964" customFormat="1" ht="18" customHeight="1" x14ac:dyDescent="0.3">
      <c r="A369" s="839">
        <v>361</v>
      </c>
      <c r="B369" s="926"/>
      <c r="C369" s="882"/>
      <c r="D369" s="919" t="s">
        <v>597</v>
      </c>
      <c r="E369" s="920"/>
      <c r="F369" s="920"/>
      <c r="G369" s="921"/>
      <c r="H369" s="927"/>
      <c r="I369" s="968"/>
      <c r="J369" s="932"/>
      <c r="K369" s="932"/>
      <c r="L369" s="932"/>
      <c r="M369" s="932"/>
      <c r="N369" s="933"/>
      <c r="P369" s="965"/>
    </row>
    <row r="370" spans="1:16" s="964" customFormat="1" ht="18" customHeight="1" x14ac:dyDescent="0.3">
      <c r="A370" s="839">
        <v>362</v>
      </c>
      <c r="B370" s="926"/>
      <c r="C370" s="882"/>
      <c r="D370" s="938" t="s">
        <v>230</v>
      </c>
      <c r="E370" s="920"/>
      <c r="F370" s="920"/>
      <c r="G370" s="921"/>
      <c r="H370" s="927"/>
      <c r="I370" s="923">
        <f>SUM(J370:N370)</f>
        <v>1000</v>
      </c>
      <c r="J370" s="932"/>
      <c r="K370" s="932"/>
      <c r="L370" s="932"/>
      <c r="M370" s="932"/>
      <c r="N370" s="933">
        <v>1000</v>
      </c>
      <c r="P370" s="965"/>
    </row>
    <row r="371" spans="1:16" s="964" customFormat="1" ht="18" customHeight="1" x14ac:dyDescent="0.3">
      <c r="A371" s="839">
        <v>363</v>
      </c>
      <c r="B371" s="926"/>
      <c r="C371" s="882"/>
      <c r="D371" s="925" t="s">
        <v>231</v>
      </c>
      <c r="E371" s="920"/>
      <c r="F371" s="920"/>
      <c r="G371" s="921"/>
      <c r="H371" s="927"/>
      <c r="I371" s="920">
        <f>SUM(J371:N371)</f>
        <v>1000</v>
      </c>
      <c r="J371" s="934"/>
      <c r="K371" s="934"/>
      <c r="L371" s="934"/>
      <c r="M371" s="934"/>
      <c r="N371" s="935">
        <v>1000</v>
      </c>
      <c r="P371" s="965"/>
    </row>
    <row r="372" spans="1:16" s="964" customFormat="1" ht="18" customHeight="1" x14ac:dyDescent="0.3">
      <c r="A372" s="839">
        <v>364</v>
      </c>
      <c r="B372" s="926"/>
      <c r="C372" s="882"/>
      <c r="D372" s="925" t="s">
        <v>245</v>
      </c>
      <c r="E372" s="920"/>
      <c r="F372" s="920"/>
      <c r="G372" s="921"/>
      <c r="H372" s="927"/>
      <c r="I372" s="272">
        <f>SUM(J372:Q372)</f>
        <v>0</v>
      </c>
      <c r="J372" s="932"/>
      <c r="K372" s="932"/>
      <c r="L372" s="932"/>
      <c r="M372" s="932"/>
      <c r="N372" s="933"/>
      <c r="P372" s="965"/>
    </row>
    <row r="373" spans="1:16" s="964" customFormat="1" ht="18" customHeight="1" x14ac:dyDescent="0.3">
      <c r="A373" s="839">
        <v>365</v>
      </c>
      <c r="B373" s="926"/>
      <c r="C373" s="882"/>
      <c r="D373" s="925" t="s">
        <v>233</v>
      </c>
      <c r="E373" s="920"/>
      <c r="F373" s="920"/>
      <c r="G373" s="921"/>
      <c r="H373" s="927"/>
      <c r="I373" s="252">
        <f>SUM(J373:Q373)</f>
        <v>1000</v>
      </c>
      <c r="J373" s="932"/>
      <c r="K373" s="932"/>
      <c r="L373" s="932"/>
      <c r="M373" s="932"/>
      <c r="N373" s="935">
        <f>SUM(N371:N372)</f>
        <v>1000</v>
      </c>
      <c r="P373" s="965"/>
    </row>
    <row r="374" spans="1:16" s="964" customFormat="1" ht="18" customHeight="1" x14ac:dyDescent="0.3">
      <c r="A374" s="839">
        <v>366</v>
      </c>
      <c r="B374" s="926"/>
      <c r="C374" s="882"/>
      <c r="D374" s="919" t="s">
        <v>598</v>
      </c>
      <c r="E374" s="920">
        <v>431</v>
      </c>
      <c r="F374" s="920">
        <v>769</v>
      </c>
      <c r="G374" s="921">
        <v>600</v>
      </c>
      <c r="H374" s="927"/>
      <c r="I374" s="968"/>
      <c r="J374" s="932"/>
      <c r="K374" s="932"/>
      <c r="L374" s="932"/>
      <c r="M374" s="932"/>
      <c r="N374" s="933"/>
      <c r="P374" s="965"/>
    </row>
    <row r="375" spans="1:16" s="966" customFormat="1" ht="18" customHeight="1" x14ac:dyDescent="0.3">
      <c r="A375" s="839">
        <v>367</v>
      </c>
      <c r="B375" s="940"/>
      <c r="C375" s="915"/>
      <c r="D375" s="938" t="s">
        <v>230</v>
      </c>
      <c r="E375" s="887"/>
      <c r="F375" s="928"/>
      <c r="G375" s="941"/>
      <c r="H375" s="944"/>
      <c r="I375" s="923">
        <f>SUM(J375:N375)</f>
        <v>600</v>
      </c>
      <c r="J375" s="942"/>
      <c r="K375" s="942"/>
      <c r="L375" s="942"/>
      <c r="M375" s="942"/>
      <c r="N375" s="929">
        <v>600</v>
      </c>
      <c r="P375" s="967"/>
    </row>
    <row r="376" spans="1:16" s="966" customFormat="1" ht="18" customHeight="1" x14ac:dyDescent="0.3">
      <c r="A376" s="839">
        <v>368</v>
      </c>
      <c r="B376" s="940"/>
      <c r="C376" s="915"/>
      <c r="D376" s="925" t="s">
        <v>231</v>
      </c>
      <c r="E376" s="887"/>
      <c r="F376" s="928"/>
      <c r="G376" s="941"/>
      <c r="H376" s="944"/>
      <c r="I376" s="920">
        <f>SUM(J376:N376)</f>
        <v>1200</v>
      </c>
      <c r="J376" s="905"/>
      <c r="K376" s="905"/>
      <c r="L376" s="905"/>
      <c r="M376" s="905"/>
      <c r="N376" s="906">
        <v>1200</v>
      </c>
      <c r="P376" s="967"/>
    </row>
    <row r="377" spans="1:16" s="966" customFormat="1" ht="18" customHeight="1" x14ac:dyDescent="0.3">
      <c r="A377" s="839">
        <v>369</v>
      </c>
      <c r="B377" s="940"/>
      <c r="C377" s="915"/>
      <c r="D377" s="925" t="s">
        <v>232</v>
      </c>
      <c r="E377" s="887"/>
      <c r="F377" s="928"/>
      <c r="G377" s="941"/>
      <c r="H377" s="944"/>
      <c r="I377" s="272">
        <f>SUM(J377:Q377)</f>
        <v>0</v>
      </c>
      <c r="J377" s="942"/>
      <c r="K377" s="942"/>
      <c r="L377" s="942"/>
      <c r="M377" s="942"/>
      <c r="N377" s="906"/>
      <c r="P377" s="967"/>
    </row>
    <row r="378" spans="1:16" s="966" customFormat="1" ht="18" customHeight="1" x14ac:dyDescent="0.3">
      <c r="A378" s="839">
        <v>370</v>
      </c>
      <c r="B378" s="940"/>
      <c r="C378" s="915"/>
      <c r="D378" s="925" t="s">
        <v>233</v>
      </c>
      <c r="E378" s="887"/>
      <c r="F378" s="928"/>
      <c r="G378" s="941"/>
      <c r="H378" s="944"/>
      <c r="I378" s="252">
        <f>SUM(J378:Q378)</f>
        <v>1200</v>
      </c>
      <c r="J378" s="942"/>
      <c r="K378" s="942"/>
      <c r="L378" s="942"/>
      <c r="M378" s="942"/>
      <c r="N378" s="906">
        <f>SUM(N376:N377)</f>
        <v>1200</v>
      </c>
      <c r="P378" s="967"/>
    </row>
    <row r="379" spans="1:16" s="847" customFormat="1" ht="22.5" customHeight="1" x14ac:dyDescent="0.35">
      <c r="A379" s="839">
        <v>371</v>
      </c>
      <c r="B379" s="963"/>
      <c r="C379" s="882">
        <v>45</v>
      </c>
      <c r="D379" s="898" t="s">
        <v>599</v>
      </c>
      <c r="E379" s="884">
        <f>SUM(E384,E385,E390)</f>
        <v>6600</v>
      </c>
      <c r="F379" s="884">
        <f>SUM(F384,F385,F390)</f>
        <v>4700</v>
      </c>
      <c r="G379" s="885">
        <f>SUM(G384,G385,G390)</f>
        <v>6000</v>
      </c>
      <c r="H379" s="886" t="s">
        <v>296</v>
      </c>
      <c r="I379" s="931"/>
      <c r="J379" s="932"/>
      <c r="K379" s="932"/>
      <c r="L379" s="932"/>
      <c r="M379" s="932"/>
      <c r="N379" s="933"/>
      <c r="O379" s="848"/>
      <c r="P379" s="848"/>
    </row>
    <row r="380" spans="1:16" s="918" customFormat="1" ht="18" customHeight="1" x14ac:dyDescent="0.3">
      <c r="A380" s="839">
        <v>372</v>
      </c>
      <c r="B380" s="914"/>
      <c r="C380" s="915"/>
      <c r="D380" s="883" t="s">
        <v>230</v>
      </c>
      <c r="E380" s="887"/>
      <c r="F380" s="887"/>
      <c r="G380" s="916"/>
      <c r="H380" s="917"/>
      <c r="I380" s="887">
        <f>SUM(J380:N380)</f>
        <v>18700</v>
      </c>
      <c r="J380" s="949">
        <f>J386+J391+J396+J401</f>
        <v>0</v>
      </c>
      <c r="K380" s="949">
        <f>K386+K391+K396+K401</f>
        <v>0</v>
      </c>
      <c r="L380" s="949">
        <f>L386+L391+L396+L401</f>
        <v>100</v>
      </c>
      <c r="M380" s="949">
        <f>M386+M391+M396+M401</f>
        <v>0</v>
      </c>
      <c r="N380" s="950">
        <f>N386+N391+N396+N401</f>
        <v>18600</v>
      </c>
    </row>
    <row r="381" spans="1:16" s="918" customFormat="1" ht="18" customHeight="1" x14ac:dyDescent="0.3">
      <c r="A381" s="839">
        <v>373</v>
      </c>
      <c r="B381" s="914"/>
      <c r="C381" s="915"/>
      <c r="D381" s="266" t="s">
        <v>231</v>
      </c>
      <c r="E381" s="887"/>
      <c r="F381" s="887"/>
      <c r="G381" s="916"/>
      <c r="H381" s="917"/>
      <c r="I381" s="878">
        <f>SUM(J381:N381)</f>
        <v>68700</v>
      </c>
      <c r="J381" s="951">
        <f t="shared" ref="J381:N382" si="4">J387+J392+J397+J402+J406+J410</f>
        <v>1500</v>
      </c>
      <c r="K381" s="951">
        <f t="shared" si="4"/>
        <v>495</v>
      </c>
      <c r="L381" s="951">
        <f t="shared" si="4"/>
        <v>10105</v>
      </c>
      <c r="M381" s="951">
        <f t="shared" si="4"/>
        <v>0</v>
      </c>
      <c r="N381" s="952">
        <f t="shared" si="4"/>
        <v>56600</v>
      </c>
    </row>
    <row r="382" spans="1:16" s="918" customFormat="1" ht="18" customHeight="1" x14ac:dyDescent="0.3">
      <c r="A382" s="839">
        <v>374</v>
      </c>
      <c r="B382" s="914"/>
      <c r="C382" s="915"/>
      <c r="D382" s="270" t="s">
        <v>245</v>
      </c>
      <c r="E382" s="887"/>
      <c r="F382" s="887"/>
      <c r="G382" s="916"/>
      <c r="H382" s="917"/>
      <c r="I382" s="272">
        <f>SUM(J382:Q382)</f>
        <v>0</v>
      </c>
      <c r="J382" s="934">
        <f t="shared" si="4"/>
        <v>0</v>
      </c>
      <c r="K382" s="934">
        <f t="shared" si="4"/>
        <v>0</v>
      </c>
      <c r="L382" s="934">
        <f t="shared" si="4"/>
        <v>0</v>
      </c>
      <c r="M382" s="934">
        <f t="shared" si="4"/>
        <v>0</v>
      </c>
      <c r="N382" s="935">
        <f t="shared" si="4"/>
        <v>0</v>
      </c>
    </row>
    <row r="383" spans="1:16" s="918" customFormat="1" ht="18" customHeight="1" x14ac:dyDescent="0.3">
      <c r="A383" s="839">
        <v>375</v>
      </c>
      <c r="B383" s="914"/>
      <c r="C383" s="915"/>
      <c r="D383" s="266" t="s">
        <v>233</v>
      </c>
      <c r="E383" s="887"/>
      <c r="F383" s="887"/>
      <c r="G383" s="916"/>
      <c r="H383" s="917"/>
      <c r="I383" s="268">
        <f>SUM(J383:Q383)</f>
        <v>68700</v>
      </c>
      <c r="J383" s="951">
        <f>SUM(J381:J382)</f>
        <v>1500</v>
      </c>
      <c r="K383" s="951">
        <f>SUM(K381:K382)</f>
        <v>495</v>
      </c>
      <c r="L383" s="951">
        <f>SUM(L381:L382)</f>
        <v>10105</v>
      </c>
      <c r="M383" s="951">
        <f>SUM(M381:M382)</f>
        <v>0</v>
      </c>
      <c r="N383" s="952">
        <f>SUM(N381:N382)</f>
        <v>56600</v>
      </c>
    </row>
    <row r="384" spans="1:16" s="964" customFormat="1" ht="18" customHeight="1" x14ac:dyDescent="0.3">
      <c r="A384" s="839">
        <v>376</v>
      </c>
      <c r="B384" s="926"/>
      <c r="C384" s="882"/>
      <c r="D384" s="919" t="s">
        <v>600</v>
      </c>
      <c r="E384" s="920">
        <v>5000</v>
      </c>
      <c r="F384" s="920">
        <v>3000</v>
      </c>
      <c r="G384" s="921"/>
      <c r="H384" s="927"/>
      <c r="I384" s="928"/>
      <c r="J384" s="924"/>
      <c r="K384" s="924"/>
      <c r="L384" s="924"/>
      <c r="M384" s="924"/>
      <c r="N384" s="929"/>
      <c r="P384" s="965"/>
    </row>
    <row r="385" spans="1:16" s="964" customFormat="1" ht="18" customHeight="1" x14ac:dyDescent="0.3">
      <c r="A385" s="839">
        <v>377</v>
      </c>
      <c r="B385" s="926"/>
      <c r="C385" s="882"/>
      <c r="D385" s="919" t="s">
        <v>601</v>
      </c>
      <c r="E385" s="920"/>
      <c r="F385" s="920"/>
      <c r="G385" s="921">
        <v>5000</v>
      </c>
      <c r="H385" s="927"/>
      <c r="I385" s="923"/>
      <c r="J385" s="932"/>
      <c r="K385" s="932"/>
      <c r="L385" s="932"/>
      <c r="M385" s="932"/>
      <c r="N385" s="933"/>
      <c r="P385" s="965"/>
    </row>
    <row r="386" spans="1:16" s="964" customFormat="1" ht="18" customHeight="1" x14ac:dyDescent="0.3">
      <c r="A386" s="839">
        <v>378</v>
      </c>
      <c r="B386" s="926"/>
      <c r="C386" s="882"/>
      <c r="D386" s="938" t="s">
        <v>230</v>
      </c>
      <c r="E386" s="920"/>
      <c r="F386" s="920"/>
      <c r="G386" s="921"/>
      <c r="H386" s="927"/>
      <c r="I386" s="923">
        <f>SUM(J386:N386)</f>
        <v>5000</v>
      </c>
      <c r="J386" s="932"/>
      <c r="K386" s="932"/>
      <c r="L386" s="932"/>
      <c r="M386" s="932"/>
      <c r="N386" s="933">
        <v>5000</v>
      </c>
      <c r="P386" s="965"/>
    </row>
    <row r="387" spans="1:16" s="964" customFormat="1" ht="18" customHeight="1" x14ac:dyDescent="0.3">
      <c r="A387" s="839">
        <v>379</v>
      </c>
      <c r="B387" s="926"/>
      <c r="C387" s="882"/>
      <c r="D387" s="925" t="s">
        <v>231</v>
      </c>
      <c r="E387" s="920"/>
      <c r="F387" s="920"/>
      <c r="G387" s="921"/>
      <c r="H387" s="927"/>
      <c r="I387" s="920">
        <f>SUM(J387:N387)</f>
        <v>5000</v>
      </c>
      <c r="J387" s="934"/>
      <c r="K387" s="934"/>
      <c r="L387" s="934"/>
      <c r="M387" s="934"/>
      <c r="N387" s="935">
        <v>5000</v>
      </c>
      <c r="P387" s="965"/>
    </row>
    <row r="388" spans="1:16" s="964" customFormat="1" ht="18" customHeight="1" x14ac:dyDescent="0.3">
      <c r="A388" s="839">
        <v>380</v>
      </c>
      <c r="B388" s="926"/>
      <c r="C388" s="882"/>
      <c r="D388" s="925" t="s">
        <v>245</v>
      </c>
      <c r="E388" s="920"/>
      <c r="F388" s="920"/>
      <c r="G388" s="921"/>
      <c r="H388" s="927"/>
      <c r="I388" s="272">
        <f>SUM(J388:Q388)</f>
        <v>0</v>
      </c>
      <c r="J388" s="932"/>
      <c r="K388" s="932"/>
      <c r="L388" s="932"/>
      <c r="M388" s="932"/>
      <c r="N388" s="933"/>
      <c r="P388" s="965"/>
    </row>
    <row r="389" spans="1:16" s="964" customFormat="1" ht="18" customHeight="1" x14ac:dyDescent="0.3">
      <c r="A389" s="839">
        <v>381</v>
      </c>
      <c r="B389" s="926"/>
      <c r="C389" s="882"/>
      <c r="D389" s="925" t="s">
        <v>233</v>
      </c>
      <c r="E389" s="920"/>
      <c r="F389" s="920"/>
      <c r="G389" s="921"/>
      <c r="H389" s="927"/>
      <c r="I389" s="272">
        <f>SUM(J389:Q389)</f>
        <v>5000</v>
      </c>
      <c r="J389" s="932"/>
      <c r="K389" s="932"/>
      <c r="L389" s="932"/>
      <c r="M389" s="932"/>
      <c r="N389" s="933">
        <f>SUM(N387:N388)</f>
        <v>5000</v>
      </c>
      <c r="P389" s="965"/>
    </row>
    <row r="390" spans="1:16" s="964" customFormat="1" ht="18" customHeight="1" x14ac:dyDescent="0.3">
      <c r="A390" s="839">
        <v>382</v>
      </c>
      <c r="B390" s="926"/>
      <c r="C390" s="882"/>
      <c r="D390" s="919" t="s">
        <v>602</v>
      </c>
      <c r="E390" s="920">
        <v>1600</v>
      </c>
      <c r="F390" s="920">
        <v>1700</v>
      </c>
      <c r="G390" s="921">
        <v>1000</v>
      </c>
      <c r="H390" s="927"/>
      <c r="I390" s="923"/>
      <c r="J390" s="932"/>
      <c r="K390" s="932"/>
      <c r="L390" s="932"/>
      <c r="M390" s="932"/>
      <c r="N390" s="933"/>
      <c r="P390" s="965"/>
    </row>
    <row r="391" spans="1:16" s="966" customFormat="1" ht="18" customHeight="1" x14ac:dyDescent="0.3">
      <c r="A391" s="839">
        <v>383</v>
      </c>
      <c r="B391" s="940"/>
      <c r="C391" s="915"/>
      <c r="D391" s="938" t="s">
        <v>230</v>
      </c>
      <c r="E391" s="887"/>
      <c r="F391" s="928"/>
      <c r="G391" s="941"/>
      <c r="H391" s="944"/>
      <c r="I391" s="923">
        <f>SUM(J391:N391)</f>
        <v>1700</v>
      </c>
      <c r="J391" s="942"/>
      <c r="K391" s="942"/>
      <c r="L391" s="924">
        <v>100</v>
      </c>
      <c r="M391" s="942"/>
      <c r="N391" s="929">
        <v>1600</v>
      </c>
      <c r="P391" s="967"/>
    </row>
    <row r="392" spans="1:16" s="966" customFormat="1" ht="18" customHeight="1" x14ac:dyDescent="0.3">
      <c r="A392" s="839">
        <v>384</v>
      </c>
      <c r="B392" s="940"/>
      <c r="C392" s="915"/>
      <c r="D392" s="925" t="s">
        <v>231</v>
      </c>
      <c r="E392" s="887"/>
      <c r="F392" s="928"/>
      <c r="G392" s="941"/>
      <c r="H392" s="944"/>
      <c r="I392" s="920">
        <f>SUM(J392:N392)</f>
        <v>1700</v>
      </c>
      <c r="J392" s="905"/>
      <c r="K392" s="905"/>
      <c r="L392" s="904">
        <v>100</v>
      </c>
      <c r="M392" s="905"/>
      <c r="N392" s="906">
        <v>1600</v>
      </c>
      <c r="P392" s="967"/>
    </row>
    <row r="393" spans="1:16" s="966" customFormat="1" ht="18" customHeight="1" x14ac:dyDescent="0.3">
      <c r="A393" s="839">
        <v>385</v>
      </c>
      <c r="B393" s="940"/>
      <c r="C393" s="915"/>
      <c r="D393" s="925" t="s">
        <v>245</v>
      </c>
      <c r="E393" s="887"/>
      <c r="F393" s="928"/>
      <c r="G393" s="941"/>
      <c r="H393" s="944"/>
      <c r="I393" s="272">
        <f>SUM(J393:Q393)</f>
        <v>0</v>
      </c>
      <c r="J393" s="942"/>
      <c r="K393" s="942"/>
      <c r="L393" s="924"/>
      <c r="M393" s="942"/>
      <c r="N393" s="929"/>
      <c r="P393" s="967"/>
    </row>
    <row r="394" spans="1:16" s="966" customFormat="1" ht="18" customHeight="1" x14ac:dyDescent="0.3">
      <c r="A394" s="839">
        <v>386</v>
      </c>
      <c r="B394" s="940"/>
      <c r="C394" s="915"/>
      <c r="D394" s="925" t="s">
        <v>233</v>
      </c>
      <c r="E394" s="887"/>
      <c r="F394" s="928"/>
      <c r="G394" s="941"/>
      <c r="H394" s="944"/>
      <c r="I394" s="272">
        <f>SUM(J394:Q394)</f>
        <v>1700</v>
      </c>
      <c r="J394" s="942"/>
      <c r="K394" s="942"/>
      <c r="L394" s="904">
        <f>SUM(L392:L393)</f>
        <v>100</v>
      </c>
      <c r="M394" s="905"/>
      <c r="N394" s="906">
        <f>SUM(N392:N393)</f>
        <v>1600</v>
      </c>
      <c r="P394" s="967"/>
    </row>
    <row r="395" spans="1:16" s="966" customFormat="1" ht="18" customHeight="1" x14ac:dyDescent="0.3">
      <c r="A395" s="839">
        <v>387</v>
      </c>
      <c r="B395" s="940"/>
      <c r="C395" s="915"/>
      <c r="D395" s="919" t="s">
        <v>603</v>
      </c>
      <c r="E395" s="887"/>
      <c r="F395" s="928"/>
      <c r="G395" s="941"/>
      <c r="H395" s="944"/>
      <c r="I395" s="923"/>
      <c r="J395" s="942"/>
      <c r="K395" s="942"/>
      <c r="L395" s="942"/>
      <c r="M395" s="942"/>
      <c r="N395" s="929"/>
      <c r="P395" s="967"/>
    </row>
    <row r="396" spans="1:16" s="966" customFormat="1" ht="18" customHeight="1" x14ac:dyDescent="0.3">
      <c r="A396" s="839">
        <v>388</v>
      </c>
      <c r="B396" s="940"/>
      <c r="C396" s="915"/>
      <c r="D396" s="938" t="s">
        <v>230</v>
      </c>
      <c r="E396" s="887"/>
      <c r="F396" s="928"/>
      <c r="G396" s="941"/>
      <c r="H396" s="944"/>
      <c r="I396" s="923">
        <f>SUM(J396:N396)</f>
        <v>7000</v>
      </c>
      <c r="J396" s="942"/>
      <c r="K396" s="942"/>
      <c r="L396" s="942"/>
      <c r="M396" s="942"/>
      <c r="N396" s="929">
        <v>7000</v>
      </c>
      <c r="P396" s="967"/>
    </row>
    <row r="397" spans="1:16" s="966" customFormat="1" ht="18" customHeight="1" x14ac:dyDescent="0.3">
      <c r="A397" s="839">
        <v>389</v>
      </c>
      <c r="B397" s="940"/>
      <c r="C397" s="915"/>
      <c r="D397" s="925" t="s">
        <v>231</v>
      </c>
      <c r="E397" s="887"/>
      <c r="F397" s="928"/>
      <c r="G397" s="941"/>
      <c r="H397" s="944"/>
      <c r="I397" s="920">
        <f>SUM(J397:N397)</f>
        <v>7000</v>
      </c>
      <c r="J397" s="904">
        <v>1000</v>
      </c>
      <c r="K397" s="904">
        <v>330</v>
      </c>
      <c r="L397" s="904">
        <v>5670</v>
      </c>
      <c r="M397" s="905"/>
      <c r="N397" s="906">
        <v>0</v>
      </c>
      <c r="P397" s="967"/>
    </row>
    <row r="398" spans="1:16" s="966" customFormat="1" ht="18" customHeight="1" x14ac:dyDescent="0.3">
      <c r="A398" s="839">
        <v>390</v>
      </c>
      <c r="B398" s="940"/>
      <c r="C398" s="915"/>
      <c r="D398" s="925" t="s">
        <v>232</v>
      </c>
      <c r="E398" s="887"/>
      <c r="F398" s="928"/>
      <c r="G398" s="941"/>
      <c r="H398" s="944"/>
      <c r="I398" s="272">
        <f>SUM(J398:Q398)</f>
        <v>0</v>
      </c>
      <c r="J398" s="904"/>
      <c r="K398" s="904"/>
      <c r="L398" s="904"/>
      <c r="M398" s="904"/>
      <c r="N398" s="906"/>
      <c r="P398" s="967"/>
    </row>
    <row r="399" spans="1:16" s="966" customFormat="1" ht="18" customHeight="1" x14ac:dyDescent="0.3">
      <c r="A399" s="839">
        <v>391</v>
      </c>
      <c r="B399" s="940"/>
      <c r="C399" s="915"/>
      <c r="D399" s="925" t="s">
        <v>233</v>
      </c>
      <c r="E399" s="887"/>
      <c r="F399" s="928"/>
      <c r="G399" s="941"/>
      <c r="H399" s="944"/>
      <c r="I399" s="272">
        <f>SUM(J399:Q399)</f>
        <v>7000</v>
      </c>
      <c r="J399" s="904">
        <f>SUM(J397:J398)</f>
        <v>1000</v>
      </c>
      <c r="K399" s="904">
        <f>SUM(K397:K398)</f>
        <v>330</v>
      </c>
      <c r="L399" s="904">
        <f>SUM(L397:L398)</f>
        <v>5670</v>
      </c>
      <c r="M399" s="942"/>
      <c r="N399" s="906">
        <f>SUM(N397:N398)</f>
        <v>0</v>
      </c>
      <c r="P399" s="967"/>
    </row>
    <row r="400" spans="1:16" s="966" customFormat="1" ht="18" customHeight="1" x14ac:dyDescent="0.3">
      <c r="A400" s="839">
        <v>392</v>
      </c>
      <c r="B400" s="940"/>
      <c r="C400" s="915"/>
      <c r="D400" s="919" t="s">
        <v>604</v>
      </c>
      <c r="E400" s="887"/>
      <c r="F400" s="928"/>
      <c r="G400" s="941"/>
      <c r="H400" s="944"/>
      <c r="I400" s="923"/>
      <c r="J400" s="942"/>
      <c r="K400" s="942"/>
      <c r="L400" s="942"/>
      <c r="M400" s="942"/>
      <c r="N400" s="929"/>
      <c r="P400" s="967"/>
    </row>
    <row r="401" spans="1:16" s="966" customFormat="1" ht="18" customHeight="1" x14ac:dyDescent="0.3">
      <c r="A401" s="839">
        <v>393</v>
      </c>
      <c r="B401" s="940"/>
      <c r="C401" s="915"/>
      <c r="D401" s="938" t="s">
        <v>230</v>
      </c>
      <c r="E401" s="887"/>
      <c r="F401" s="928"/>
      <c r="G401" s="941"/>
      <c r="H401" s="944"/>
      <c r="I401" s="923">
        <f>SUM(J401:N401)</f>
        <v>5000</v>
      </c>
      <c r="J401" s="942"/>
      <c r="K401" s="942"/>
      <c r="L401" s="942"/>
      <c r="M401" s="942"/>
      <c r="N401" s="929">
        <v>5000</v>
      </c>
      <c r="P401" s="967"/>
    </row>
    <row r="402" spans="1:16" s="966" customFormat="1" ht="18" customHeight="1" x14ac:dyDescent="0.3">
      <c r="A402" s="839">
        <v>394</v>
      </c>
      <c r="B402" s="940"/>
      <c r="C402" s="915"/>
      <c r="D402" s="925" t="s">
        <v>231</v>
      </c>
      <c r="E402" s="887"/>
      <c r="F402" s="928"/>
      <c r="G402" s="941"/>
      <c r="H402" s="944"/>
      <c r="I402" s="920">
        <f>SUM(J402:N402)</f>
        <v>5000</v>
      </c>
      <c r="J402" s="904">
        <v>500</v>
      </c>
      <c r="K402" s="904">
        <v>165</v>
      </c>
      <c r="L402" s="904">
        <v>4335</v>
      </c>
      <c r="M402" s="905"/>
      <c r="N402" s="906">
        <v>0</v>
      </c>
      <c r="P402" s="967"/>
    </row>
    <row r="403" spans="1:16" s="966" customFormat="1" ht="18" customHeight="1" x14ac:dyDescent="0.3">
      <c r="A403" s="839">
        <v>395</v>
      </c>
      <c r="B403" s="940"/>
      <c r="C403" s="915"/>
      <c r="D403" s="925" t="s">
        <v>232</v>
      </c>
      <c r="E403" s="887"/>
      <c r="F403" s="928"/>
      <c r="G403" s="941"/>
      <c r="H403" s="944"/>
      <c r="I403" s="272">
        <f>SUM(J403:Q403)</f>
        <v>0</v>
      </c>
      <c r="J403" s="904"/>
      <c r="K403" s="904"/>
      <c r="L403" s="904"/>
      <c r="M403" s="904"/>
      <c r="N403" s="906"/>
      <c r="P403" s="967"/>
    </row>
    <row r="404" spans="1:16" s="966" customFormat="1" ht="18" customHeight="1" x14ac:dyDescent="0.3">
      <c r="A404" s="839">
        <v>396</v>
      </c>
      <c r="B404" s="940"/>
      <c r="C404" s="915"/>
      <c r="D404" s="925" t="s">
        <v>233</v>
      </c>
      <c r="E404" s="887"/>
      <c r="F404" s="928"/>
      <c r="G404" s="941"/>
      <c r="H404" s="944"/>
      <c r="I404" s="920">
        <f>SUM(J404:N404)</f>
        <v>5000</v>
      </c>
      <c r="J404" s="904">
        <f>SUM(J402:J403)</f>
        <v>500</v>
      </c>
      <c r="K404" s="904">
        <f>SUM(K402:K403)</f>
        <v>165</v>
      </c>
      <c r="L404" s="904">
        <f>SUM(L402:L403)</f>
        <v>4335</v>
      </c>
      <c r="M404" s="942"/>
      <c r="N404" s="906">
        <f>SUM(N402:N403)</f>
        <v>0</v>
      </c>
      <c r="P404" s="967"/>
    </row>
    <row r="405" spans="1:16" s="966" customFormat="1" ht="38.25" customHeight="1" x14ac:dyDescent="0.3">
      <c r="A405" s="839">
        <v>397</v>
      </c>
      <c r="B405" s="940"/>
      <c r="C405" s="915"/>
      <c r="D405" s="925" t="s">
        <v>605</v>
      </c>
      <c r="E405" s="887"/>
      <c r="F405" s="928"/>
      <c r="G405" s="941"/>
      <c r="H405" s="944"/>
      <c r="I405" s="272"/>
      <c r="J405" s="942"/>
      <c r="K405" s="942"/>
      <c r="L405" s="942"/>
      <c r="M405" s="942"/>
      <c r="N405" s="906"/>
      <c r="P405" s="967"/>
    </row>
    <row r="406" spans="1:16" s="966" customFormat="1" ht="18" customHeight="1" x14ac:dyDescent="0.3">
      <c r="A406" s="839">
        <v>398</v>
      </c>
      <c r="B406" s="940"/>
      <c r="C406" s="915"/>
      <c r="D406" s="925" t="s">
        <v>231</v>
      </c>
      <c r="E406" s="887"/>
      <c r="F406" s="928"/>
      <c r="G406" s="941"/>
      <c r="H406" s="944"/>
      <c r="I406" s="920">
        <f>SUM(J406:N406)</f>
        <v>30000</v>
      </c>
      <c r="J406" s="942"/>
      <c r="K406" s="942"/>
      <c r="L406" s="942"/>
      <c r="M406" s="942"/>
      <c r="N406" s="906">
        <v>30000</v>
      </c>
      <c r="P406" s="967"/>
    </row>
    <row r="407" spans="1:16" s="966" customFormat="1" ht="18" customHeight="1" x14ac:dyDescent="0.3">
      <c r="A407" s="839">
        <v>399</v>
      </c>
      <c r="B407" s="940"/>
      <c r="C407" s="915"/>
      <c r="D407" s="925" t="s">
        <v>232</v>
      </c>
      <c r="E407" s="887"/>
      <c r="F407" s="928"/>
      <c r="G407" s="941"/>
      <c r="H407" s="944"/>
      <c r="I407" s="272">
        <f>SUM(J407:Q407)</f>
        <v>0</v>
      </c>
      <c r="J407" s="942"/>
      <c r="K407" s="942"/>
      <c r="L407" s="942"/>
      <c r="M407" s="942"/>
      <c r="N407" s="906"/>
      <c r="P407" s="967"/>
    </row>
    <row r="408" spans="1:16" s="966" customFormat="1" ht="18" customHeight="1" x14ac:dyDescent="0.3">
      <c r="A408" s="839">
        <v>400</v>
      </c>
      <c r="B408" s="940"/>
      <c r="C408" s="915"/>
      <c r="D408" s="925" t="s">
        <v>233</v>
      </c>
      <c r="E408" s="887"/>
      <c r="F408" s="928"/>
      <c r="G408" s="941"/>
      <c r="H408" s="944"/>
      <c r="I408" s="272">
        <f>SUM(J408:Q408)</f>
        <v>30000</v>
      </c>
      <c r="J408" s="942"/>
      <c r="K408" s="942"/>
      <c r="L408" s="942"/>
      <c r="M408" s="942"/>
      <c r="N408" s="906">
        <f>SUM(N406:N407)</f>
        <v>30000</v>
      </c>
      <c r="P408" s="967"/>
    </row>
    <row r="409" spans="1:16" s="966" customFormat="1" ht="18" customHeight="1" x14ac:dyDescent="0.3">
      <c r="A409" s="839">
        <v>401</v>
      </c>
      <c r="B409" s="940"/>
      <c r="C409" s="915"/>
      <c r="D409" s="919" t="s">
        <v>606</v>
      </c>
      <c r="E409" s="887"/>
      <c r="F409" s="928"/>
      <c r="G409" s="941"/>
      <c r="H409" s="944"/>
      <c r="I409" s="272"/>
      <c r="J409" s="942"/>
      <c r="K409" s="942"/>
      <c r="L409" s="942"/>
      <c r="M409" s="942"/>
      <c r="N409" s="906"/>
      <c r="P409" s="967"/>
    </row>
    <row r="410" spans="1:16" s="966" customFormat="1" ht="18" customHeight="1" x14ac:dyDescent="0.3">
      <c r="A410" s="839">
        <v>402</v>
      </c>
      <c r="B410" s="940"/>
      <c r="C410" s="915"/>
      <c r="D410" s="925" t="s">
        <v>231</v>
      </c>
      <c r="E410" s="887"/>
      <c r="F410" s="928"/>
      <c r="G410" s="941"/>
      <c r="H410" s="944"/>
      <c r="I410" s="920">
        <f>SUM(J410:N410)</f>
        <v>20000</v>
      </c>
      <c r="J410" s="942"/>
      <c r="K410" s="942"/>
      <c r="L410" s="942"/>
      <c r="M410" s="942"/>
      <c r="N410" s="906">
        <v>20000</v>
      </c>
      <c r="P410" s="967"/>
    </row>
    <row r="411" spans="1:16" s="966" customFormat="1" ht="18" customHeight="1" x14ac:dyDescent="0.3">
      <c r="A411" s="839">
        <v>403</v>
      </c>
      <c r="B411" s="940"/>
      <c r="C411" s="915"/>
      <c r="D411" s="925" t="s">
        <v>232</v>
      </c>
      <c r="E411" s="887"/>
      <c r="F411" s="928"/>
      <c r="G411" s="941"/>
      <c r="H411" s="944"/>
      <c r="I411" s="272">
        <f>SUM(J411:Q411)</f>
        <v>0</v>
      </c>
      <c r="J411" s="942"/>
      <c r="K411" s="942"/>
      <c r="L411" s="942"/>
      <c r="M411" s="942"/>
      <c r="N411" s="906"/>
      <c r="P411" s="967"/>
    </row>
    <row r="412" spans="1:16" s="966" customFormat="1" ht="18" customHeight="1" x14ac:dyDescent="0.3">
      <c r="A412" s="839">
        <v>404</v>
      </c>
      <c r="B412" s="940"/>
      <c r="C412" s="915"/>
      <c r="D412" s="925" t="s">
        <v>233</v>
      </c>
      <c r="E412" s="887"/>
      <c r="F412" s="928"/>
      <c r="G412" s="941"/>
      <c r="H412" s="944"/>
      <c r="I412" s="272">
        <f>SUM(J412:Q412)</f>
        <v>20000</v>
      </c>
      <c r="J412" s="942"/>
      <c r="K412" s="942"/>
      <c r="L412" s="942"/>
      <c r="M412" s="942"/>
      <c r="N412" s="906">
        <f>SUM(N410:N411)</f>
        <v>20000</v>
      </c>
      <c r="P412" s="967"/>
    </row>
    <row r="413" spans="1:16" s="959" customFormat="1" ht="22.5" customHeight="1" x14ac:dyDescent="0.3">
      <c r="A413" s="839">
        <v>405</v>
      </c>
      <c r="B413" s="969"/>
      <c r="C413" s="882">
        <v>46</v>
      </c>
      <c r="D413" s="898" t="s">
        <v>607</v>
      </c>
      <c r="E413" s="884">
        <v>3000</v>
      </c>
      <c r="F413" s="920">
        <v>3000</v>
      </c>
      <c r="G413" s="921">
        <v>33000</v>
      </c>
      <c r="H413" s="886" t="s">
        <v>296</v>
      </c>
      <c r="I413" s="928"/>
      <c r="J413" s="924"/>
      <c r="K413" s="924"/>
      <c r="L413" s="924"/>
      <c r="M413" s="924"/>
      <c r="N413" s="929"/>
      <c r="P413" s="848"/>
    </row>
    <row r="414" spans="1:16" s="943" customFormat="1" ht="18" customHeight="1" x14ac:dyDescent="0.3">
      <c r="A414" s="839">
        <v>406</v>
      </c>
      <c r="B414" s="940"/>
      <c r="C414" s="915"/>
      <c r="D414" s="883" t="s">
        <v>230</v>
      </c>
      <c r="E414" s="887"/>
      <c r="F414" s="928"/>
      <c r="G414" s="941"/>
      <c r="H414" s="944"/>
      <c r="I414" s="887">
        <f>SUM(J414:N414)</f>
        <v>25000</v>
      </c>
      <c r="J414" s="942"/>
      <c r="K414" s="942"/>
      <c r="L414" s="942"/>
      <c r="M414" s="942"/>
      <c r="N414" s="900">
        <f>35000-10000</f>
        <v>25000</v>
      </c>
      <c r="P414" s="918"/>
    </row>
    <row r="415" spans="1:16" s="943" customFormat="1" ht="18" customHeight="1" x14ac:dyDescent="0.3">
      <c r="A415" s="839">
        <v>407</v>
      </c>
      <c r="B415" s="940"/>
      <c r="C415" s="915"/>
      <c r="D415" s="266" t="s">
        <v>231</v>
      </c>
      <c r="E415" s="887"/>
      <c r="F415" s="928"/>
      <c r="G415" s="941"/>
      <c r="H415" s="944"/>
      <c r="I415" s="878">
        <f>SUM(J415:N415)</f>
        <v>33000</v>
      </c>
      <c r="J415" s="905"/>
      <c r="K415" s="905"/>
      <c r="L415" s="905"/>
      <c r="M415" s="905"/>
      <c r="N415" s="903">
        <v>33000</v>
      </c>
      <c r="P415" s="918"/>
    </row>
    <row r="416" spans="1:16" s="943" customFormat="1" ht="18" customHeight="1" x14ac:dyDescent="0.3">
      <c r="A416" s="839">
        <v>408</v>
      </c>
      <c r="B416" s="940"/>
      <c r="C416" s="915"/>
      <c r="D416" s="270" t="s">
        <v>232</v>
      </c>
      <c r="E416" s="887"/>
      <c r="F416" s="928"/>
      <c r="G416" s="941"/>
      <c r="H416" s="944"/>
      <c r="I416" s="272">
        <f>SUM(J416:Q416)</f>
        <v>0</v>
      </c>
      <c r="J416" s="942"/>
      <c r="K416" s="942"/>
      <c r="L416" s="942"/>
      <c r="M416" s="942"/>
      <c r="N416" s="906"/>
      <c r="P416" s="918"/>
    </row>
    <row r="417" spans="1:16" s="943" customFormat="1" ht="18" customHeight="1" x14ac:dyDescent="0.3">
      <c r="A417" s="839">
        <v>409</v>
      </c>
      <c r="B417" s="940"/>
      <c r="C417" s="915"/>
      <c r="D417" s="266" t="s">
        <v>233</v>
      </c>
      <c r="E417" s="887"/>
      <c r="F417" s="928"/>
      <c r="G417" s="941"/>
      <c r="H417" s="944"/>
      <c r="I417" s="268">
        <f>SUM(J417:Q417)</f>
        <v>33000</v>
      </c>
      <c r="J417" s="942"/>
      <c r="K417" s="942"/>
      <c r="L417" s="942"/>
      <c r="M417" s="942"/>
      <c r="N417" s="903">
        <f>SUM(N415:N416)</f>
        <v>33000</v>
      </c>
      <c r="P417" s="918"/>
    </row>
    <row r="418" spans="1:16" s="847" customFormat="1" ht="22.5" customHeight="1" x14ac:dyDescent="0.35">
      <c r="A418" s="839">
        <v>410</v>
      </c>
      <c r="B418" s="963"/>
      <c r="C418" s="882">
        <v>47</v>
      </c>
      <c r="D418" s="898" t="s">
        <v>608</v>
      </c>
      <c r="E418" s="884"/>
      <c r="F418" s="884"/>
      <c r="G418" s="885"/>
      <c r="H418" s="886" t="s">
        <v>106</v>
      </c>
      <c r="I418" s="928"/>
      <c r="J418" s="932"/>
      <c r="K418" s="932"/>
      <c r="L418" s="932"/>
      <c r="M418" s="932"/>
      <c r="N418" s="933"/>
      <c r="O418" s="848"/>
      <c r="P418" s="848"/>
    </row>
    <row r="419" spans="1:16" s="847" customFormat="1" ht="22.5" customHeight="1" x14ac:dyDescent="0.35">
      <c r="A419" s="839">
        <v>411</v>
      </c>
      <c r="B419" s="963"/>
      <c r="C419" s="882">
        <v>48</v>
      </c>
      <c r="D419" s="898" t="s">
        <v>609</v>
      </c>
      <c r="E419" s="884"/>
      <c r="F419" s="884">
        <v>100</v>
      </c>
      <c r="G419" s="885"/>
      <c r="H419" s="886" t="s">
        <v>106</v>
      </c>
      <c r="I419" s="887"/>
      <c r="J419" s="888"/>
      <c r="K419" s="888"/>
      <c r="L419" s="888"/>
      <c r="M419" s="888"/>
      <c r="N419" s="890"/>
      <c r="P419" s="848"/>
    </row>
    <row r="420" spans="1:16" s="918" customFormat="1" ht="18" customHeight="1" x14ac:dyDescent="0.3">
      <c r="A420" s="839">
        <v>412</v>
      </c>
      <c r="B420" s="914"/>
      <c r="C420" s="915"/>
      <c r="D420" s="883" t="s">
        <v>230</v>
      </c>
      <c r="E420" s="887"/>
      <c r="F420" s="887"/>
      <c r="G420" s="916"/>
      <c r="H420" s="917"/>
      <c r="I420" s="887">
        <f>SUM(J420:N420)</f>
        <v>100</v>
      </c>
      <c r="J420" s="889"/>
      <c r="K420" s="889"/>
      <c r="L420" s="889"/>
      <c r="M420" s="889">
        <v>100</v>
      </c>
      <c r="N420" s="900"/>
    </row>
    <row r="421" spans="1:16" s="918" customFormat="1" ht="18" customHeight="1" x14ac:dyDescent="0.3">
      <c r="A421" s="839">
        <v>413</v>
      </c>
      <c r="B421" s="914"/>
      <c r="C421" s="915"/>
      <c r="D421" s="266" t="s">
        <v>231</v>
      </c>
      <c r="E421" s="887"/>
      <c r="F421" s="887"/>
      <c r="G421" s="916"/>
      <c r="H421" s="970"/>
      <c r="I421" s="878">
        <f>SUM(J421:N421)</f>
        <v>300</v>
      </c>
      <c r="J421" s="902"/>
      <c r="K421" s="902"/>
      <c r="L421" s="902"/>
      <c r="M421" s="902">
        <v>300</v>
      </c>
      <c r="N421" s="900"/>
    </row>
    <row r="422" spans="1:16" s="918" customFormat="1" ht="18" customHeight="1" x14ac:dyDescent="0.3">
      <c r="A422" s="839">
        <v>414</v>
      </c>
      <c r="B422" s="914"/>
      <c r="C422" s="915"/>
      <c r="D422" s="270" t="s">
        <v>232</v>
      </c>
      <c r="E422" s="887"/>
      <c r="F422" s="887"/>
      <c r="G422" s="916"/>
      <c r="H422" s="970"/>
      <c r="I422" s="272">
        <f>SUM(J422:Q422)</f>
        <v>0</v>
      </c>
      <c r="J422" s="889"/>
      <c r="K422" s="889"/>
      <c r="L422" s="889"/>
      <c r="M422" s="904"/>
      <c r="N422" s="900"/>
    </row>
    <row r="423" spans="1:16" s="918" customFormat="1" ht="18" customHeight="1" x14ac:dyDescent="0.3">
      <c r="A423" s="839">
        <v>415</v>
      </c>
      <c r="B423" s="914"/>
      <c r="C423" s="915"/>
      <c r="D423" s="266" t="s">
        <v>233</v>
      </c>
      <c r="E423" s="887"/>
      <c r="F423" s="887"/>
      <c r="G423" s="916"/>
      <c r="H423" s="970"/>
      <c r="I423" s="268">
        <f>SUM(J423:Q423)</f>
        <v>300</v>
      </c>
      <c r="J423" s="889"/>
      <c r="K423" s="889"/>
      <c r="L423" s="889"/>
      <c r="M423" s="902">
        <f>SUM(M421:M422)</f>
        <v>300</v>
      </c>
      <c r="N423" s="900"/>
    </row>
    <row r="424" spans="1:16" s="848" customFormat="1" ht="22.5" customHeight="1" x14ac:dyDescent="0.3">
      <c r="A424" s="839">
        <v>416</v>
      </c>
      <c r="B424" s="971"/>
      <c r="C424" s="882">
        <v>49</v>
      </c>
      <c r="D424" s="874" t="s">
        <v>610</v>
      </c>
      <c r="E424" s="884"/>
      <c r="F424" s="884">
        <v>85</v>
      </c>
      <c r="G424" s="885"/>
      <c r="H424" s="877" t="s">
        <v>106</v>
      </c>
      <c r="I424" s="887"/>
      <c r="J424" s="888"/>
      <c r="K424" s="888"/>
      <c r="L424" s="888"/>
      <c r="M424" s="888"/>
      <c r="N424" s="890"/>
    </row>
    <row r="425" spans="1:16" s="918" customFormat="1" ht="18" customHeight="1" x14ac:dyDescent="0.3">
      <c r="A425" s="839">
        <v>417</v>
      </c>
      <c r="B425" s="914"/>
      <c r="C425" s="915"/>
      <c r="D425" s="883" t="s">
        <v>230</v>
      </c>
      <c r="E425" s="887"/>
      <c r="F425" s="887"/>
      <c r="G425" s="916"/>
      <c r="H425" s="970"/>
      <c r="I425" s="887">
        <f>SUM(J425:N425)</f>
        <v>85</v>
      </c>
      <c r="J425" s="889"/>
      <c r="K425" s="889"/>
      <c r="L425" s="889"/>
      <c r="M425" s="889">
        <v>85</v>
      </c>
      <c r="N425" s="900"/>
    </row>
    <row r="426" spans="1:16" s="918" customFormat="1" ht="18" customHeight="1" x14ac:dyDescent="0.3">
      <c r="A426" s="839">
        <v>418</v>
      </c>
      <c r="B426" s="914"/>
      <c r="C426" s="915"/>
      <c r="D426" s="266" t="s">
        <v>231</v>
      </c>
      <c r="E426" s="887"/>
      <c r="F426" s="887"/>
      <c r="G426" s="916"/>
      <c r="H426" s="970"/>
      <c r="I426" s="878">
        <f>SUM(J426:N426)</f>
        <v>249</v>
      </c>
      <c r="J426" s="902"/>
      <c r="K426" s="902"/>
      <c r="L426" s="902"/>
      <c r="M426" s="902">
        <v>249</v>
      </c>
      <c r="N426" s="900"/>
    </row>
    <row r="427" spans="1:16" s="918" customFormat="1" ht="18" customHeight="1" x14ac:dyDescent="0.3">
      <c r="A427" s="839">
        <v>419</v>
      </c>
      <c r="B427" s="914"/>
      <c r="C427" s="915"/>
      <c r="D427" s="270" t="s">
        <v>232</v>
      </c>
      <c r="E427" s="887"/>
      <c r="F427" s="887"/>
      <c r="G427" s="916"/>
      <c r="H427" s="970"/>
      <c r="I427" s="272">
        <f>SUM(J427:Q427)</f>
        <v>0</v>
      </c>
      <c r="J427" s="889"/>
      <c r="K427" s="889"/>
      <c r="L427" s="889"/>
      <c r="M427" s="904"/>
      <c r="N427" s="900"/>
    </row>
    <row r="428" spans="1:16" s="918" customFormat="1" ht="18" customHeight="1" x14ac:dyDescent="0.3">
      <c r="A428" s="839">
        <v>420</v>
      </c>
      <c r="B428" s="914"/>
      <c r="C428" s="915"/>
      <c r="D428" s="266" t="s">
        <v>233</v>
      </c>
      <c r="E428" s="887"/>
      <c r="F428" s="887"/>
      <c r="G428" s="916"/>
      <c r="H428" s="970"/>
      <c r="I428" s="268">
        <f>SUM(J428:Q428)</f>
        <v>249</v>
      </c>
      <c r="J428" s="889"/>
      <c r="K428" s="889"/>
      <c r="L428" s="889"/>
      <c r="M428" s="889">
        <f>SUM(M426:M427)</f>
        <v>249</v>
      </c>
      <c r="N428" s="900"/>
    </row>
    <row r="429" spans="1:16" s="847" customFormat="1" ht="22.5" customHeight="1" x14ac:dyDescent="0.35">
      <c r="A429" s="839">
        <v>421</v>
      </c>
      <c r="B429" s="963"/>
      <c r="C429" s="882">
        <v>50</v>
      </c>
      <c r="D429" s="898" t="s">
        <v>611</v>
      </c>
      <c r="E429" s="884">
        <f>SUM(E434,E445,E450,E455,E460,E465,E470,E475)+E440+E439</f>
        <v>10915</v>
      </c>
      <c r="F429" s="884">
        <f>SUM(F434,F445,F450,F455,F460,F465,F470,F475)+F440+F439</f>
        <v>30710</v>
      </c>
      <c r="G429" s="884">
        <f>SUM(G434,G445,G450,G455,G460,G465,G470,G475)+G440+G439</f>
        <v>10213</v>
      </c>
      <c r="H429" s="886"/>
      <c r="I429" s="907"/>
      <c r="J429" s="908"/>
      <c r="K429" s="908"/>
      <c r="L429" s="908"/>
      <c r="M429" s="908"/>
      <c r="N429" s="909"/>
      <c r="O429" s="848"/>
      <c r="P429" s="848"/>
    </row>
    <row r="430" spans="1:16" s="918" customFormat="1" ht="18" customHeight="1" x14ac:dyDescent="0.3">
      <c r="A430" s="839">
        <v>422</v>
      </c>
      <c r="B430" s="914"/>
      <c r="C430" s="915"/>
      <c r="D430" s="883" t="s">
        <v>230</v>
      </c>
      <c r="E430" s="887"/>
      <c r="F430" s="887"/>
      <c r="G430" s="916"/>
      <c r="H430" s="917"/>
      <c r="I430" s="887">
        <f>SUM(J430:N430)</f>
        <v>49510</v>
      </c>
      <c r="J430" s="889">
        <f t="shared" ref="J430:N431" si="5">SUM(J435,J446,J451,J456,J461,J466,J471,J476)+J441+J481</f>
        <v>0</v>
      </c>
      <c r="K430" s="889">
        <f t="shared" si="5"/>
        <v>0</v>
      </c>
      <c r="L430" s="889">
        <f t="shared" si="5"/>
        <v>0</v>
      </c>
      <c r="M430" s="889">
        <f t="shared" si="5"/>
        <v>49510</v>
      </c>
      <c r="N430" s="900">
        <f t="shared" si="5"/>
        <v>0</v>
      </c>
    </row>
    <row r="431" spans="1:16" s="918" customFormat="1" ht="18" customHeight="1" x14ac:dyDescent="0.3">
      <c r="A431" s="839">
        <v>423</v>
      </c>
      <c r="B431" s="914"/>
      <c r="C431" s="915"/>
      <c r="D431" s="266" t="s">
        <v>231</v>
      </c>
      <c r="E431" s="887"/>
      <c r="F431" s="887"/>
      <c r="G431" s="916"/>
      <c r="H431" s="917"/>
      <c r="I431" s="878">
        <f>SUM(J431:N431)</f>
        <v>41385</v>
      </c>
      <c r="J431" s="902">
        <f t="shared" si="5"/>
        <v>0</v>
      </c>
      <c r="K431" s="902">
        <f t="shared" si="5"/>
        <v>0</v>
      </c>
      <c r="L431" s="902">
        <f t="shared" si="5"/>
        <v>0</v>
      </c>
      <c r="M431" s="902">
        <f t="shared" si="5"/>
        <v>41385</v>
      </c>
      <c r="N431" s="903">
        <f t="shared" si="5"/>
        <v>0</v>
      </c>
    </row>
    <row r="432" spans="1:16" s="918" customFormat="1" ht="18" customHeight="1" x14ac:dyDescent="0.3">
      <c r="A432" s="839">
        <v>424</v>
      </c>
      <c r="B432" s="914"/>
      <c r="C432" s="915"/>
      <c r="D432" s="270" t="s">
        <v>245</v>
      </c>
      <c r="E432" s="887"/>
      <c r="F432" s="887"/>
      <c r="G432" s="916"/>
      <c r="H432" s="917"/>
      <c r="I432" s="272">
        <f>SUM(J432:Q432)</f>
        <v>0</v>
      </c>
      <c r="J432" s="904">
        <f>J437+J443+J448+J453+J458+J463+J468+J473+J478+J483</f>
        <v>0</v>
      </c>
      <c r="K432" s="904">
        <f>K437+K443+K448+K453+K458+K463+K468+K473+K478+K483</f>
        <v>0</v>
      </c>
      <c r="L432" s="904">
        <f>L437+L443+L448+L453+L458+L463+L468+L473+L478+L483</f>
        <v>0</v>
      </c>
      <c r="M432" s="904">
        <f>M437+M443+M448+M453+M458+M463+M468+M473+M478+M483</f>
        <v>0</v>
      </c>
      <c r="N432" s="906">
        <f>N437+N443+N448+N453+N458+N463+N468+N473+N478+N483</f>
        <v>0</v>
      </c>
    </row>
    <row r="433" spans="1:16" s="918" customFormat="1" ht="18" customHeight="1" x14ac:dyDescent="0.3">
      <c r="A433" s="839">
        <v>425</v>
      </c>
      <c r="B433" s="914"/>
      <c r="C433" s="915"/>
      <c r="D433" s="266" t="s">
        <v>233</v>
      </c>
      <c r="E433" s="887"/>
      <c r="F433" s="887"/>
      <c r="G433" s="916"/>
      <c r="H433" s="917"/>
      <c r="I433" s="268">
        <f>SUM(J433:Q433)</f>
        <v>41385</v>
      </c>
      <c r="J433" s="902">
        <f>SUM(J431:J432)</f>
        <v>0</v>
      </c>
      <c r="K433" s="902">
        <f>SUM(K431:K432)</f>
        <v>0</v>
      </c>
      <c r="L433" s="902">
        <f>SUM(L431:L432)</f>
        <v>0</v>
      </c>
      <c r="M433" s="902">
        <f>SUM(M431:M432)</f>
        <v>41385</v>
      </c>
      <c r="N433" s="903">
        <f>SUM(N431:N432)</f>
        <v>0</v>
      </c>
    </row>
    <row r="434" spans="1:16" s="964" customFormat="1" ht="18" customHeight="1" x14ac:dyDescent="0.3">
      <c r="A434" s="839">
        <v>426</v>
      </c>
      <c r="B434" s="926"/>
      <c r="C434" s="882"/>
      <c r="D434" s="919" t="s">
        <v>612</v>
      </c>
      <c r="E434" s="920">
        <v>2193</v>
      </c>
      <c r="F434" s="920">
        <v>2500</v>
      </c>
      <c r="G434" s="921">
        <v>2811</v>
      </c>
      <c r="H434" s="927" t="s">
        <v>106</v>
      </c>
      <c r="I434" s="928"/>
      <c r="J434" s="924"/>
      <c r="K434" s="924"/>
      <c r="L434" s="924"/>
      <c r="M434" s="924"/>
      <c r="N434" s="929"/>
      <c r="P434" s="965"/>
    </row>
    <row r="435" spans="1:16" s="966" customFormat="1" ht="18" customHeight="1" x14ac:dyDescent="0.3">
      <c r="A435" s="839">
        <v>427</v>
      </c>
      <c r="B435" s="940"/>
      <c r="C435" s="915"/>
      <c r="D435" s="938" t="s">
        <v>230</v>
      </c>
      <c r="E435" s="928"/>
      <c r="F435" s="928"/>
      <c r="G435" s="941"/>
      <c r="H435" s="944"/>
      <c r="I435" s="923">
        <f>SUM(J435:N435)</f>
        <v>3000</v>
      </c>
      <c r="J435" s="942"/>
      <c r="K435" s="942"/>
      <c r="L435" s="942"/>
      <c r="M435" s="924">
        <v>3000</v>
      </c>
      <c r="N435" s="972"/>
      <c r="P435" s="967"/>
    </row>
    <row r="436" spans="1:16" s="966" customFormat="1" ht="18" customHeight="1" x14ac:dyDescent="0.3">
      <c r="A436" s="839">
        <v>428</v>
      </c>
      <c r="B436" s="940"/>
      <c r="C436" s="915"/>
      <c r="D436" s="925" t="s">
        <v>231</v>
      </c>
      <c r="E436" s="928"/>
      <c r="F436" s="928"/>
      <c r="G436" s="941"/>
      <c r="H436" s="944"/>
      <c r="I436" s="920">
        <f>SUM(J436:N436)</f>
        <v>10658</v>
      </c>
      <c r="J436" s="905"/>
      <c r="K436" s="905"/>
      <c r="L436" s="905"/>
      <c r="M436" s="904">
        <v>10658</v>
      </c>
      <c r="N436" s="972"/>
      <c r="P436" s="967"/>
    </row>
    <row r="437" spans="1:16" s="966" customFormat="1" ht="18" customHeight="1" x14ac:dyDescent="0.3">
      <c r="A437" s="839">
        <v>429</v>
      </c>
      <c r="B437" s="940"/>
      <c r="C437" s="915"/>
      <c r="D437" s="925" t="s">
        <v>232</v>
      </c>
      <c r="E437" s="928"/>
      <c r="F437" s="928"/>
      <c r="G437" s="941"/>
      <c r="H437" s="944"/>
      <c r="I437" s="272">
        <f>SUM(J437:Q437)</f>
        <v>0</v>
      </c>
      <c r="J437" s="942"/>
      <c r="K437" s="942"/>
      <c r="L437" s="942"/>
      <c r="M437" s="904"/>
      <c r="N437" s="972"/>
      <c r="P437" s="967"/>
    </row>
    <row r="438" spans="1:16" s="966" customFormat="1" ht="18" customHeight="1" x14ac:dyDescent="0.3">
      <c r="A438" s="839">
        <v>430</v>
      </c>
      <c r="B438" s="940"/>
      <c r="C438" s="915"/>
      <c r="D438" s="925" t="s">
        <v>233</v>
      </c>
      <c r="E438" s="928"/>
      <c r="F438" s="928"/>
      <c r="G438" s="941"/>
      <c r="H438" s="944"/>
      <c r="I438" s="272">
        <f>SUM(J438:Q438)</f>
        <v>10658</v>
      </c>
      <c r="J438" s="942"/>
      <c r="K438" s="942"/>
      <c r="L438" s="942"/>
      <c r="M438" s="904">
        <f>SUM(M436:M437)</f>
        <v>10658</v>
      </c>
      <c r="N438" s="972"/>
      <c r="P438" s="967"/>
    </row>
    <row r="439" spans="1:16" s="966" customFormat="1" ht="18" customHeight="1" x14ac:dyDescent="0.3">
      <c r="A439" s="839">
        <v>431</v>
      </c>
      <c r="B439" s="940"/>
      <c r="C439" s="915"/>
      <c r="D439" s="953" t="s">
        <v>613</v>
      </c>
      <c r="E439" s="920">
        <v>990</v>
      </c>
      <c r="F439" s="920">
        <v>13500</v>
      </c>
      <c r="G439" s="921"/>
      <c r="H439" s="927" t="s">
        <v>296</v>
      </c>
      <c r="I439" s="923"/>
      <c r="J439" s="942"/>
      <c r="K439" s="942"/>
      <c r="L439" s="942"/>
      <c r="M439" s="924"/>
      <c r="N439" s="972"/>
      <c r="P439" s="967"/>
    </row>
    <row r="440" spans="1:16" s="964" customFormat="1" ht="18" customHeight="1" x14ac:dyDescent="0.3">
      <c r="A440" s="839">
        <v>432</v>
      </c>
      <c r="B440" s="926"/>
      <c r="C440" s="882"/>
      <c r="D440" s="953" t="s">
        <v>614</v>
      </c>
      <c r="E440" s="920">
        <v>1066</v>
      </c>
      <c r="F440" s="920">
        <v>1500</v>
      </c>
      <c r="G440" s="921">
        <v>730</v>
      </c>
      <c r="H440" s="927" t="s">
        <v>296</v>
      </c>
      <c r="I440" s="923"/>
      <c r="J440" s="924"/>
      <c r="K440" s="924"/>
      <c r="L440" s="924"/>
      <c r="M440" s="924"/>
      <c r="N440" s="929"/>
      <c r="P440" s="965"/>
    </row>
    <row r="441" spans="1:16" s="966" customFormat="1" ht="18" customHeight="1" x14ac:dyDescent="0.3">
      <c r="A441" s="839">
        <v>433</v>
      </c>
      <c r="B441" s="940"/>
      <c r="C441" s="915"/>
      <c r="D441" s="938" t="s">
        <v>230</v>
      </c>
      <c r="E441" s="928"/>
      <c r="F441" s="928"/>
      <c r="G441" s="941"/>
      <c r="H441" s="944"/>
      <c r="I441" s="923">
        <f>SUM(J441:N441)</f>
        <v>3000</v>
      </c>
      <c r="J441" s="942"/>
      <c r="K441" s="942"/>
      <c r="L441" s="942"/>
      <c r="M441" s="924">
        <v>3000</v>
      </c>
      <c r="N441" s="972"/>
      <c r="P441" s="967"/>
    </row>
    <row r="442" spans="1:16" s="966" customFormat="1" ht="18" customHeight="1" x14ac:dyDescent="0.3">
      <c r="A442" s="839">
        <v>434</v>
      </c>
      <c r="B442" s="940"/>
      <c r="C442" s="915"/>
      <c r="D442" s="925" t="s">
        <v>231</v>
      </c>
      <c r="E442" s="928"/>
      <c r="F442" s="928"/>
      <c r="G442" s="941"/>
      <c r="H442" s="944"/>
      <c r="I442" s="920">
        <f>SUM(J442:N442)</f>
        <v>3833</v>
      </c>
      <c r="J442" s="905"/>
      <c r="K442" s="905"/>
      <c r="L442" s="905"/>
      <c r="M442" s="904">
        <v>3833</v>
      </c>
      <c r="N442" s="972"/>
      <c r="P442" s="967"/>
    </row>
    <row r="443" spans="1:16" s="966" customFormat="1" ht="18" customHeight="1" x14ac:dyDescent="0.3">
      <c r="A443" s="839">
        <v>435</v>
      </c>
      <c r="B443" s="940"/>
      <c r="C443" s="915"/>
      <c r="D443" s="925" t="s">
        <v>232</v>
      </c>
      <c r="E443" s="928"/>
      <c r="F443" s="928"/>
      <c r="G443" s="941"/>
      <c r="H443" s="944"/>
      <c r="I443" s="272">
        <f>SUM(J443:Q443)</f>
        <v>0</v>
      </c>
      <c r="J443" s="942"/>
      <c r="K443" s="942"/>
      <c r="L443" s="942"/>
      <c r="M443" s="904"/>
      <c r="N443" s="972"/>
      <c r="P443" s="967"/>
    </row>
    <row r="444" spans="1:16" s="966" customFormat="1" ht="18" customHeight="1" x14ac:dyDescent="0.3">
      <c r="A444" s="839">
        <v>436</v>
      </c>
      <c r="B444" s="940"/>
      <c r="C444" s="915"/>
      <c r="D444" s="925" t="s">
        <v>233</v>
      </c>
      <c r="E444" s="928"/>
      <c r="F444" s="928"/>
      <c r="G444" s="941"/>
      <c r="H444" s="944"/>
      <c r="I444" s="272">
        <f>SUM(J444:Q444)</f>
        <v>3833</v>
      </c>
      <c r="J444" s="942"/>
      <c r="K444" s="942"/>
      <c r="L444" s="942"/>
      <c r="M444" s="904">
        <f>SUM(M442:M443)</f>
        <v>3833</v>
      </c>
      <c r="N444" s="972"/>
      <c r="P444" s="967"/>
    </row>
    <row r="445" spans="1:16" s="964" customFormat="1" ht="18" customHeight="1" x14ac:dyDescent="0.3">
      <c r="A445" s="839">
        <v>437</v>
      </c>
      <c r="B445" s="926"/>
      <c r="C445" s="882"/>
      <c r="D445" s="953" t="s">
        <v>615</v>
      </c>
      <c r="E445" s="920">
        <v>4650</v>
      </c>
      <c r="F445" s="920">
        <v>8000</v>
      </c>
      <c r="G445" s="921">
        <v>5045</v>
      </c>
      <c r="H445" s="927" t="s">
        <v>296</v>
      </c>
      <c r="I445" s="968"/>
      <c r="J445" s="932"/>
      <c r="K445" s="932"/>
      <c r="L445" s="932"/>
      <c r="M445" s="932"/>
      <c r="N445" s="933"/>
      <c r="P445" s="965"/>
    </row>
    <row r="446" spans="1:16" s="966" customFormat="1" ht="18" customHeight="1" x14ac:dyDescent="0.3">
      <c r="A446" s="839">
        <v>438</v>
      </c>
      <c r="B446" s="940"/>
      <c r="C446" s="915"/>
      <c r="D446" s="938" t="s">
        <v>230</v>
      </c>
      <c r="E446" s="928"/>
      <c r="F446" s="928"/>
      <c r="G446" s="941"/>
      <c r="H446" s="944"/>
      <c r="I446" s="923">
        <f>SUM(J446:N446)</f>
        <v>8000</v>
      </c>
      <c r="J446" s="942"/>
      <c r="K446" s="942"/>
      <c r="L446" s="942"/>
      <c r="M446" s="924">
        <v>8000</v>
      </c>
      <c r="N446" s="972"/>
      <c r="P446" s="967"/>
    </row>
    <row r="447" spans="1:16" s="966" customFormat="1" ht="18" customHeight="1" x14ac:dyDescent="0.3">
      <c r="A447" s="839">
        <v>439</v>
      </c>
      <c r="B447" s="940"/>
      <c r="C447" s="915"/>
      <c r="D447" s="925" t="s">
        <v>231</v>
      </c>
      <c r="E447" s="928"/>
      <c r="F447" s="928"/>
      <c r="G447" s="941"/>
      <c r="H447" s="944"/>
      <c r="I447" s="920">
        <f>SUM(J447:N447)</f>
        <v>12504</v>
      </c>
      <c r="J447" s="905"/>
      <c r="K447" s="905"/>
      <c r="L447" s="905"/>
      <c r="M447" s="904">
        <v>12504</v>
      </c>
      <c r="N447" s="972"/>
      <c r="P447" s="967"/>
    </row>
    <row r="448" spans="1:16" s="966" customFormat="1" ht="18" customHeight="1" x14ac:dyDescent="0.3">
      <c r="A448" s="839">
        <v>440</v>
      </c>
      <c r="B448" s="940"/>
      <c r="C448" s="915"/>
      <c r="D448" s="925" t="s">
        <v>232</v>
      </c>
      <c r="E448" s="928"/>
      <c r="F448" s="928"/>
      <c r="G448" s="941"/>
      <c r="H448" s="944"/>
      <c r="I448" s="272">
        <f>SUM(J448:Q448)</f>
        <v>0</v>
      </c>
      <c r="J448" s="942"/>
      <c r="K448" s="942"/>
      <c r="L448" s="942"/>
      <c r="M448" s="904"/>
      <c r="N448" s="972"/>
      <c r="P448" s="967"/>
    </row>
    <row r="449" spans="1:16" s="966" customFormat="1" ht="18" customHeight="1" x14ac:dyDescent="0.3">
      <c r="A449" s="839">
        <v>441</v>
      </c>
      <c r="B449" s="940"/>
      <c r="C449" s="915"/>
      <c r="D449" s="925" t="s">
        <v>233</v>
      </c>
      <c r="E449" s="928"/>
      <c r="F449" s="928"/>
      <c r="G449" s="941"/>
      <c r="H449" s="944"/>
      <c r="I449" s="272">
        <f>SUM(J449:Q449)</f>
        <v>12504</v>
      </c>
      <c r="J449" s="942"/>
      <c r="K449" s="942"/>
      <c r="L449" s="942"/>
      <c r="M449" s="904">
        <f>SUM(M447:M448)</f>
        <v>12504</v>
      </c>
      <c r="N449" s="972"/>
      <c r="P449" s="967"/>
    </row>
    <row r="450" spans="1:16" s="964" customFormat="1" ht="18" customHeight="1" x14ac:dyDescent="0.3">
      <c r="A450" s="839">
        <v>442</v>
      </c>
      <c r="B450" s="926"/>
      <c r="C450" s="882"/>
      <c r="D450" s="953" t="s">
        <v>616</v>
      </c>
      <c r="E450" s="920"/>
      <c r="F450" s="920">
        <v>100</v>
      </c>
      <c r="G450" s="921"/>
      <c r="H450" s="927" t="s">
        <v>296</v>
      </c>
      <c r="I450" s="968"/>
      <c r="J450" s="932"/>
      <c r="K450" s="932"/>
      <c r="L450" s="932"/>
      <c r="M450" s="932"/>
      <c r="N450" s="933"/>
      <c r="P450" s="965"/>
    </row>
    <row r="451" spans="1:16" s="966" customFormat="1" ht="18" customHeight="1" x14ac:dyDescent="0.3">
      <c r="A451" s="839">
        <v>443</v>
      </c>
      <c r="B451" s="940"/>
      <c r="C451" s="915"/>
      <c r="D451" s="938" t="s">
        <v>230</v>
      </c>
      <c r="E451" s="928"/>
      <c r="F451" s="928"/>
      <c r="G451" s="941"/>
      <c r="H451" s="944"/>
      <c r="I451" s="923">
        <f>SUM(J451:N451)</f>
        <v>100</v>
      </c>
      <c r="J451" s="942"/>
      <c r="K451" s="942"/>
      <c r="L451" s="942"/>
      <c r="M451" s="924">
        <v>100</v>
      </c>
      <c r="N451" s="972"/>
      <c r="P451" s="967"/>
    </row>
    <row r="452" spans="1:16" s="966" customFormat="1" ht="18" customHeight="1" x14ac:dyDescent="0.3">
      <c r="A452" s="839">
        <v>444</v>
      </c>
      <c r="B452" s="940"/>
      <c r="C452" s="915"/>
      <c r="D452" s="925" t="s">
        <v>231</v>
      </c>
      <c r="E452" s="928"/>
      <c r="F452" s="928"/>
      <c r="G452" s="941"/>
      <c r="H452" s="944"/>
      <c r="I452" s="920">
        <f>SUM(J452:N452)</f>
        <v>300</v>
      </c>
      <c r="J452" s="905"/>
      <c r="K452" s="905"/>
      <c r="L452" s="905"/>
      <c r="M452" s="904">
        <v>300</v>
      </c>
      <c r="N452" s="972"/>
      <c r="P452" s="967"/>
    </row>
    <row r="453" spans="1:16" s="966" customFormat="1" ht="18" customHeight="1" x14ac:dyDescent="0.3">
      <c r="A453" s="839">
        <v>445</v>
      </c>
      <c r="B453" s="940"/>
      <c r="C453" s="915"/>
      <c r="D453" s="925" t="s">
        <v>232</v>
      </c>
      <c r="E453" s="928"/>
      <c r="F453" s="928"/>
      <c r="G453" s="941"/>
      <c r="H453" s="944"/>
      <c r="I453" s="272">
        <f>SUM(J453:Q453)</f>
        <v>0</v>
      </c>
      <c r="J453" s="942"/>
      <c r="K453" s="942"/>
      <c r="L453" s="942"/>
      <c r="M453" s="904"/>
      <c r="N453" s="972"/>
      <c r="P453" s="967"/>
    </row>
    <row r="454" spans="1:16" s="966" customFormat="1" ht="18" customHeight="1" x14ac:dyDescent="0.3">
      <c r="A454" s="839">
        <v>446</v>
      </c>
      <c r="B454" s="940"/>
      <c r="C454" s="915"/>
      <c r="D454" s="925" t="s">
        <v>233</v>
      </c>
      <c r="E454" s="928"/>
      <c r="F454" s="928"/>
      <c r="G454" s="941"/>
      <c r="H454" s="944"/>
      <c r="I454" s="272">
        <f>SUM(J454:Q454)</f>
        <v>300</v>
      </c>
      <c r="J454" s="942"/>
      <c r="K454" s="942"/>
      <c r="L454" s="942"/>
      <c r="M454" s="904">
        <f>SUM(M452:M453)</f>
        <v>300</v>
      </c>
      <c r="N454" s="972"/>
      <c r="P454" s="967"/>
    </row>
    <row r="455" spans="1:16" s="964" customFormat="1" ht="18" customHeight="1" x14ac:dyDescent="0.3">
      <c r="A455" s="839">
        <v>447</v>
      </c>
      <c r="B455" s="926"/>
      <c r="C455" s="882"/>
      <c r="D455" s="953" t="s">
        <v>617</v>
      </c>
      <c r="E455" s="920">
        <v>900</v>
      </c>
      <c r="F455" s="920">
        <v>2000</v>
      </c>
      <c r="G455" s="921">
        <v>345</v>
      </c>
      <c r="H455" s="927" t="s">
        <v>296</v>
      </c>
      <c r="I455" s="968"/>
      <c r="J455" s="932"/>
      <c r="K455" s="932"/>
      <c r="L455" s="932"/>
      <c r="M455" s="932"/>
      <c r="N455" s="933"/>
      <c r="P455" s="965"/>
    </row>
    <row r="456" spans="1:16" s="966" customFormat="1" ht="18" customHeight="1" x14ac:dyDescent="0.3">
      <c r="A456" s="839">
        <v>448</v>
      </c>
      <c r="B456" s="940"/>
      <c r="C456" s="915"/>
      <c r="D456" s="938" t="s">
        <v>230</v>
      </c>
      <c r="E456" s="928"/>
      <c r="F456" s="928"/>
      <c r="G456" s="941"/>
      <c r="H456" s="944"/>
      <c r="I456" s="923">
        <f>SUM(J456:N456)</f>
        <v>2000</v>
      </c>
      <c r="J456" s="942"/>
      <c r="K456" s="942"/>
      <c r="L456" s="942"/>
      <c r="M456" s="924">
        <v>2000</v>
      </c>
      <c r="N456" s="972"/>
      <c r="P456" s="967"/>
    </row>
    <row r="457" spans="1:16" s="966" customFormat="1" ht="18" customHeight="1" x14ac:dyDescent="0.3">
      <c r="A457" s="839">
        <v>449</v>
      </c>
      <c r="B457" s="940"/>
      <c r="C457" s="915"/>
      <c r="D457" s="925" t="s">
        <v>231</v>
      </c>
      <c r="E457" s="928"/>
      <c r="F457" s="928"/>
      <c r="G457" s="941"/>
      <c r="H457" s="944"/>
      <c r="I457" s="920">
        <f>SUM(J457:N457)</f>
        <v>6215</v>
      </c>
      <c r="J457" s="905"/>
      <c r="K457" s="905"/>
      <c r="L457" s="905"/>
      <c r="M457" s="904">
        <v>6215</v>
      </c>
      <c r="N457" s="972"/>
      <c r="P457" s="967"/>
    </row>
    <row r="458" spans="1:16" s="966" customFormat="1" ht="18" customHeight="1" x14ac:dyDescent="0.3">
      <c r="A458" s="839">
        <v>450</v>
      </c>
      <c r="B458" s="940"/>
      <c r="C458" s="915"/>
      <c r="D458" s="925" t="s">
        <v>232</v>
      </c>
      <c r="E458" s="928"/>
      <c r="F458" s="928"/>
      <c r="G458" s="941"/>
      <c r="H458" s="944"/>
      <c r="I458" s="272">
        <f>SUM(J458:Q458)</f>
        <v>0</v>
      </c>
      <c r="J458" s="942"/>
      <c r="K458" s="942"/>
      <c r="L458" s="942"/>
      <c r="M458" s="904"/>
      <c r="N458" s="972"/>
      <c r="P458" s="967"/>
    </row>
    <row r="459" spans="1:16" s="966" customFormat="1" ht="18" customHeight="1" x14ac:dyDescent="0.3">
      <c r="A459" s="839">
        <v>451</v>
      </c>
      <c r="B459" s="940"/>
      <c r="C459" s="915"/>
      <c r="D459" s="925" t="s">
        <v>233</v>
      </c>
      <c r="E459" s="928"/>
      <c r="F459" s="928"/>
      <c r="G459" s="941"/>
      <c r="H459" s="944"/>
      <c r="I459" s="272">
        <f>SUM(J459:Q459)</f>
        <v>6215</v>
      </c>
      <c r="J459" s="942"/>
      <c r="K459" s="942"/>
      <c r="L459" s="942"/>
      <c r="M459" s="904">
        <f>SUM(M457:M458)</f>
        <v>6215</v>
      </c>
      <c r="N459" s="972"/>
      <c r="P459" s="967"/>
    </row>
    <row r="460" spans="1:16" s="964" customFormat="1" ht="18" customHeight="1" x14ac:dyDescent="0.3">
      <c r="A460" s="839">
        <v>452</v>
      </c>
      <c r="B460" s="926"/>
      <c r="C460" s="882"/>
      <c r="D460" s="953" t="s">
        <v>618</v>
      </c>
      <c r="E460" s="920">
        <v>51</v>
      </c>
      <c r="F460" s="920">
        <v>500</v>
      </c>
      <c r="G460" s="921">
        <v>109</v>
      </c>
      <c r="H460" s="927" t="s">
        <v>296</v>
      </c>
      <c r="I460" s="968"/>
      <c r="J460" s="932"/>
      <c r="K460" s="932"/>
      <c r="L460" s="932"/>
      <c r="M460" s="932"/>
      <c r="N460" s="933"/>
      <c r="P460" s="965"/>
    </row>
    <row r="461" spans="1:16" s="966" customFormat="1" ht="18" customHeight="1" x14ac:dyDescent="0.3">
      <c r="A461" s="839">
        <v>453</v>
      </c>
      <c r="B461" s="940"/>
      <c r="C461" s="915"/>
      <c r="D461" s="938" t="s">
        <v>230</v>
      </c>
      <c r="E461" s="928"/>
      <c r="F461" s="928"/>
      <c r="G461" s="941"/>
      <c r="H461" s="944"/>
      <c r="I461" s="923">
        <f>SUM(J461:N461)</f>
        <v>500</v>
      </c>
      <c r="J461" s="942"/>
      <c r="K461" s="942"/>
      <c r="L461" s="942"/>
      <c r="M461" s="924">
        <v>500</v>
      </c>
      <c r="N461" s="972"/>
      <c r="P461" s="967"/>
    </row>
    <row r="462" spans="1:16" s="966" customFormat="1" ht="18" customHeight="1" x14ac:dyDescent="0.3">
      <c r="A462" s="839">
        <v>454</v>
      </c>
      <c r="B462" s="940"/>
      <c r="C462" s="915"/>
      <c r="D462" s="925" t="s">
        <v>231</v>
      </c>
      <c r="E462" s="928"/>
      <c r="F462" s="928"/>
      <c r="G462" s="941"/>
      <c r="H462" s="944"/>
      <c r="I462" s="920">
        <f>SUM(J462:N462)</f>
        <v>628</v>
      </c>
      <c r="J462" s="905"/>
      <c r="K462" s="905"/>
      <c r="L462" s="905"/>
      <c r="M462" s="904">
        <v>628</v>
      </c>
      <c r="N462" s="972"/>
      <c r="P462" s="967"/>
    </row>
    <row r="463" spans="1:16" s="966" customFormat="1" ht="18" customHeight="1" x14ac:dyDescent="0.3">
      <c r="A463" s="839">
        <v>455</v>
      </c>
      <c r="B463" s="940"/>
      <c r="C463" s="915"/>
      <c r="D463" s="925" t="s">
        <v>232</v>
      </c>
      <c r="E463" s="928"/>
      <c r="F463" s="928"/>
      <c r="G463" s="941"/>
      <c r="H463" s="944"/>
      <c r="I463" s="272">
        <f>SUM(J463:Q463)</f>
        <v>0</v>
      </c>
      <c r="J463" s="942"/>
      <c r="K463" s="942"/>
      <c r="L463" s="942"/>
      <c r="M463" s="904"/>
      <c r="N463" s="972"/>
      <c r="P463" s="967"/>
    </row>
    <row r="464" spans="1:16" s="966" customFormat="1" ht="18" customHeight="1" x14ac:dyDescent="0.3">
      <c r="A464" s="839">
        <v>456</v>
      </c>
      <c r="B464" s="940"/>
      <c r="C464" s="915"/>
      <c r="D464" s="925" t="s">
        <v>233</v>
      </c>
      <c r="E464" s="928"/>
      <c r="F464" s="928"/>
      <c r="G464" s="941"/>
      <c r="H464" s="944"/>
      <c r="I464" s="272">
        <f>SUM(J464:Q464)</f>
        <v>628</v>
      </c>
      <c r="J464" s="942"/>
      <c r="K464" s="942"/>
      <c r="L464" s="942"/>
      <c r="M464" s="904">
        <f>SUM(M462:M463)</f>
        <v>628</v>
      </c>
      <c r="N464" s="972"/>
      <c r="P464" s="967"/>
    </row>
    <row r="465" spans="1:16" s="964" customFormat="1" ht="18" customHeight="1" x14ac:dyDescent="0.3">
      <c r="A465" s="839">
        <v>457</v>
      </c>
      <c r="B465" s="926"/>
      <c r="C465" s="882"/>
      <c r="D465" s="953" t="s">
        <v>619</v>
      </c>
      <c r="E465" s="920">
        <v>1065</v>
      </c>
      <c r="F465" s="920">
        <v>1700</v>
      </c>
      <c r="G465" s="921">
        <v>945</v>
      </c>
      <c r="H465" s="927" t="s">
        <v>296</v>
      </c>
      <c r="I465" s="968"/>
      <c r="J465" s="932"/>
      <c r="K465" s="932"/>
      <c r="L465" s="932"/>
      <c r="M465" s="932"/>
      <c r="N465" s="933"/>
      <c r="P465" s="965"/>
    </row>
    <row r="466" spans="1:16" s="966" customFormat="1" ht="18" customHeight="1" x14ac:dyDescent="0.3">
      <c r="A466" s="839">
        <v>458</v>
      </c>
      <c r="B466" s="940"/>
      <c r="C466" s="915"/>
      <c r="D466" s="938" t="s">
        <v>230</v>
      </c>
      <c r="E466" s="928"/>
      <c r="F466" s="928"/>
      <c r="G466" s="941"/>
      <c r="H466" s="944"/>
      <c r="I466" s="923">
        <f>SUM(J466:N466)</f>
        <v>2000</v>
      </c>
      <c r="J466" s="942"/>
      <c r="K466" s="942"/>
      <c r="L466" s="942"/>
      <c r="M466" s="924">
        <v>2000</v>
      </c>
      <c r="N466" s="972"/>
      <c r="P466" s="967"/>
    </row>
    <row r="467" spans="1:16" s="966" customFormat="1" ht="18" customHeight="1" x14ac:dyDescent="0.3">
      <c r="A467" s="839">
        <v>459</v>
      </c>
      <c r="B467" s="940"/>
      <c r="C467" s="915"/>
      <c r="D467" s="925" t="s">
        <v>231</v>
      </c>
      <c r="E467" s="928"/>
      <c r="F467" s="928"/>
      <c r="G467" s="941"/>
      <c r="H467" s="944"/>
      <c r="I467" s="920">
        <f>SUM(J467:N467)</f>
        <v>4010</v>
      </c>
      <c r="J467" s="905"/>
      <c r="K467" s="905"/>
      <c r="L467" s="905"/>
      <c r="M467" s="904">
        <v>4010</v>
      </c>
      <c r="N467" s="972"/>
      <c r="P467" s="967"/>
    </row>
    <row r="468" spans="1:16" s="966" customFormat="1" ht="18" customHeight="1" x14ac:dyDescent="0.3">
      <c r="A468" s="839">
        <v>460</v>
      </c>
      <c r="B468" s="940"/>
      <c r="C468" s="915"/>
      <c r="D468" s="925" t="s">
        <v>232</v>
      </c>
      <c r="E468" s="928"/>
      <c r="F468" s="928"/>
      <c r="G468" s="941"/>
      <c r="H468" s="944"/>
      <c r="I468" s="272">
        <f>SUM(J468:Q468)</f>
        <v>0</v>
      </c>
      <c r="J468" s="942"/>
      <c r="K468" s="942"/>
      <c r="L468" s="942"/>
      <c r="M468" s="904"/>
      <c r="N468" s="972"/>
      <c r="P468" s="967"/>
    </row>
    <row r="469" spans="1:16" s="966" customFormat="1" ht="18" customHeight="1" x14ac:dyDescent="0.3">
      <c r="A469" s="839">
        <v>461</v>
      </c>
      <c r="B469" s="940"/>
      <c r="C469" s="915"/>
      <c r="D469" s="925" t="s">
        <v>233</v>
      </c>
      <c r="E469" s="928"/>
      <c r="F469" s="928"/>
      <c r="G469" s="941"/>
      <c r="H469" s="944"/>
      <c r="I469" s="272">
        <f>SUM(J469:Q469)</f>
        <v>4010</v>
      </c>
      <c r="J469" s="942"/>
      <c r="K469" s="942"/>
      <c r="L469" s="942"/>
      <c r="M469" s="904">
        <f>SUM(M467:M468)</f>
        <v>4010</v>
      </c>
      <c r="N469" s="972"/>
      <c r="P469" s="967"/>
    </row>
    <row r="470" spans="1:16" s="964" customFormat="1" ht="18" customHeight="1" x14ac:dyDescent="0.3">
      <c r="A470" s="839">
        <v>462</v>
      </c>
      <c r="B470" s="926"/>
      <c r="C470" s="882"/>
      <c r="D470" s="953" t="s">
        <v>620</v>
      </c>
      <c r="E470" s="920"/>
      <c r="F470" s="920">
        <v>400</v>
      </c>
      <c r="G470" s="921"/>
      <c r="H470" s="927" t="s">
        <v>296</v>
      </c>
      <c r="I470" s="968"/>
      <c r="J470" s="932"/>
      <c r="K470" s="932"/>
      <c r="L470" s="932"/>
      <c r="M470" s="932"/>
      <c r="N470" s="933"/>
      <c r="P470" s="965"/>
    </row>
    <row r="471" spans="1:16" s="966" customFormat="1" ht="18" customHeight="1" x14ac:dyDescent="0.3">
      <c r="A471" s="839">
        <v>463</v>
      </c>
      <c r="B471" s="940"/>
      <c r="C471" s="915"/>
      <c r="D471" s="938" t="s">
        <v>230</v>
      </c>
      <c r="E471" s="887"/>
      <c r="F471" s="928"/>
      <c r="G471" s="941"/>
      <c r="H471" s="944"/>
      <c r="I471" s="923">
        <f>SUM(J471:N471)</f>
        <v>400</v>
      </c>
      <c r="J471" s="942"/>
      <c r="K471" s="942"/>
      <c r="L471" s="942"/>
      <c r="M471" s="924">
        <v>400</v>
      </c>
      <c r="N471" s="972"/>
      <c r="P471" s="967"/>
    </row>
    <row r="472" spans="1:16" s="966" customFormat="1" ht="18" customHeight="1" x14ac:dyDescent="0.3">
      <c r="A472" s="839">
        <v>464</v>
      </c>
      <c r="B472" s="940"/>
      <c r="C472" s="915"/>
      <c r="D472" s="925" t="s">
        <v>231</v>
      </c>
      <c r="E472" s="887"/>
      <c r="F472" s="928"/>
      <c r="G472" s="941"/>
      <c r="H472" s="944"/>
      <c r="I472" s="920">
        <f>SUM(J472:N472)</f>
        <v>2500</v>
      </c>
      <c r="J472" s="905"/>
      <c r="K472" s="905"/>
      <c r="L472" s="905"/>
      <c r="M472" s="904">
        <v>2500</v>
      </c>
      <c r="N472" s="972"/>
      <c r="P472" s="967"/>
    </row>
    <row r="473" spans="1:16" s="966" customFormat="1" ht="18" customHeight="1" x14ac:dyDescent="0.3">
      <c r="A473" s="839">
        <v>465</v>
      </c>
      <c r="B473" s="940"/>
      <c r="C473" s="915"/>
      <c r="D473" s="925" t="s">
        <v>232</v>
      </c>
      <c r="E473" s="887"/>
      <c r="F473" s="928"/>
      <c r="G473" s="941"/>
      <c r="H473" s="944"/>
      <c r="I473" s="272">
        <f>SUM(J473:Q473)</f>
        <v>0</v>
      </c>
      <c r="J473" s="942"/>
      <c r="K473" s="942"/>
      <c r="L473" s="942"/>
      <c r="M473" s="904"/>
      <c r="N473" s="972"/>
      <c r="P473" s="967"/>
    </row>
    <row r="474" spans="1:16" s="966" customFormat="1" ht="18" customHeight="1" x14ac:dyDescent="0.3">
      <c r="A474" s="839">
        <v>466</v>
      </c>
      <c r="B474" s="940"/>
      <c r="C474" s="915"/>
      <c r="D474" s="925" t="s">
        <v>233</v>
      </c>
      <c r="E474" s="887"/>
      <c r="F474" s="928"/>
      <c r="G474" s="941"/>
      <c r="H474" s="944"/>
      <c r="I474" s="272">
        <f>SUM(J474:Q474)</f>
        <v>2500</v>
      </c>
      <c r="J474" s="942"/>
      <c r="K474" s="942"/>
      <c r="L474" s="942"/>
      <c r="M474" s="904">
        <f>SUM(M472:M473)</f>
        <v>2500</v>
      </c>
      <c r="N474" s="972"/>
      <c r="P474" s="967"/>
    </row>
    <row r="475" spans="1:16" s="964" customFormat="1" ht="18" customHeight="1" x14ac:dyDescent="0.3">
      <c r="A475" s="839">
        <v>467</v>
      </c>
      <c r="B475" s="926"/>
      <c r="C475" s="882"/>
      <c r="D475" s="953" t="s">
        <v>621</v>
      </c>
      <c r="E475" s="884"/>
      <c r="F475" s="920">
        <v>510</v>
      </c>
      <c r="G475" s="921">
        <v>228</v>
      </c>
      <c r="H475" s="927" t="s">
        <v>296</v>
      </c>
      <c r="I475" s="923"/>
      <c r="J475" s="924"/>
      <c r="K475" s="924"/>
      <c r="L475" s="924"/>
      <c r="M475" s="924"/>
      <c r="N475" s="929"/>
      <c r="P475" s="965"/>
    </row>
    <row r="476" spans="1:16" s="966" customFormat="1" ht="18" customHeight="1" x14ac:dyDescent="0.3">
      <c r="A476" s="839">
        <v>468</v>
      </c>
      <c r="B476" s="940"/>
      <c r="C476" s="915"/>
      <c r="D476" s="938" t="s">
        <v>230</v>
      </c>
      <c r="E476" s="887"/>
      <c r="F476" s="928"/>
      <c r="G476" s="941"/>
      <c r="H476" s="944"/>
      <c r="I476" s="923">
        <f>SUM(J476:N476)</f>
        <v>510</v>
      </c>
      <c r="J476" s="942"/>
      <c r="K476" s="942"/>
      <c r="L476" s="942"/>
      <c r="M476" s="924">
        <v>510</v>
      </c>
      <c r="N476" s="972"/>
      <c r="P476" s="967"/>
    </row>
    <row r="477" spans="1:16" s="966" customFormat="1" ht="18" customHeight="1" x14ac:dyDescent="0.3">
      <c r="A477" s="839">
        <v>469</v>
      </c>
      <c r="B477" s="940"/>
      <c r="C477" s="915"/>
      <c r="D477" s="925" t="s">
        <v>231</v>
      </c>
      <c r="E477" s="887"/>
      <c r="F477" s="928"/>
      <c r="G477" s="941"/>
      <c r="H477" s="944"/>
      <c r="I477" s="920">
        <f>SUM(J477:N477)</f>
        <v>737</v>
      </c>
      <c r="J477" s="905"/>
      <c r="K477" s="905"/>
      <c r="L477" s="905"/>
      <c r="M477" s="904">
        <v>737</v>
      </c>
      <c r="N477" s="972"/>
      <c r="P477" s="967"/>
    </row>
    <row r="478" spans="1:16" s="966" customFormat="1" ht="18" customHeight="1" x14ac:dyDescent="0.3">
      <c r="A478" s="839">
        <v>470</v>
      </c>
      <c r="B478" s="940"/>
      <c r="C478" s="915"/>
      <c r="D478" s="925" t="s">
        <v>232</v>
      </c>
      <c r="E478" s="887"/>
      <c r="F478" s="928"/>
      <c r="G478" s="941"/>
      <c r="H478" s="944"/>
      <c r="I478" s="272">
        <f>SUM(J478:Q478)</f>
        <v>0</v>
      </c>
      <c r="J478" s="942"/>
      <c r="K478" s="942"/>
      <c r="L478" s="942"/>
      <c r="M478" s="904"/>
      <c r="N478" s="972"/>
      <c r="P478" s="967"/>
    </row>
    <row r="479" spans="1:16" s="966" customFormat="1" ht="18" customHeight="1" x14ac:dyDescent="0.3">
      <c r="A479" s="839">
        <v>471</v>
      </c>
      <c r="B479" s="940"/>
      <c r="C479" s="915"/>
      <c r="D479" s="925" t="s">
        <v>233</v>
      </c>
      <c r="E479" s="887"/>
      <c r="F479" s="928"/>
      <c r="G479" s="941"/>
      <c r="H479" s="944"/>
      <c r="I479" s="272">
        <f>SUM(J479:Q479)</f>
        <v>737</v>
      </c>
      <c r="J479" s="942"/>
      <c r="K479" s="942"/>
      <c r="L479" s="942"/>
      <c r="M479" s="904">
        <f>SUM(M477:M478)</f>
        <v>737</v>
      </c>
      <c r="N479" s="972"/>
      <c r="P479" s="967"/>
    </row>
    <row r="480" spans="1:16" s="966" customFormat="1" ht="18" customHeight="1" x14ac:dyDescent="0.3">
      <c r="A480" s="839">
        <v>472</v>
      </c>
      <c r="B480" s="940"/>
      <c r="C480" s="915"/>
      <c r="D480" s="953" t="s">
        <v>622</v>
      </c>
      <c r="E480" s="887"/>
      <c r="F480" s="928"/>
      <c r="G480" s="941"/>
      <c r="H480" s="927" t="s">
        <v>296</v>
      </c>
      <c r="I480" s="923"/>
      <c r="J480" s="942"/>
      <c r="K480" s="942"/>
      <c r="L480" s="942"/>
      <c r="M480" s="924"/>
      <c r="N480" s="972"/>
      <c r="P480" s="967"/>
    </row>
    <row r="481" spans="1:16" s="966" customFormat="1" ht="18" customHeight="1" x14ac:dyDescent="0.3">
      <c r="A481" s="839">
        <v>473</v>
      </c>
      <c r="B481" s="940"/>
      <c r="C481" s="915"/>
      <c r="D481" s="938" t="s">
        <v>230</v>
      </c>
      <c r="E481" s="887"/>
      <c r="F481" s="928"/>
      <c r="G481" s="941"/>
      <c r="H481" s="944"/>
      <c r="I481" s="923">
        <f>SUM(J481:N481)</f>
        <v>30000</v>
      </c>
      <c r="J481" s="942"/>
      <c r="K481" s="942"/>
      <c r="L481" s="942"/>
      <c r="M481" s="924">
        <v>30000</v>
      </c>
      <c r="N481" s="972"/>
      <c r="P481" s="967"/>
    </row>
    <row r="482" spans="1:16" s="966" customFormat="1" ht="18" customHeight="1" x14ac:dyDescent="0.3">
      <c r="A482" s="839">
        <v>474</v>
      </c>
      <c r="B482" s="940"/>
      <c r="C482" s="915"/>
      <c r="D482" s="925" t="s">
        <v>231</v>
      </c>
      <c r="E482" s="887"/>
      <c r="F482" s="928"/>
      <c r="G482" s="941"/>
      <c r="H482" s="944"/>
      <c r="I482" s="920">
        <f>SUM(J482:N482)</f>
        <v>0</v>
      </c>
      <c r="J482" s="905"/>
      <c r="K482" s="905"/>
      <c r="L482" s="905"/>
      <c r="M482" s="904">
        <v>0</v>
      </c>
      <c r="N482" s="972"/>
      <c r="P482" s="967"/>
    </row>
    <row r="483" spans="1:16" s="966" customFormat="1" ht="18" customHeight="1" x14ac:dyDescent="0.3">
      <c r="A483" s="839">
        <v>475</v>
      </c>
      <c r="B483" s="940"/>
      <c r="C483" s="915"/>
      <c r="D483" s="925" t="s">
        <v>232</v>
      </c>
      <c r="E483" s="887"/>
      <c r="F483" s="928"/>
      <c r="G483" s="941"/>
      <c r="H483" s="944"/>
      <c r="I483" s="272">
        <f>SUM(J483:Q483)</f>
        <v>0</v>
      </c>
      <c r="J483" s="942"/>
      <c r="K483" s="942"/>
      <c r="L483" s="942"/>
      <c r="M483" s="904"/>
      <c r="N483" s="972"/>
      <c r="P483" s="967"/>
    </row>
    <row r="484" spans="1:16" s="966" customFormat="1" ht="18" customHeight="1" x14ac:dyDescent="0.3">
      <c r="A484" s="839">
        <v>476</v>
      </c>
      <c r="B484" s="940"/>
      <c r="C484" s="915"/>
      <c r="D484" s="925" t="s">
        <v>233</v>
      </c>
      <c r="E484" s="887"/>
      <c r="F484" s="928"/>
      <c r="G484" s="941"/>
      <c r="H484" s="944"/>
      <c r="I484" s="272">
        <f>SUM(J484:Q484)</f>
        <v>0</v>
      </c>
      <c r="J484" s="942"/>
      <c r="K484" s="942"/>
      <c r="L484" s="942"/>
      <c r="M484" s="904">
        <f>SUM(M482:M483)</f>
        <v>0</v>
      </c>
      <c r="N484" s="972"/>
      <c r="P484" s="967"/>
    </row>
    <row r="485" spans="1:16" s="840" customFormat="1" ht="22.5" customHeight="1" x14ac:dyDescent="0.3">
      <c r="A485" s="839">
        <v>477</v>
      </c>
      <c r="B485" s="897"/>
      <c r="C485" s="882">
        <v>51</v>
      </c>
      <c r="D485" s="898" t="s">
        <v>623</v>
      </c>
      <c r="E485" s="884">
        <v>3852</v>
      </c>
      <c r="F485" s="884">
        <v>7000</v>
      </c>
      <c r="G485" s="885">
        <v>3840</v>
      </c>
      <c r="H485" s="886" t="s">
        <v>106</v>
      </c>
      <c r="I485" s="887"/>
      <c r="J485" s="888"/>
      <c r="K485" s="888"/>
      <c r="L485" s="888"/>
      <c r="M485" s="888"/>
      <c r="N485" s="890"/>
      <c r="P485" s="891"/>
    </row>
    <row r="486" spans="1:16" s="918" customFormat="1" ht="18" customHeight="1" x14ac:dyDescent="0.3">
      <c r="A486" s="839">
        <v>478</v>
      </c>
      <c r="B486" s="914"/>
      <c r="C486" s="915"/>
      <c r="D486" s="883" t="s">
        <v>230</v>
      </c>
      <c r="E486" s="887"/>
      <c r="F486" s="887"/>
      <c r="G486" s="916"/>
      <c r="H486" s="917"/>
      <c r="I486" s="887">
        <f>SUM(J486:N486)</f>
        <v>7000</v>
      </c>
      <c r="J486" s="889"/>
      <c r="K486" s="889"/>
      <c r="L486" s="889"/>
      <c r="M486" s="889">
        <v>7000</v>
      </c>
      <c r="N486" s="900"/>
    </row>
    <row r="487" spans="1:16" s="918" customFormat="1" ht="18" customHeight="1" x14ac:dyDescent="0.3">
      <c r="A487" s="839">
        <v>479</v>
      </c>
      <c r="B487" s="914"/>
      <c r="C487" s="915"/>
      <c r="D487" s="266" t="s">
        <v>231</v>
      </c>
      <c r="E487" s="887"/>
      <c r="F487" s="887"/>
      <c r="G487" s="916"/>
      <c r="H487" s="917"/>
      <c r="I487" s="878">
        <f>SUM(J487:N487)</f>
        <v>13692</v>
      </c>
      <c r="J487" s="902"/>
      <c r="K487" s="902"/>
      <c r="L487" s="902"/>
      <c r="M487" s="902">
        <v>13692</v>
      </c>
      <c r="N487" s="900"/>
    </row>
    <row r="488" spans="1:16" s="918" customFormat="1" ht="18" customHeight="1" x14ac:dyDescent="0.3">
      <c r="A488" s="839">
        <v>480</v>
      </c>
      <c r="B488" s="914"/>
      <c r="C488" s="915"/>
      <c r="D488" s="270" t="s">
        <v>232</v>
      </c>
      <c r="E488" s="887"/>
      <c r="F488" s="887"/>
      <c r="G488" s="916"/>
      <c r="H488" s="917"/>
      <c r="I488" s="272">
        <f>SUM(J488:Q488)</f>
        <v>0</v>
      </c>
      <c r="J488" s="889"/>
      <c r="K488" s="889"/>
      <c r="L488" s="889"/>
      <c r="M488" s="904"/>
      <c r="N488" s="900"/>
    </row>
    <row r="489" spans="1:16" s="918" customFormat="1" ht="18" customHeight="1" x14ac:dyDescent="0.3">
      <c r="A489" s="839">
        <v>481</v>
      </c>
      <c r="B489" s="914"/>
      <c r="C489" s="915"/>
      <c r="D489" s="266" t="s">
        <v>233</v>
      </c>
      <c r="E489" s="887"/>
      <c r="F489" s="887"/>
      <c r="G489" s="916"/>
      <c r="H489" s="917"/>
      <c r="I489" s="268">
        <f>SUM(J489:Q489)</f>
        <v>13692</v>
      </c>
      <c r="J489" s="889"/>
      <c r="K489" s="889"/>
      <c r="L489" s="889"/>
      <c r="M489" s="902">
        <f>SUM(M487:M488)</f>
        <v>13692</v>
      </c>
      <c r="N489" s="900"/>
    </row>
    <row r="490" spans="1:16" s="847" customFormat="1" ht="22.5" customHeight="1" x14ac:dyDescent="0.35">
      <c r="A490" s="839">
        <v>482</v>
      </c>
      <c r="B490" s="963"/>
      <c r="C490" s="882">
        <v>52</v>
      </c>
      <c r="D490" s="898" t="s">
        <v>624</v>
      </c>
      <c r="E490" s="884">
        <v>979</v>
      </c>
      <c r="F490" s="884">
        <v>1278</v>
      </c>
      <c r="G490" s="885">
        <v>1474</v>
      </c>
      <c r="H490" s="886" t="s">
        <v>106</v>
      </c>
      <c r="I490" s="887"/>
      <c r="J490" s="888"/>
      <c r="K490" s="888"/>
      <c r="L490" s="888"/>
      <c r="M490" s="888"/>
      <c r="N490" s="890"/>
      <c r="P490" s="848"/>
    </row>
    <row r="491" spans="1:16" s="918" customFormat="1" ht="18" customHeight="1" x14ac:dyDescent="0.3">
      <c r="A491" s="839">
        <v>483</v>
      </c>
      <c r="B491" s="914"/>
      <c r="C491" s="915"/>
      <c r="D491" s="883" t="s">
        <v>230</v>
      </c>
      <c r="E491" s="887"/>
      <c r="F491" s="887"/>
      <c r="G491" s="916"/>
      <c r="H491" s="917"/>
      <c r="I491" s="887">
        <f>SUM(J491:N491)</f>
        <v>4910</v>
      </c>
      <c r="J491" s="889">
        <v>4600</v>
      </c>
      <c r="K491" s="889">
        <v>310</v>
      </c>
      <c r="L491" s="889"/>
      <c r="M491" s="889"/>
      <c r="N491" s="900"/>
    </row>
    <row r="492" spans="1:16" s="918" customFormat="1" ht="18" customHeight="1" x14ac:dyDescent="0.3">
      <c r="A492" s="839">
        <v>484</v>
      </c>
      <c r="B492" s="914"/>
      <c r="C492" s="915"/>
      <c r="D492" s="266" t="s">
        <v>231</v>
      </c>
      <c r="E492" s="887"/>
      <c r="F492" s="887"/>
      <c r="G492" s="916"/>
      <c r="H492" s="917"/>
      <c r="I492" s="878">
        <f>SUM(J492:N492)</f>
        <v>4910</v>
      </c>
      <c r="J492" s="902">
        <v>4600</v>
      </c>
      <c r="K492" s="902">
        <v>310</v>
      </c>
      <c r="L492" s="889"/>
      <c r="M492" s="889"/>
      <c r="N492" s="900"/>
    </row>
    <row r="493" spans="1:16" s="918" customFormat="1" ht="18" customHeight="1" x14ac:dyDescent="0.3">
      <c r="A493" s="839">
        <v>485</v>
      </c>
      <c r="B493" s="914"/>
      <c r="C493" s="915"/>
      <c r="D493" s="270" t="s">
        <v>245</v>
      </c>
      <c r="E493" s="887"/>
      <c r="F493" s="887"/>
      <c r="G493" s="916"/>
      <c r="H493" s="917"/>
      <c r="I493" s="272">
        <f>SUM(J493:Q493)</f>
        <v>0</v>
      </c>
      <c r="J493" s="889"/>
      <c r="K493" s="889"/>
      <c r="L493" s="889"/>
      <c r="M493" s="889"/>
      <c r="N493" s="900"/>
    </row>
    <row r="494" spans="1:16" s="918" customFormat="1" ht="18" customHeight="1" x14ac:dyDescent="0.3">
      <c r="A494" s="839">
        <v>486</v>
      </c>
      <c r="B494" s="914"/>
      <c r="C494" s="915"/>
      <c r="D494" s="266" t="s">
        <v>233</v>
      </c>
      <c r="E494" s="887"/>
      <c r="F494" s="887"/>
      <c r="G494" s="916"/>
      <c r="H494" s="917"/>
      <c r="I494" s="268">
        <f>SUM(J494:Q494)</f>
        <v>4910</v>
      </c>
      <c r="J494" s="902">
        <f>SUM(J492:J493)</f>
        <v>4600</v>
      </c>
      <c r="K494" s="902">
        <f>SUM(K492:K493)</f>
        <v>310</v>
      </c>
      <c r="L494" s="889"/>
      <c r="M494" s="889"/>
      <c r="N494" s="900"/>
    </row>
    <row r="495" spans="1:16" s="847" customFormat="1" ht="22.5" customHeight="1" x14ac:dyDescent="0.35">
      <c r="A495" s="839">
        <v>487</v>
      </c>
      <c r="B495" s="963"/>
      <c r="C495" s="882">
        <v>53</v>
      </c>
      <c r="D495" s="898" t="s">
        <v>625</v>
      </c>
      <c r="E495" s="884">
        <v>765</v>
      </c>
      <c r="F495" s="884">
        <v>2430</v>
      </c>
      <c r="G495" s="885">
        <v>577</v>
      </c>
      <c r="H495" s="886" t="s">
        <v>296</v>
      </c>
      <c r="I495" s="887"/>
      <c r="J495" s="888"/>
      <c r="K495" s="888"/>
      <c r="L495" s="888"/>
      <c r="M495" s="888"/>
      <c r="N495" s="890"/>
      <c r="P495" s="848"/>
    </row>
    <row r="496" spans="1:16" s="918" customFormat="1" ht="18" customHeight="1" x14ac:dyDescent="0.3">
      <c r="A496" s="839">
        <v>488</v>
      </c>
      <c r="B496" s="914"/>
      <c r="C496" s="915"/>
      <c r="D496" s="883" t="s">
        <v>230</v>
      </c>
      <c r="E496" s="887"/>
      <c r="F496" s="887"/>
      <c r="G496" s="916"/>
      <c r="H496" s="917"/>
      <c r="I496" s="887">
        <f>SUM(J496:N496)</f>
        <v>3334</v>
      </c>
      <c r="J496" s="889">
        <v>2950</v>
      </c>
      <c r="K496" s="889">
        <v>384</v>
      </c>
      <c r="L496" s="889"/>
      <c r="M496" s="889"/>
      <c r="N496" s="900"/>
    </row>
    <row r="497" spans="1:16" s="918" customFormat="1" ht="18" customHeight="1" x14ac:dyDescent="0.3">
      <c r="A497" s="839">
        <v>489</v>
      </c>
      <c r="B497" s="914"/>
      <c r="C497" s="915"/>
      <c r="D497" s="266" t="s">
        <v>231</v>
      </c>
      <c r="E497" s="887"/>
      <c r="F497" s="887"/>
      <c r="G497" s="916"/>
      <c r="H497" s="917"/>
      <c r="I497" s="878">
        <f>SUM(J497:N497)</f>
        <v>3334</v>
      </c>
      <c r="J497" s="902">
        <v>2950</v>
      </c>
      <c r="K497" s="902">
        <v>384</v>
      </c>
      <c r="L497" s="889"/>
      <c r="M497" s="889"/>
      <c r="N497" s="900"/>
    </row>
    <row r="498" spans="1:16" s="918" customFormat="1" ht="18" customHeight="1" x14ac:dyDescent="0.3">
      <c r="A498" s="839">
        <v>490</v>
      </c>
      <c r="B498" s="914"/>
      <c r="C498" s="915"/>
      <c r="D498" s="270" t="s">
        <v>245</v>
      </c>
      <c r="E498" s="887"/>
      <c r="F498" s="887"/>
      <c r="G498" s="916"/>
      <c r="H498" s="917"/>
      <c r="I498" s="272">
        <f>SUM(J498:Q498)</f>
        <v>0</v>
      </c>
      <c r="J498" s="889"/>
      <c r="K498" s="889"/>
      <c r="L498" s="889"/>
      <c r="M498" s="889"/>
      <c r="N498" s="900"/>
    </row>
    <row r="499" spans="1:16" s="918" customFormat="1" ht="18" customHeight="1" x14ac:dyDescent="0.3">
      <c r="A499" s="839">
        <v>491</v>
      </c>
      <c r="B499" s="914"/>
      <c r="C499" s="915"/>
      <c r="D499" s="266" t="s">
        <v>233</v>
      </c>
      <c r="E499" s="887"/>
      <c r="F499" s="887"/>
      <c r="G499" s="916"/>
      <c r="H499" s="917"/>
      <c r="I499" s="268">
        <f>SUM(J499:Q499)</f>
        <v>3334</v>
      </c>
      <c r="J499" s="902">
        <f>SUM(J497:J498)</f>
        <v>2950</v>
      </c>
      <c r="K499" s="902">
        <f>SUM(K497:K498)</f>
        <v>384</v>
      </c>
      <c r="L499" s="889"/>
      <c r="M499" s="889"/>
      <c r="N499" s="900"/>
    </row>
    <row r="500" spans="1:16" s="847" customFormat="1" ht="22.5" customHeight="1" x14ac:dyDescent="0.35">
      <c r="A500" s="839">
        <v>492</v>
      </c>
      <c r="B500" s="963"/>
      <c r="C500" s="882">
        <v>54</v>
      </c>
      <c r="D500" s="898" t="s">
        <v>626</v>
      </c>
      <c r="E500" s="884"/>
      <c r="F500" s="884">
        <v>100</v>
      </c>
      <c r="G500" s="885"/>
      <c r="H500" s="886" t="s">
        <v>296</v>
      </c>
      <c r="I500" s="887"/>
      <c r="J500" s="888"/>
      <c r="K500" s="888"/>
      <c r="L500" s="888"/>
      <c r="M500" s="888"/>
      <c r="N500" s="890"/>
      <c r="P500" s="848"/>
    </row>
    <row r="501" spans="1:16" s="918" customFormat="1" ht="18" customHeight="1" x14ac:dyDescent="0.3">
      <c r="A501" s="839">
        <v>493</v>
      </c>
      <c r="B501" s="914"/>
      <c r="C501" s="915"/>
      <c r="D501" s="883" t="s">
        <v>230</v>
      </c>
      <c r="E501" s="887"/>
      <c r="F501" s="887"/>
      <c r="G501" s="916"/>
      <c r="H501" s="917"/>
      <c r="I501" s="887">
        <f>SUM(J501:N501)</f>
        <v>100</v>
      </c>
      <c r="J501" s="889"/>
      <c r="K501" s="889"/>
      <c r="L501" s="889"/>
      <c r="M501" s="889">
        <v>100</v>
      </c>
      <c r="N501" s="900"/>
    </row>
    <row r="502" spans="1:16" s="918" customFormat="1" ht="18" customHeight="1" x14ac:dyDescent="0.3">
      <c r="A502" s="839">
        <v>494</v>
      </c>
      <c r="B502" s="914"/>
      <c r="C502" s="915"/>
      <c r="D502" s="266" t="s">
        <v>231</v>
      </c>
      <c r="E502" s="887"/>
      <c r="F502" s="887"/>
      <c r="G502" s="916"/>
      <c r="H502" s="917"/>
      <c r="I502" s="878">
        <f>SUM(J502:N502)</f>
        <v>1500</v>
      </c>
      <c r="J502" s="902"/>
      <c r="K502" s="902"/>
      <c r="L502" s="902"/>
      <c r="M502" s="902">
        <v>1500</v>
      </c>
      <c r="N502" s="900"/>
    </row>
    <row r="503" spans="1:16" s="918" customFormat="1" ht="18" customHeight="1" x14ac:dyDescent="0.3">
      <c r="A503" s="839">
        <v>495</v>
      </c>
      <c r="B503" s="914"/>
      <c r="C503" s="915"/>
      <c r="D503" s="270" t="s">
        <v>232</v>
      </c>
      <c r="E503" s="887"/>
      <c r="F503" s="887"/>
      <c r="G503" s="916"/>
      <c r="H503" s="917"/>
      <c r="I503" s="272">
        <f>SUM(J503:Q503)</f>
        <v>0</v>
      </c>
      <c r="J503" s="889"/>
      <c r="K503" s="889"/>
      <c r="L503" s="889"/>
      <c r="M503" s="904"/>
      <c r="N503" s="900"/>
    </row>
    <row r="504" spans="1:16" s="918" customFormat="1" ht="18" customHeight="1" x14ac:dyDescent="0.3">
      <c r="A504" s="839">
        <v>496</v>
      </c>
      <c r="B504" s="914"/>
      <c r="C504" s="915"/>
      <c r="D504" s="266" t="s">
        <v>233</v>
      </c>
      <c r="E504" s="887"/>
      <c r="F504" s="887"/>
      <c r="G504" s="916"/>
      <c r="H504" s="917"/>
      <c r="I504" s="268">
        <f>SUM(J504:Q504)</f>
        <v>1500</v>
      </c>
      <c r="J504" s="889"/>
      <c r="K504" s="889"/>
      <c r="L504" s="889"/>
      <c r="M504" s="902">
        <f>SUM(M502:M503)</f>
        <v>1500</v>
      </c>
      <c r="N504" s="900"/>
    </row>
    <row r="505" spans="1:16" s="847" customFormat="1" ht="22.5" customHeight="1" x14ac:dyDescent="0.35">
      <c r="A505" s="839">
        <v>497</v>
      </c>
      <c r="B505" s="963"/>
      <c r="C505" s="882">
        <v>55</v>
      </c>
      <c r="D505" s="898" t="s">
        <v>627</v>
      </c>
      <c r="E505" s="884">
        <v>6000</v>
      </c>
      <c r="F505" s="884">
        <v>6000</v>
      </c>
      <c r="G505" s="885"/>
      <c r="H505" s="886" t="s">
        <v>106</v>
      </c>
      <c r="I505" s="887"/>
      <c r="J505" s="888"/>
      <c r="K505" s="888"/>
      <c r="L505" s="888"/>
      <c r="M505" s="888"/>
      <c r="N505" s="890"/>
      <c r="P505" s="848"/>
    </row>
    <row r="506" spans="1:16" s="847" customFormat="1" ht="22.5" customHeight="1" x14ac:dyDescent="0.35">
      <c r="A506" s="839">
        <v>498</v>
      </c>
      <c r="B506" s="963"/>
      <c r="C506" s="882">
        <v>56</v>
      </c>
      <c r="D506" s="898" t="s">
        <v>628</v>
      </c>
      <c r="E506" s="884">
        <v>12000</v>
      </c>
      <c r="F506" s="884">
        <v>12000</v>
      </c>
      <c r="G506" s="885">
        <v>12000</v>
      </c>
      <c r="H506" s="886" t="s">
        <v>106</v>
      </c>
      <c r="I506" s="887"/>
      <c r="J506" s="888"/>
      <c r="K506" s="888"/>
      <c r="L506" s="888"/>
      <c r="M506" s="888"/>
      <c r="N506" s="890"/>
      <c r="P506" s="848"/>
    </row>
    <row r="507" spans="1:16" s="918" customFormat="1" ht="18" customHeight="1" x14ac:dyDescent="0.3">
      <c r="A507" s="839">
        <v>499</v>
      </c>
      <c r="B507" s="914"/>
      <c r="C507" s="915"/>
      <c r="D507" s="883" t="s">
        <v>230</v>
      </c>
      <c r="E507" s="887"/>
      <c r="F507" s="887"/>
      <c r="G507" s="916"/>
      <c r="H507" s="917"/>
      <c r="I507" s="887">
        <f>SUM(J507:N507)</f>
        <v>12000</v>
      </c>
      <c r="J507" s="889"/>
      <c r="K507" s="889"/>
      <c r="L507" s="889"/>
      <c r="M507" s="889"/>
      <c r="N507" s="900">
        <v>12000</v>
      </c>
    </row>
    <row r="508" spans="1:16" s="918" customFormat="1" ht="18" customHeight="1" x14ac:dyDescent="0.3">
      <c r="A508" s="839">
        <v>500</v>
      </c>
      <c r="B508" s="914"/>
      <c r="C508" s="915"/>
      <c r="D508" s="266" t="s">
        <v>231</v>
      </c>
      <c r="E508" s="887"/>
      <c r="F508" s="887"/>
      <c r="G508" s="916"/>
      <c r="H508" s="917"/>
      <c r="I508" s="878">
        <f>SUM(J508:N508)</f>
        <v>12000</v>
      </c>
      <c r="J508" s="902"/>
      <c r="K508" s="902"/>
      <c r="L508" s="902"/>
      <c r="M508" s="902"/>
      <c r="N508" s="903">
        <v>12000</v>
      </c>
    </row>
    <row r="509" spans="1:16" s="918" customFormat="1" ht="18" customHeight="1" x14ac:dyDescent="0.3">
      <c r="A509" s="839">
        <v>501</v>
      </c>
      <c r="B509" s="914"/>
      <c r="C509" s="915"/>
      <c r="D509" s="270" t="s">
        <v>245</v>
      </c>
      <c r="E509" s="887"/>
      <c r="F509" s="887"/>
      <c r="G509" s="916"/>
      <c r="H509" s="917"/>
      <c r="I509" s="272">
        <f>SUM(J509:Q509)</f>
        <v>0</v>
      </c>
      <c r="J509" s="889"/>
      <c r="K509" s="889"/>
      <c r="L509" s="889"/>
      <c r="M509" s="889"/>
      <c r="N509" s="900"/>
    </row>
    <row r="510" spans="1:16" s="918" customFormat="1" ht="18" customHeight="1" x14ac:dyDescent="0.3">
      <c r="A510" s="839">
        <v>502</v>
      </c>
      <c r="B510" s="914"/>
      <c r="C510" s="915"/>
      <c r="D510" s="266" t="s">
        <v>233</v>
      </c>
      <c r="E510" s="887"/>
      <c r="F510" s="887"/>
      <c r="G510" s="916"/>
      <c r="H510" s="917"/>
      <c r="I510" s="268">
        <f>SUM(J510:Q510)</f>
        <v>12000</v>
      </c>
      <c r="J510" s="889"/>
      <c r="K510" s="889"/>
      <c r="L510" s="889"/>
      <c r="M510" s="889"/>
      <c r="N510" s="903">
        <f>SUM(N508:N509)</f>
        <v>12000</v>
      </c>
    </row>
    <row r="511" spans="1:16" s="847" customFormat="1" ht="22.5" customHeight="1" x14ac:dyDescent="0.35">
      <c r="A511" s="839">
        <v>503</v>
      </c>
      <c r="B511" s="963"/>
      <c r="C511" s="882">
        <v>57</v>
      </c>
      <c r="D511" s="898" t="s">
        <v>629</v>
      </c>
      <c r="E511" s="884">
        <v>60000</v>
      </c>
      <c r="F511" s="884">
        <v>60000</v>
      </c>
      <c r="G511" s="885">
        <v>80000</v>
      </c>
      <c r="H511" s="886" t="s">
        <v>106</v>
      </c>
      <c r="I511" s="887"/>
      <c r="J511" s="888"/>
      <c r="K511" s="888"/>
      <c r="L511" s="888"/>
      <c r="M511" s="888"/>
      <c r="N511" s="890"/>
      <c r="P511" s="848"/>
    </row>
    <row r="512" spans="1:16" s="918" customFormat="1" ht="18" customHeight="1" x14ac:dyDescent="0.3">
      <c r="A512" s="839">
        <v>504</v>
      </c>
      <c r="B512" s="914"/>
      <c r="C512" s="915"/>
      <c r="D512" s="883" t="s">
        <v>230</v>
      </c>
      <c r="E512" s="887"/>
      <c r="F512" s="887"/>
      <c r="G512" s="916"/>
      <c r="H512" s="917"/>
      <c r="I512" s="887">
        <f>SUM(J512:N512)</f>
        <v>85000</v>
      </c>
      <c r="J512" s="889"/>
      <c r="K512" s="889"/>
      <c r="L512" s="889"/>
      <c r="M512" s="889"/>
      <c r="N512" s="900">
        <v>85000</v>
      </c>
    </row>
    <row r="513" spans="1:16" s="918" customFormat="1" ht="18" customHeight="1" x14ac:dyDescent="0.3">
      <c r="A513" s="839">
        <v>505</v>
      </c>
      <c r="B513" s="914"/>
      <c r="C513" s="915"/>
      <c r="D513" s="266" t="s">
        <v>231</v>
      </c>
      <c r="E513" s="887"/>
      <c r="F513" s="887"/>
      <c r="G513" s="916"/>
      <c r="H513" s="917"/>
      <c r="I513" s="878">
        <f>SUM(J513:N513)</f>
        <v>85000</v>
      </c>
      <c r="J513" s="902"/>
      <c r="K513" s="902"/>
      <c r="L513" s="902"/>
      <c r="M513" s="902"/>
      <c r="N513" s="903">
        <v>85000</v>
      </c>
    </row>
    <row r="514" spans="1:16" s="918" customFormat="1" ht="18" customHeight="1" x14ac:dyDescent="0.3">
      <c r="A514" s="839">
        <v>506</v>
      </c>
      <c r="B514" s="914"/>
      <c r="C514" s="915"/>
      <c r="D514" s="270" t="s">
        <v>245</v>
      </c>
      <c r="E514" s="887"/>
      <c r="F514" s="887"/>
      <c r="G514" s="916"/>
      <c r="H514" s="917"/>
      <c r="I514" s="272">
        <f>SUM(J514:Q514)</f>
        <v>0</v>
      </c>
      <c r="J514" s="889"/>
      <c r="K514" s="889"/>
      <c r="L514" s="889"/>
      <c r="M514" s="889"/>
      <c r="N514" s="900"/>
    </row>
    <row r="515" spans="1:16" s="918" customFormat="1" ht="18" customHeight="1" x14ac:dyDescent="0.3">
      <c r="A515" s="839">
        <v>507</v>
      </c>
      <c r="B515" s="914"/>
      <c r="C515" s="915"/>
      <c r="D515" s="266" t="s">
        <v>233</v>
      </c>
      <c r="E515" s="887"/>
      <c r="F515" s="887"/>
      <c r="G515" s="916"/>
      <c r="H515" s="917"/>
      <c r="I515" s="268">
        <f>SUM(J515:Q515)</f>
        <v>85000</v>
      </c>
      <c r="J515" s="889"/>
      <c r="K515" s="889"/>
      <c r="L515" s="889"/>
      <c r="M515" s="889"/>
      <c r="N515" s="903">
        <f>SUM(N513:N514)</f>
        <v>85000</v>
      </c>
    </row>
    <row r="516" spans="1:16" s="847" customFormat="1" ht="22.5" customHeight="1" x14ac:dyDescent="0.35">
      <c r="A516" s="839">
        <v>508</v>
      </c>
      <c r="B516" s="963"/>
      <c r="C516" s="882">
        <v>58</v>
      </c>
      <c r="D516" s="898" t="s">
        <v>630</v>
      </c>
      <c r="E516" s="884">
        <v>724979</v>
      </c>
      <c r="F516" s="884">
        <v>744824</v>
      </c>
      <c r="G516" s="885">
        <v>889032</v>
      </c>
      <c r="H516" s="886" t="s">
        <v>106</v>
      </c>
      <c r="I516" s="887"/>
      <c r="J516" s="888"/>
      <c r="K516" s="888"/>
      <c r="L516" s="888"/>
      <c r="M516" s="888"/>
      <c r="N516" s="890"/>
      <c r="P516" s="848"/>
    </row>
    <row r="517" spans="1:16" s="918" customFormat="1" ht="18" customHeight="1" x14ac:dyDescent="0.3">
      <c r="A517" s="839">
        <v>509</v>
      </c>
      <c r="B517" s="914"/>
      <c r="C517" s="915"/>
      <c r="D517" s="883" t="s">
        <v>230</v>
      </c>
      <c r="E517" s="887"/>
      <c r="F517" s="887"/>
      <c r="G517" s="916"/>
      <c r="H517" s="917"/>
      <c r="I517" s="887">
        <f>SUM(J517:N517)</f>
        <v>886415</v>
      </c>
      <c r="J517" s="889"/>
      <c r="K517" s="889"/>
      <c r="L517" s="889"/>
      <c r="M517" s="889"/>
      <c r="N517" s="900">
        <v>886415</v>
      </c>
    </row>
    <row r="518" spans="1:16" s="918" customFormat="1" ht="18" customHeight="1" x14ac:dyDescent="0.3">
      <c r="A518" s="839">
        <v>510</v>
      </c>
      <c r="B518" s="914"/>
      <c r="C518" s="915"/>
      <c r="D518" s="266" t="s">
        <v>231</v>
      </c>
      <c r="E518" s="887"/>
      <c r="F518" s="887"/>
      <c r="G518" s="916"/>
      <c r="H518" s="917"/>
      <c r="I518" s="878">
        <f>SUM(J518:N518)</f>
        <v>962436</v>
      </c>
      <c r="J518" s="902"/>
      <c r="K518" s="902"/>
      <c r="L518" s="902"/>
      <c r="M518" s="902"/>
      <c r="N518" s="903">
        <v>962436</v>
      </c>
    </row>
    <row r="519" spans="1:16" s="918" customFormat="1" ht="18" customHeight="1" x14ac:dyDescent="0.3">
      <c r="A519" s="839">
        <v>511</v>
      </c>
      <c r="B519" s="914"/>
      <c r="C519" s="915"/>
      <c r="D519" s="270" t="s">
        <v>246</v>
      </c>
      <c r="E519" s="887"/>
      <c r="F519" s="887"/>
      <c r="G519" s="916"/>
      <c r="H519" s="917"/>
      <c r="I519" s="272">
        <f>SUM(J519:Q519)</f>
        <v>17494</v>
      </c>
      <c r="J519" s="889"/>
      <c r="K519" s="889"/>
      <c r="L519" s="889"/>
      <c r="M519" s="889"/>
      <c r="N519" s="906">
        <v>17494</v>
      </c>
    </row>
    <row r="520" spans="1:16" s="918" customFormat="1" ht="18" customHeight="1" x14ac:dyDescent="0.3">
      <c r="A520" s="839">
        <v>512</v>
      </c>
      <c r="B520" s="914"/>
      <c r="C520" s="915"/>
      <c r="D520" s="270" t="s">
        <v>11</v>
      </c>
      <c r="E520" s="887"/>
      <c r="F520" s="887"/>
      <c r="G520" s="916"/>
      <c r="H520" s="917"/>
      <c r="I520" s="272">
        <f>SUM(J520:Q520)</f>
        <v>3939</v>
      </c>
      <c r="J520" s="889"/>
      <c r="K520" s="889"/>
      <c r="L520" s="889"/>
      <c r="M520" s="889"/>
      <c r="N520" s="906">
        <v>3939</v>
      </c>
    </row>
    <row r="521" spans="1:16" s="918" customFormat="1" ht="18" customHeight="1" x14ac:dyDescent="0.3">
      <c r="A521" s="839">
        <v>513</v>
      </c>
      <c r="B521" s="914"/>
      <c r="C521" s="915"/>
      <c r="D521" s="266" t="s">
        <v>233</v>
      </c>
      <c r="E521" s="887"/>
      <c r="F521" s="887"/>
      <c r="G521" s="916"/>
      <c r="H521" s="917"/>
      <c r="I521" s="268">
        <f>SUM(J521:Q521)</f>
        <v>983869</v>
      </c>
      <c r="J521" s="889"/>
      <c r="K521" s="889"/>
      <c r="L521" s="889"/>
      <c r="M521" s="889"/>
      <c r="N521" s="903">
        <f>SUM(N518:N520)</f>
        <v>983869</v>
      </c>
    </row>
    <row r="522" spans="1:16" s="847" customFormat="1" ht="22.5" customHeight="1" x14ac:dyDescent="0.35">
      <c r="A522" s="839">
        <v>514</v>
      </c>
      <c r="B522" s="963"/>
      <c r="C522" s="882">
        <v>59</v>
      </c>
      <c r="D522" s="898" t="s">
        <v>631</v>
      </c>
      <c r="E522" s="884">
        <v>109620</v>
      </c>
      <c r="F522" s="884">
        <v>130708</v>
      </c>
      <c r="G522" s="885">
        <v>90207</v>
      </c>
      <c r="H522" s="886" t="s">
        <v>106</v>
      </c>
      <c r="I522" s="887"/>
      <c r="J522" s="888"/>
      <c r="K522" s="888"/>
      <c r="L522" s="888"/>
      <c r="M522" s="888"/>
      <c r="N522" s="890"/>
      <c r="P522" s="848"/>
    </row>
    <row r="523" spans="1:16" s="891" customFormat="1" ht="22.5" customHeight="1" x14ac:dyDescent="0.3">
      <c r="A523" s="839">
        <v>515</v>
      </c>
      <c r="B523" s="881"/>
      <c r="C523" s="882">
        <v>60</v>
      </c>
      <c r="D523" s="874" t="s">
        <v>632</v>
      </c>
      <c r="E523" s="884">
        <v>1780</v>
      </c>
      <c r="F523" s="884">
        <v>4320</v>
      </c>
      <c r="G523" s="885">
        <v>1419</v>
      </c>
      <c r="H523" s="886" t="s">
        <v>296</v>
      </c>
      <c r="I523" s="887"/>
      <c r="J523" s="888"/>
      <c r="K523" s="888"/>
      <c r="L523" s="888"/>
      <c r="M523" s="888"/>
      <c r="N523" s="890"/>
    </row>
    <row r="524" spans="1:16" s="918" customFormat="1" ht="18" customHeight="1" x14ac:dyDescent="0.3">
      <c r="A524" s="839">
        <v>516</v>
      </c>
      <c r="B524" s="914"/>
      <c r="C524" s="915"/>
      <c r="D524" s="883" t="s">
        <v>230</v>
      </c>
      <c r="E524" s="887"/>
      <c r="F524" s="887"/>
      <c r="G524" s="916"/>
      <c r="H524" s="917"/>
      <c r="I524" s="887">
        <f>SUM(J524:N524)</f>
        <v>4320</v>
      </c>
      <c r="J524" s="889"/>
      <c r="K524" s="889"/>
      <c r="L524" s="889">
        <v>4320</v>
      </c>
      <c r="M524" s="889"/>
      <c r="N524" s="900"/>
    </row>
    <row r="525" spans="1:16" s="918" customFormat="1" ht="18" customHeight="1" x14ac:dyDescent="0.3">
      <c r="A525" s="839">
        <v>517</v>
      </c>
      <c r="B525" s="914"/>
      <c r="C525" s="915"/>
      <c r="D525" s="266" t="s">
        <v>231</v>
      </c>
      <c r="E525" s="887"/>
      <c r="F525" s="887"/>
      <c r="G525" s="916"/>
      <c r="H525" s="917"/>
      <c r="I525" s="878">
        <f>SUM(J525:N525)</f>
        <v>4767</v>
      </c>
      <c r="J525" s="902"/>
      <c r="K525" s="902"/>
      <c r="L525" s="902">
        <v>4767</v>
      </c>
      <c r="M525" s="889"/>
      <c r="N525" s="900"/>
    </row>
    <row r="526" spans="1:16" s="918" customFormat="1" ht="18" customHeight="1" x14ac:dyDescent="0.3">
      <c r="A526" s="839">
        <v>518</v>
      </c>
      <c r="B526" s="914"/>
      <c r="C526" s="915"/>
      <c r="D526" s="270" t="s">
        <v>232</v>
      </c>
      <c r="E526" s="887"/>
      <c r="F526" s="887"/>
      <c r="G526" s="916"/>
      <c r="H526" s="917"/>
      <c r="I526" s="272">
        <f>SUM(J526:Q526)</f>
        <v>0</v>
      </c>
      <c r="J526" s="889"/>
      <c r="K526" s="889"/>
      <c r="L526" s="904"/>
      <c r="M526" s="889"/>
      <c r="N526" s="900"/>
    </row>
    <row r="527" spans="1:16" s="918" customFormat="1" ht="18" customHeight="1" x14ac:dyDescent="0.3">
      <c r="A527" s="839">
        <v>519</v>
      </c>
      <c r="B527" s="914"/>
      <c r="C527" s="915"/>
      <c r="D527" s="266" t="s">
        <v>233</v>
      </c>
      <c r="E527" s="887"/>
      <c r="F527" s="887"/>
      <c r="G527" s="916"/>
      <c r="H527" s="917"/>
      <c r="I527" s="268">
        <f>SUM(J527:Q527)</f>
        <v>4767</v>
      </c>
      <c r="J527" s="889"/>
      <c r="K527" s="889"/>
      <c r="L527" s="902">
        <f>SUM(L525:L526)</f>
        <v>4767</v>
      </c>
      <c r="M527" s="889"/>
      <c r="N527" s="900"/>
    </row>
    <row r="528" spans="1:16" s="891" customFormat="1" ht="22.5" customHeight="1" x14ac:dyDescent="0.3">
      <c r="A528" s="839">
        <v>520</v>
      </c>
      <c r="B528" s="881"/>
      <c r="C528" s="882">
        <v>61</v>
      </c>
      <c r="D528" s="874" t="s">
        <v>633</v>
      </c>
      <c r="E528" s="884"/>
      <c r="F528" s="884"/>
      <c r="G528" s="885"/>
      <c r="H528" s="886" t="s">
        <v>296</v>
      </c>
      <c r="I528" s="887"/>
      <c r="J528" s="888"/>
      <c r="K528" s="888"/>
      <c r="L528" s="888"/>
      <c r="M528" s="888"/>
      <c r="N528" s="890"/>
    </row>
    <row r="529" spans="1:16" s="891" customFormat="1" ht="18" customHeight="1" x14ac:dyDescent="0.3">
      <c r="A529" s="839">
        <v>521</v>
      </c>
      <c r="B529" s="881"/>
      <c r="C529" s="882"/>
      <c r="D529" s="883" t="s">
        <v>230</v>
      </c>
      <c r="E529" s="884"/>
      <c r="F529" s="884"/>
      <c r="G529" s="885"/>
      <c r="H529" s="886"/>
      <c r="I529" s="887">
        <f>SUM(J529:N529)</f>
        <v>4000</v>
      </c>
      <c r="J529" s="888"/>
      <c r="K529" s="888"/>
      <c r="L529" s="888"/>
      <c r="M529" s="888"/>
      <c r="N529" s="900">
        <v>4000</v>
      </c>
    </row>
    <row r="530" spans="1:16" s="891" customFormat="1" ht="18" customHeight="1" x14ac:dyDescent="0.3">
      <c r="A530" s="839">
        <v>522</v>
      </c>
      <c r="B530" s="881"/>
      <c r="C530" s="882"/>
      <c r="D530" s="266" t="s">
        <v>231</v>
      </c>
      <c r="E530" s="884"/>
      <c r="F530" s="884"/>
      <c r="G530" s="885"/>
      <c r="H530" s="886"/>
      <c r="I530" s="878">
        <f>SUM(J530:N530)</f>
        <v>0</v>
      </c>
      <c r="J530" s="901"/>
      <c r="K530" s="901"/>
      <c r="L530" s="901"/>
      <c r="M530" s="901"/>
      <c r="N530" s="903">
        <v>0</v>
      </c>
    </row>
    <row r="531" spans="1:16" s="891" customFormat="1" ht="18" customHeight="1" x14ac:dyDescent="0.3">
      <c r="A531" s="839">
        <v>523</v>
      </c>
      <c r="B531" s="881"/>
      <c r="C531" s="882"/>
      <c r="D531" s="270" t="s">
        <v>245</v>
      </c>
      <c r="E531" s="884"/>
      <c r="F531" s="884"/>
      <c r="G531" s="885"/>
      <c r="H531" s="886"/>
      <c r="I531" s="272">
        <f>SUM(J531:Q531)</f>
        <v>0</v>
      </c>
      <c r="J531" s="888"/>
      <c r="K531" s="888"/>
      <c r="L531" s="888"/>
      <c r="M531" s="888"/>
      <c r="N531" s="906"/>
    </row>
    <row r="532" spans="1:16" s="891" customFormat="1" ht="18" customHeight="1" x14ac:dyDescent="0.3">
      <c r="A532" s="839">
        <v>524</v>
      </c>
      <c r="B532" s="881"/>
      <c r="C532" s="882"/>
      <c r="D532" s="266" t="s">
        <v>233</v>
      </c>
      <c r="E532" s="884"/>
      <c r="F532" s="884"/>
      <c r="G532" s="885"/>
      <c r="H532" s="886"/>
      <c r="I532" s="268">
        <f>SUM(J532:Q532)</f>
        <v>0</v>
      </c>
      <c r="J532" s="888"/>
      <c r="K532" s="888"/>
      <c r="L532" s="888"/>
      <c r="M532" s="888"/>
      <c r="N532" s="903">
        <f>SUM(N530:N531)</f>
        <v>0</v>
      </c>
    </row>
    <row r="533" spans="1:16" s="840" customFormat="1" ht="22.5" customHeight="1" x14ac:dyDescent="0.3">
      <c r="A533" s="839">
        <v>525</v>
      </c>
      <c r="B533" s="897"/>
      <c r="C533" s="882">
        <v>62</v>
      </c>
      <c r="D533" s="898" t="s">
        <v>634</v>
      </c>
      <c r="E533" s="884">
        <v>2000</v>
      </c>
      <c r="F533" s="884">
        <v>2000</v>
      </c>
      <c r="G533" s="885">
        <v>2000</v>
      </c>
      <c r="H533" s="886" t="s">
        <v>296</v>
      </c>
      <c r="I533" s="887"/>
      <c r="J533" s="888"/>
      <c r="K533" s="888"/>
      <c r="L533" s="888"/>
      <c r="M533" s="888"/>
      <c r="N533" s="890"/>
      <c r="P533" s="891"/>
    </row>
    <row r="534" spans="1:16" s="918" customFormat="1" ht="18" customHeight="1" x14ac:dyDescent="0.3">
      <c r="A534" s="839">
        <v>526</v>
      </c>
      <c r="B534" s="914"/>
      <c r="C534" s="915"/>
      <c r="D534" s="883" t="s">
        <v>230</v>
      </c>
      <c r="E534" s="887"/>
      <c r="F534" s="887"/>
      <c r="G534" s="916"/>
      <c r="H534" s="917"/>
      <c r="I534" s="887">
        <f>SUM(J534:N534)</f>
        <v>2000</v>
      </c>
      <c r="J534" s="889"/>
      <c r="K534" s="889"/>
      <c r="L534" s="889">
        <v>2000</v>
      </c>
      <c r="M534" s="889"/>
      <c r="N534" s="900"/>
    </row>
    <row r="535" spans="1:16" s="918" customFormat="1" ht="18" customHeight="1" x14ac:dyDescent="0.3">
      <c r="A535" s="839">
        <v>527</v>
      </c>
      <c r="B535" s="914"/>
      <c r="C535" s="915"/>
      <c r="D535" s="266" t="s">
        <v>231</v>
      </c>
      <c r="E535" s="887"/>
      <c r="F535" s="887"/>
      <c r="G535" s="916"/>
      <c r="H535" s="917"/>
      <c r="I535" s="878">
        <f>SUM(J535:N535)</f>
        <v>2000</v>
      </c>
      <c r="J535" s="902"/>
      <c r="K535" s="902"/>
      <c r="L535" s="902">
        <v>2000</v>
      </c>
      <c r="M535" s="889"/>
      <c r="N535" s="900"/>
    </row>
    <row r="536" spans="1:16" s="918" customFormat="1" ht="18" customHeight="1" x14ac:dyDescent="0.3">
      <c r="A536" s="839">
        <v>528</v>
      </c>
      <c r="B536" s="914"/>
      <c r="C536" s="915"/>
      <c r="D536" s="270" t="s">
        <v>245</v>
      </c>
      <c r="E536" s="887"/>
      <c r="F536" s="887"/>
      <c r="G536" s="916"/>
      <c r="H536" s="917"/>
      <c r="I536" s="272">
        <f>SUM(J536:Q536)</f>
        <v>0</v>
      </c>
      <c r="J536" s="889"/>
      <c r="K536" s="889"/>
      <c r="L536" s="889"/>
      <c r="M536" s="889"/>
      <c r="N536" s="900"/>
    </row>
    <row r="537" spans="1:16" s="918" customFormat="1" ht="18" customHeight="1" x14ac:dyDescent="0.3">
      <c r="A537" s="839">
        <v>529</v>
      </c>
      <c r="B537" s="914"/>
      <c r="C537" s="915"/>
      <c r="D537" s="266" t="s">
        <v>233</v>
      </c>
      <c r="E537" s="887"/>
      <c r="F537" s="887"/>
      <c r="G537" s="916"/>
      <c r="H537" s="917"/>
      <c r="I537" s="268">
        <f>SUM(J537:Q537)</f>
        <v>2000</v>
      </c>
      <c r="J537" s="889"/>
      <c r="K537" s="889"/>
      <c r="L537" s="902">
        <f>SUM(L535:L536)</f>
        <v>2000</v>
      </c>
      <c r="M537" s="889"/>
      <c r="N537" s="900"/>
    </row>
    <row r="538" spans="1:16" s="840" customFormat="1" ht="22.5" customHeight="1" x14ac:dyDescent="0.3">
      <c r="A538" s="839">
        <v>530</v>
      </c>
      <c r="B538" s="897"/>
      <c r="C538" s="882">
        <v>63</v>
      </c>
      <c r="D538" s="898" t="s">
        <v>635</v>
      </c>
      <c r="E538" s="884"/>
      <c r="F538" s="884"/>
      <c r="G538" s="885"/>
      <c r="H538" s="886" t="s">
        <v>296</v>
      </c>
      <c r="I538" s="887"/>
      <c r="J538" s="888"/>
      <c r="K538" s="888"/>
      <c r="L538" s="888"/>
      <c r="M538" s="888"/>
      <c r="N538" s="890"/>
      <c r="P538" s="891"/>
    </row>
    <row r="539" spans="1:16" s="840" customFormat="1" ht="22.5" customHeight="1" x14ac:dyDescent="0.3">
      <c r="A539" s="839">
        <v>531</v>
      </c>
      <c r="B539" s="897"/>
      <c r="C539" s="882">
        <v>64</v>
      </c>
      <c r="D539" s="898" t="s">
        <v>636</v>
      </c>
      <c r="E539" s="884">
        <v>1000</v>
      </c>
      <c r="F539" s="884">
        <v>1000</v>
      </c>
      <c r="G539" s="885">
        <v>1000</v>
      </c>
      <c r="H539" s="886" t="s">
        <v>296</v>
      </c>
      <c r="I539" s="887"/>
      <c r="J539" s="888"/>
      <c r="K539" s="888"/>
      <c r="L539" s="888"/>
      <c r="M539" s="888"/>
      <c r="N539" s="890"/>
      <c r="P539" s="891"/>
    </row>
    <row r="540" spans="1:16" s="918" customFormat="1" ht="18" customHeight="1" x14ac:dyDescent="0.3">
      <c r="A540" s="839">
        <v>532</v>
      </c>
      <c r="B540" s="914"/>
      <c r="C540" s="915"/>
      <c r="D540" s="883" t="s">
        <v>230</v>
      </c>
      <c r="E540" s="887"/>
      <c r="F540" s="887"/>
      <c r="G540" s="916"/>
      <c r="H540" s="917"/>
      <c r="I540" s="887">
        <f>SUM(J540:N540)</f>
        <v>1000</v>
      </c>
      <c r="J540" s="889"/>
      <c r="K540" s="889"/>
      <c r="L540" s="889">
        <v>1000</v>
      </c>
      <c r="M540" s="889"/>
      <c r="N540" s="900"/>
    </row>
    <row r="541" spans="1:16" s="918" customFormat="1" ht="18" customHeight="1" x14ac:dyDescent="0.3">
      <c r="A541" s="839">
        <v>533</v>
      </c>
      <c r="B541" s="914"/>
      <c r="C541" s="915"/>
      <c r="D541" s="266" t="s">
        <v>231</v>
      </c>
      <c r="E541" s="887"/>
      <c r="F541" s="887"/>
      <c r="G541" s="916"/>
      <c r="H541" s="917"/>
      <c r="I541" s="878">
        <f>SUM(J541:N541)</f>
        <v>1000</v>
      </c>
      <c r="J541" s="902"/>
      <c r="K541" s="902"/>
      <c r="L541" s="902">
        <v>1000</v>
      </c>
      <c r="M541" s="889"/>
      <c r="N541" s="900"/>
    </row>
    <row r="542" spans="1:16" s="918" customFormat="1" ht="18" customHeight="1" x14ac:dyDescent="0.3">
      <c r="A542" s="839">
        <v>534</v>
      </c>
      <c r="B542" s="914"/>
      <c r="C542" s="915"/>
      <c r="D542" s="270" t="s">
        <v>245</v>
      </c>
      <c r="E542" s="887"/>
      <c r="F542" s="887"/>
      <c r="G542" s="916"/>
      <c r="H542" s="917"/>
      <c r="I542" s="272">
        <f>SUM(J542:Q542)</f>
        <v>0</v>
      </c>
      <c r="J542" s="889"/>
      <c r="K542" s="889"/>
      <c r="L542" s="889"/>
      <c r="M542" s="889"/>
      <c r="N542" s="900"/>
    </row>
    <row r="543" spans="1:16" s="918" customFormat="1" ht="18" customHeight="1" x14ac:dyDescent="0.3">
      <c r="A543" s="839">
        <v>535</v>
      </c>
      <c r="B543" s="914"/>
      <c r="C543" s="915"/>
      <c r="D543" s="266" t="s">
        <v>233</v>
      </c>
      <c r="E543" s="887"/>
      <c r="F543" s="887"/>
      <c r="G543" s="916"/>
      <c r="H543" s="917"/>
      <c r="I543" s="268">
        <f>SUM(J543:Q543)</f>
        <v>1000</v>
      </c>
      <c r="J543" s="889"/>
      <c r="K543" s="889"/>
      <c r="L543" s="902">
        <f>SUM(L541:L542)</f>
        <v>1000</v>
      </c>
      <c r="M543" s="889"/>
      <c r="N543" s="900"/>
    </row>
    <row r="544" spans="1:16" s="891" customFormat="1" ht="22.5" customHeight="1" x14ac:dyDescent="0.3">
      <c r="A544" s="839">
        <v>536</v>
      </c>
      <c r="B544" s="881"/>
      <c r="C544" s="882">
        <v>65</v>
      </c>
      <c r="D544" s="898" t="s">
        <v>637</v>
      </c>
      <c r="E544" s="884"/>
      <c r="F544" s="884"/>
      <c r="G544" s="885">
        <v>3000</v>
      </c>
      <c r="H544" s="886" t="s">
        <v>106</v>
      </c>
      <c r="I544" s="887"/>
      <c r="J544" s="888"/>
      <c r="K544" s="888"/>
      <c r="L544" s="888"/>
      <c r="M544" s="888"/>
      <c r="N544" s="890"/>
    </row>
    <row r="545" spans="1:16" s="891" customFormat="1" ht="18" customHeight="1" x14ac:dyDescent="0.3">
      <c r="A545" s="839">
        <v>537</v>
      </c>
      <c r="B545" s="881"/>
      <c r="C545" s="882"/>
      <c r="D545" s="883" t="s">
        <v>230</v>
      </c>
      <c r="E545" s="884"/>
      <c r="F545" s="884"/>
      <c r="G545" s="885"/>
      <c r="H545" s="886"/>
      <c r="I545" s="887">
        <f>SUM(J545:N545)</f>
        <v>3000</v>
      </c>
      <c r="J545" s="888"/>
      <c r="K545" s="888"/>
      <c r="L545" s="889"/>
      <c r="M545" s="888"/>
      <c r="N545" s="900">
        <v>3000</v>
      </c>
    </row>
    <row r="546" spans="1:16" s="891" customFormat="1" ht="18" customHeight="1" x14ac:dyDescent="0.3">
      <c r="A546" s="839">
        <v>538</v>
      </c>
      <c r="B546" s="881"/>
      <c r="C546" s="882"/>
      <c r="D546" s="266" t="s">
        <v>231</v>
      </c>
      <c r="E546" s="884"/>
      <c r="F546" s="884"/>
      <c r="G546" s="885"/>
      <c r="H546" s="886"/>
      <c r="I546" s="878">
        <f>SUM(J546:N546)</f>
        <v>3000</v>
      </c>
      <c r="J546" s="901"/>
      <c r="K546" s="901"/>
      <c r="L546" s="902"/>
      <c r="M546" s="901"/>
      <c r="N546" s="903">
        <v>3000</v>
      </c>
    </row>
    <row r="547" spans="1:16" s="891" customFormat="1" ht="18" customHeight="1" x14ac:dyDescent="0.3">
      <c r="A547" s="839">
        <v>539</v>
      </c>
      <c r="B547" s="881"/>
      <c r="C547" s="882"/>
      <c r="D547" s="270" t="s">
        <v>245</v>
      </c>
      <c r="E547" s="884"/>
      <c r="F547" s="884"/>
      <c r="G547" s="885"/>
      <c r="H547" s="886"/>
      <c r="I547" s="272">
        <f>SUM(J547:Q547)</f>
        <v>0</v>
      </c>
      <c r="J547" s="888"/>
      <c r="K547" s="888"/>
      <c r="L547" s="889"/>
      <c r="M547" s="888"/>
      <c r="N547" s="900"/>
    </row>
    <row r="548" spans="1:16" s="891" customFormat="1" ht="18" customHeight="1" x14ac:dyDescent="0.3">
      <c r="A548" s="839">
        <v>540</v>
      </c>
      <c r="B548" s="881"/>
      <c r="C548" s="882"/>
      <c r="D548" s="266" t="s">
        <v>233</v>
      </c>
      <c r="E548" s="884"/>
      <c r="F548" s="884"/>
      <c r="G548" s="885"/>
      <c r="H548" s="886"/>
      <c r="I548" s="268">
        <f>SUM(J548:Q548)</f>
        <v>3000</v>
      </c>
      <c r="J548" s="888"/>
      <c r="K548" s="888"/>
      <c r="L548" s="889"/>
      <c r="M548" s="888"/>
      <c r="N548" s="903">
        <f>SUM(N546:N547)</f>
        <v>3000</v>
      </c>
    </row>
    <row r="549" spans="1:16" s="840" customFormat="1" ht="22.5" customHeight="1" x14ac:dyDescent="0.3">
      <c r="A549" s="839">
        <v>541</v>
      </c>
      <c r="B549" s="897"/>
      <c r="C549" s="882">
        <v>66</v>
      </c>
      <c r="D549" s="898" t="s">
        <v>638</v>
      </c>
      <c r="E549" s="884">
        <v>1375</v>
      </c>
      <c r="F549" s="884"/>
      <c r="G549" s="885"/>
      <c r="H549" s="886" t="s">
        <v>106</v>
      </c>
      <c r="I549" s="887"/>
      <c r="J549" s="888"/>
      <c r="K549" s="888"/>
      <c r="L549" s="888"/>
      <c r="M549" s="888"/>
      <c r="N549" s="890"/>
      <c r="P549" s="891"/>
    </row>
    <row r="550" spans="1:16" s="840" customFormat="1" ht="22.5" customHeight="1" x14ac:dyDescent="0.3">
      <c r="A550" s="839">
        <v>542</v>
      </c>
      <c r="B550" s="897"/>
      <c r="C550" s="882">
        <v>67</v>
      </c>
      <c r="D550" s="898" t="s">
        <v>639</v>
      </c>
      <c r="E550" s="884">
        <v>5200</v>
      </c>
      <c r="F550" s="884">
        <v>6350</v>
      </c>
      <c r="G550" s="885">
        <v>6665</v>
      </c>
      <c r="H550" s="886" t="s">
        <v>106</v>
      </c>
      <c r="I550" s="887"/>
      <c r="J550" s="888"/>
      <c r="K550" s="888"/>
      <c r="L550" s="888"/>
      <c r="M550" s="888"/>
      <c r="N550" s="890"/>
      <c r="P550" s="891"/>
    </row>
    <row r="551" spans="1:16" s="918" customFormat="1" ht="18" customHeight="1" x14ac:dyDescent="0.3">
      <c r="A551" s="839">
        <v>543</v>
      </c>
      <c r="B551" s="914"/>
      <c r="C551" s="915"/>
      <c r="D551" s="883" t="s">
        <v>230</v>
      </c>
      <c r="E551" s="887"/>
      <c r="F551" s="887"/>
      <c r="G551" s="916"/>
      <c r="H551" s="917"/>
      <c r="I551" s="887">
        <f>SUM(J551:N551)</f>
        <v>7350</v>
      </c>
      <c r="J551" s="889"/>
      <c r="K551" s="889"/>
      <c r="L551" s="889">
        <f>6825+525</f>
        <v>7350</v>
      </c>
      <c r="M551" s="889"/>
      <c r="N551" s="900"/>
    </row>
    <row r="552" spans="1:16" s="918" customFormat="1" ht="18" customHeight="1" x14ac:dyDescent="0.3">
      <c r="A552" s="839">
        <v>544</v>
      </c>
      <c r="B552" s="914"/>
      <c r="C552" s="915"/>
      <c r="D552" s="266" t="s">
        <v>231</v>
      </c>
      <c r="E552" s="887"/>
      <c r="F552" s="887"/>
      <c r="G552" s="916"/>
      <c r="H552" s="917"/>
      <c r="I552" s="878">
        <f>SUM(J552:N552)</f>
        <v>7350</v>
      </c>
      <c r="J552" s="902"/>
      <c r="K552" s="902"/>
      <c r="L552" s="902">
        <v>7350</v>
      </c>
      <c r="M552" s="889"/>
      <c r="N552" s="900"/>
    </row>
    <row r="553" spans="1:16" s="918" customFormat="1" ht="18" customHeight="1" x14ac:dyDescent="0.3">
      <c r="A553" s="839">
        <v>545</v>
      </c>
      <c r="B553" s="914"/>
      <c r="C553" s="915"/>
      <c r="D553" s="270" t="s">
        <v>245</v>
      </c>
      <c r="E553" s="887"/>
      <c r="F553" s="887"/>
      <c r="G553" s="916"/>
      <c r="H553" s="917"/>
      <c r="I553" s="272">
        <f>SUM(J553:Q553)</f>
        <v>0</v>
      </c>
      <c r="J553" s="889"/>
      <c r="K553" s="889"/>
      <c r="L553" s="889"/>
      <c r="M553" s="889"/>
      <c r="N553" s="900"/>
    </row>
    <row r="554" spans="1:16" s="918" customFormat="1" ht="18" customHeight="1" x14ac:dyDescent="0.3">
      <c r="A554" s="839">
        <v>546</v>
      </c>
      <c r="B554" s="914"/>
      <c r="C554" s="915"/>
      <c r="D554" s="266" t="s">
        <v>233</v>
      </c>
      <c r="E554" s="887"/>
      <c r="F554" s="887"/>
      <c r="G554" s="916"/>
      <c r="H554" s="917"/>
      <c r="I554" s="268">
        <f>SUM(J554:Q554)</f>
        <v>7350</v>
      </c>
      <c r="J554" s="889"/>
      <c r="K554" s="889"/>
      <c r="L554" s="902">
        <f>SUM(L552:L553)</f>
        <v>7350</v>
      </c>
      <c r="M554" s="889"/>
      <c r="N554" s="900"/>
    </row>
    <row r="555" spans="1:16" s="840" customFormat="1" ht="22.5" customHeight="1" x14ac:dyDescent="0.3">
      <c r="A555" s="839">
        <v>547</v>
      </c>
      <c r="B555" s="897"/>
      <c r="C555" s="882">
        <v>68</v>
      </c>
      <c r="D555" s="898" t="s">
        <v>640</v>
      </c>
      <c r="E555" s="884">
        <v>1974</v>
      </c>
      <c r="F555" s="884">
        <v>5830</v>
      </c>
      <c r="G555" s="885">
        <v>2227</v>
      </c>
      <c r="H555" s="886" t="s">
        <v>296</v>
      </c>
      <c r="I555" s="887"/>
      <c r="J555" s="888"/>
      <c r="K555" s="888"/>
      <c r="L555" s="888"/>
      <c r="M555" s="888"/>
      <c r="N555" s="890"/>
      <c r="P555" s="891"/>
    </row>
    <row r="556" spans="1:16" s="918" customFormat="1" ht="18" customHeight="1" x14ac:dyDescent="0.3">
      <c r="A556" s="839">
        <v>548</v>
      </c>
      <c r="B556" s="914"/>
      <c r="C556" s="915"/>
      <c r="D556" s="883" t="s">
        <v>230</v>
      </c>
      <c r="E556" s="887"/>
      <c r="F556" s="887"/>
      <c r="G556" s="916"/>
      <c r="H556" s="917"/>
      <c r="I556" s="887">
        <f>SUM(J556:N556)</f>
        <v>6448</v>
      </c>
      <c r="J556" s="889"/>
      <c r="K556" s="889"/>
      <c r="L556" s="889">
        <f>2845+3603</f>
        <v>6448</v>
      </c>
      <c r="M556" s="889"/>
      <c r="N556" s="900"/>
    </row>
    <row r="557" spans="1:16" s="918" customFormat="1" ht="18" customHeight="1" x14ac:dyDescent="0.3">
      <c r="A557" s="839">
        <v>549</v>
      </c>
      <c r="B557" s="914"/>
      <c r="C557" s="915"/>
      <c r="D557" s="266" t="s">
        <v>231</v>
      </c>
      <c r="E557" s="887"/>
      <c r="F557" s="887"/>
      <c r="G557" s="916"/>
      <c r="H557" s="917"/>
      <c r="I557" s="878">
        <f>SUM(J557:N557)</f>
        <v>6448</v>
      </c>
      <c r="J557" s="902"/>
      <c r="K557" s="902"/>
      <c r="L557" s="902">
        <v>6448</v>
      </c>
      <c r="M557" s="889"/>
      <c r="N557" s="900"/>
    </row>
    <row r="558" spans="1:16" s="918" customFormat="1" ht="18" customHeight="1" x14ac:dyDescent="0.3">
      <c r="A558" s="839">
        <v>550</v>
      </c>
      <c r="B558" s="914"/>
      <c r="C558" s="915"/>
      <c r="D558" s="270" t="s">
        <v>245</v>
      </c>
      <c r="E558" s="887"/>
      <c r="F558" s="887"/>
      <c r="G558" s="916"/>
      <c r="H558" s="917"/>
      <c r="I558" s="272">
        <f>SUM(J558:Q558)</f>
        <v>0</v>
      </c>
      <c r="J558" s="889"/>
      <c r="K558" s="889"/>
      <c r="L558" s="889"/>
      <c r="M558" s="889"/>
      <c r="N558" s="900"/>
    </row>
    <row r="559" spans="1:16" s="918" customFormat="1" ht="18" customHeight="1" x14ac:dyDescent="0.3">
      <c r="A559" s="839">
        <v>551</v>
      </c>
      <c r="B559" s="914"/>
      <c r="C559" s="915"/>
      <c r="D559" s="266" t="s">
        <v>233</v>
      </c>
      <c r="E559" s="887"/>
      <c r="F559" s="887"/>
      <c r="G559" s="916"/>
      <c r="H559" s="917"/>
      <c r="I559" s="268">
        <f>SUM(J559:Q559)</f>
        <v>6448</v>
      </c>
      <c r="J559" s="889"/>
      <c r="K559" s="889"/>
      <c r="L559" s="902">
        <f>SUM(L557:L558)</f>
        <v>6448</v>
      </c>
      <c r="M559" s="889"/>
      <c r="N559" s="900"/>
    </row>
    <row r="560" spans="1:16" s="840" customFormat="1" ht="22.5" customHeight="1" x14ac:dyDescent="0.3">
      <c r="A560" s="839">
        <v>552</v>
      </c>
      <c r="B560" s="897"/>
      <c r="C560" s="882">
        <v>69</v>
      </c>
      <c r="D560" s="898" t="s">
        <v>641</v>
      </c>
      <c r="E560" s="884">
        <v>227492</v>
      </c>
      <c r="F560" s="884">
        <v>269267</v>
      </c>
      <c r="G560" s="885">
        <v>250887</v>
      </c>
      <c r="H560" s="886" t="s">
        <v>106</v>
      </c>
      <c r="I560" s="887"/>
      <c r="J560" s="888"/>
      <c r="K560" s="888"/>
      <c r="L560" s="888"/>
      <c r="M560" s="888"/>
      <c r="N560" s="890"/>
      <c r="P560" s="891"/>
    </row>
    <row r="561" spans="1:16" s="918" customFormat="1" ht="18" customHeight="1" x14ac:dyDescent="0.3">
      <c r="A561" s="839">
        <v>553</v>
      </c>
      <c r="B561" s="914"/>
      <c r="C561" s="915"/>
      <c r="D561" s="883" t="s">
        <v>230</v>
      </c>
      <c r="E561" s="887"/>
      <c r="F561" s="887"/>
      <c r="G561" s="916"/>
      <c r="H561" s="917"/>
      <c r="I561" s="887">
        <f>SUM(J561:N561)</f>
        <v>511189</v>
      </c>
      <c r="J561" s="889">
        <f>211579+78930</f>
        <v>290509</v>
      </c>
      <c r="K561" s="889">
        <f>27320+26527</f>
        <v>53847</v>
      </c>
      <c r="L561" s="889">
        <f>77989+25000+63844</f>
        <v>166833</v>
      </c>
      <c r="M561" s="889"/>
      <c r="N561" s="900"/>
    </row>
    <row r="562" spans="1:16" s="918" customFormat="1" ht="18" customHeight="1" x14ac:dyDescent="0.3">
      <c r="A562" s="839">
        <v>554</v>
      </c>
      <c r="B562" s="914"/>
      <c r="C562" s="915"/>
      <c r="D562" s="266" t="s">
        <v>231</v>
      </c>
      <c r="E562" s="887"/>
      <c r="F562" s="887"/>
      <c r="G562" s="916"/>
      <c r="H562" s="917"/>
      <c r="I562" s="878">
        <f>SUM(J562:N562)</f>
        <v>563289</v>
      </c>
      <c r="J562" s="902">
        <v>290209</v>
      </c>
      <c r="K562" s="902">
        <v>53847</v>
      </c>
      <c r="L562" s="902">
        <v>219233</v>
      </c>
      <c r="M562" s="889"/>
      <c r="N562" s="900"/>
    </row>
    <row r="563" spans="1:16" s="918" customFormat="1" ht="18" customHeight="1" x14ac:dyDescent="0.3">
      <c r="A563" s="839">
        <v>555</v>
      </c>
      <c r="B563" s="914"/>
      <c r="C563" s="915"/>
      <c r="D563" s="270" t="s">
        <v>232</v>
      </c>
      <c r="E563" s="887"/>
      <c r="F563" s="887"/>
      <c r="G563" s="916"/>
      <c r="H563" s="917"/>
      <c r="I563" s="272">
        <f>SUM(J563:Q563)</f>
        <v>0</v>
      </c>
      <c r="J563" s="904"/>
      <c r="K563" s="904"/>
      <c r="L563" s="904"/>
      <c r="M563" s="889"/>
      <c r="N563" s="900"/>
    </row>
    <row r="564" spans="1:16" s="918" customFormat="1" ht="18" customHeight="1" x14ac:dyDescent="0.3">
      <c r="A564" s="839">
        <v>556</v>
      </c>
      <c r="B564" s="914"/>
      <c r="C564" s="915"/>
      <c r="D564" s="266" t="s">
        <v>233</v>
      </c>
      <c r="E564" s="887"/>
      <c r="F564" s="887"/>
      <c r="G564" s="916"/>
      <c r="H564" s="917"/>
      <c r="I564" s="268">
        <f>SUM(J564:Q564)</f>
        <v>563289</v>
      </c>
      <c r="J564" s="902">
        <f>SUM(J562:J563)</f>
        <v>290209</v>
      </c>
      <c r="K564" s="902">
        <f>SUM(K562:K563)</f>
        <v>53847</v>
      </c>
      <c r="L564" s="902">
        <f>SUM(L562:L563)</f>
        <v>219233</v>
      </c>
      <c r="M564" s="889"/>
      <c r="N564" s="900"/>
    </row>
    <row r="565" spans="1:16" s="891" customFormat="1" ht="22.5" customHeight="1" x14ac:dyDescent="0.3">
      <c r="A565" s="839">
        <v>557</v>
      </c>
      <c r="B565" s="881"/>
      <c r="C565" s="882">
        <v>70</v>
      </c>
      <c r="D565" s="874" t="s">
        <v>642</v>
      </c>
      <c r="E565" s="884"/>
      <c r="F565" s="884">
        <v>180</v>
      </c>
      <c r="G565" s="885">
        <v>45</v>
      </c>
      <c r="H565" s="886" t="s">
        <v>106</v>
      </c>
      <c r="I565" s="887"/>
      <c r="J565" s="888"/>
      <c r="K565" s="888"/>
      <c r="L565" s="888"/>
      <c r="M565" s="888"/>
      <c r="N565" s="890"/>
    </row>
    <row r="566" spans="1:16" s="918" customFormat="1" ht="18" customHeight="1" x14ac:dyDescent="0.3">
      <c r="A566" s="839">
        <v>558</v>
      </c>
      <c r="B566" s="914"/>
      <c r="C566" s="915"/>
      <c r="D566" s="883" t="s">
        <v>230</v>
      </c>
      <c r="E566" s="887"/>
      <c r="F566" s="887"/>
      <c r="G566" s="916"/>
      <c r="H566" s="917"/>
      <c r="I566" s="887">
        <f>SUM(J566:N566)</f>
        <v>180</v>
      </c>
      <c r="J566" s="889"/>
      <c r="K566" s="889"/>
      <c r="L566" s="889">
        <v>180</v>
      </c>
      <c r="M566" s="889"/>
      <c r="N566" s="900"/>
    </row>
    <row r="567" spans="1:16" s="918" customFormat="1" ht="18" customHeight="1" x14ac:dyDescent="0.3">
      <c r="A567" s="839">
        <v>559</v>
      </c>
      <c r="B567" s="914"/>
      <c r="C567" s="915"/>
      <c r="D567" s="266" t="s">
        <v>231</v>
      </c>
      <c r="E567" s="887"/>
      <c r="F567" s="887"/>
      <c r="G567" s="916"/>
      <c r="H567" s="917"/>
      <c r="I567" s="878">
        <f>SUM(J567:N567)</f>
        <v>180</v>
      </c>
      <c r="J567" s="902"/>
      <c r="K567" s="902"/>
      <c r="L567" s="902">
        <v>180</v>
      </c>
      <c r="M567" s="889"/>
      <c r="N567" s="900"/>
    </row>
    <row r="568" spans="1:16" s="918" customFormat="1" ht="18" customHeight="1" x14ac:dyDescent="0.3">
      <c r="A568" s="839">
        <v>560</v>
      </c>
      <c r="B568" s="914"/>
      <c r="C568" s="915"/>
      <c r="D568" s="270" t="s">
        <v>245</v>
      </c>
      <c r="E568" s="887"/>
      <c r="F568" s="887"/>
      <c r="G568" s="916"/>
      <c r="H568" s="917"/>
      <c r="I568" s="272">
        <f>SUM(J568:Q568)</f>
        <v>0</v>
      </c>
      <c r="J568" s="889"/>
      <c r="K568" s="889"/>
      <c r="L568" s="889"/>
      <c r="M568" s="889"/>
      <c r="N568" s="900"/>
    </row>
    <row r="569" spans="1:16" s="918" customFormat="1" ht="18" customHeight="1" x14ac:dyDescent="0.3">
      <c r="A569" s="839">
        <v>561</v>
      </c>
      <c r="B569" s="914"/>
      <c r="C569" s="915"/>
      <c r="D569" s="266" t="s">
        <v>233</v>
      </c>
      <c r="E569" s="887"/>
      <c r="F569" s="887"/>
      <c r="G569" s="916"/>
      <c r="H569" s="917"/>
      <c r="I569" s="268">
        <f>SUM(J569:Q569)</f>
        <v>180</v>
      </c>
      <c r="J569" s="889"/>
      <c r="K569" s="889"/>
      <c r="L569" s="902">
        <f>SUM(L567:L568)</f>
        <v>180</v>
      </c>
      <c r="M569" s="889"/>
      <c r="N569" s="900"/>
    </row>
    <row r="570" spans="1:16" s="840" customFormat="1" ht="22.5" customHeight="1" x14ac:dyDescent="0.3">
      <c r="A570" s="839">
        <v>562</v>
      </c>
      <c r="B570" s="897"/>
      <c r="C570" s="882">
        <v>71</v>
      </c>
      <c r="D570" s="898" t="s">
        <v>643</v>
      </c>
      <c r="E570" s="884">
        <v>8562</v>
      </c>
      <c r="F570" s="884">
        <v>124590</v>
      </c>
      <c r="G570" s="885">
        <v>71148</v>
      </c>
      <c r="H570" s="886" t="s">
        <v>106</v>
      </c>
      <c r="I570" s="887"/>
      <c r="J570" s="888"/>
      <c r="K570" s="888"/>
      <c r="L570" s="888"/>
      <c r="M570" s="888"/>
      <c r="N570" s="890"/>
      <c r="P570" s="891"/>
    </row>
    <row r="571" spans="1:16" s="918" customFormat="1" ht="18" customHeight="1" x14ac:dyDescent="0.3">
      <c r="A571" s="839">
        <v>563</v>
      </c>
      <c r="B571" s="973"/>
      <c r="C571" s="915"/>
      <c r="D571" s="883" t="s">
        <v>230</v>
      </c>
      <c r="E571" s="899"/>
      <c r="F571" s="899"/>
      <c r="G571" s="974"/>
      <c r="H571" s="970"/>
      <c r="I571" s="887">
        <f>SUM(J571:N571)</f>
        <v>90000</v>
      </c>
      <c r="J571" s="975"/>
      <c r="K571" s="975"/>
      <c r="L571" s="975">
        <v>5000</v>
      </c>
      <c r="M571" s="975"/>
      <c r="N571" s="956">
        <f>90000-5000</f>
        <v>85000</v>
      </c>
    </row>
    <row r="572" spans="1:16" s="918" customFormat="1" ht="18" customHeight="1" x14ac:dyDescent="0.3">
      <c r="A572" s="839">
        <v>564</v>
      </c>
      <c r="B572" s="973"/>
      <c r="C572" s="915"/>
      <c r="D572" s="266" t="s">
        <v>231</v>
      </c>
      <c r="E572" s="899"/>
      <c r="F572" s="899"/>
      <c r="G572" s="974"/>
      <c r="H572" s="970"/>
      <c r="I572" s="878">
        <f>SUM(J572:N572)</f>
        <v>984055</v>
      </c>
      <c r="J572" s="892"/>
      <c r="K572" s="892"/>
      <c r="L572" s="892">
        <v>8000</v>
      </c>
      <c r="M572" s="892"/>
      <c r="N572" s="957">
        <f>988505-12450</f>
        <v>976055</v>
      </c>
    </row>
    <row r="573" spans="1:16" s="918" customFormat="1" ht="18" customHeight="1" x14ac:dyDescent="0.3">
      <c r="A573" s="839">
        <v>565</v>
      </c>
      <c r="B573" s="973"/>
      <c r="C573" s="915"/>
      <c r="D573" s="270" t="s">
        <v>232</v>
      </c>
      <c r="E573" s="899"/>
      <c r="F573" s="899"/>
      <c r="G573" s="974"/>
      <c r="H573" s="970"/>
      <c r="I573" s="272">
        <f>SUM(J573:Q573)</f>
        <v>0</v>
      </c>
      <c r="J573" s="975"/>
      <c r="K573" s="975"/>
      <c r="L573" s="894"/>
      <c r="M573" s="975"/>
      <c r="N573" s="895"/>
    </row>
    <row r="574" spans="1:16" s="918" customFormat="1" ht="18" customHeight="1" x14ac:dyDescent="0.3">
      <c r="A574" s="839">
        <v>566</v>
      </c>
      <c r="B574" s="973"/>
      <c r="C574" s="915"/>
      <c r="D574" s="266" t="s">
        <v>233</v>
      </c>
      <c r="E574" s="899"/>
      <c r="F574" s="899"/>
      <c r="G574" s="974"/>
      <c r="H574" s="970"/>
      <c r="I574" s="268">
        <f>SUM(J574:Q574)</f>
        <v>984055</v>
      </c>
      <c r="J574" s="975"/>
      <c r="K574" s="975"/>
      <c r="L574" s="892">
        <f>SUM(L572:L573)</f>
        <v>8000</v>
      </c>
      <c r="M574" s="892"/>
      <c r="N574" s="957">
        <f>SUM(N572:N573)</f>
        <v>976055</v>
      </c>
    </row>
    <row r="575" spans="1:16" s="840" customFormat="1" ht="22.5" customHeight="1" x14ac:dyDescent="0.3">
      <c r="A575" s="839">
        <v>567</v>
      </c>
      <c r="B575" s="897"/>
      <c r="C575" s="882">
        <v>72</v>
      </c>
      <c r="D575" s="898" t="s">
        <v>644</v>
      </c>
      <c r="E575" s="884">
        <v>174608</v>
      </c>
      <c r="F575" s="884">
        <v>183480</v>
      </c>
      <c r="G575" s="885">
        <v>330427</v>
      </c>
      <c r="H575" s="886" t="s">
        <v>106</v>
      </c>
      <c r="I575" s="887"/>
      <c r="J575" s="888"/>
      <c r="K575" s="888"/>
      <c r="L575" s="888"/>
      <c r="M575" s="888"/>
      <c r="N575" s="890"/>
      <c r="P575" s="891"/>
    </row>
    <row r="576" spans="1:16" s="918" customFormat="1" ht="18" customHeight="1" x14ac:dyDescent="0.3">
      <c r="A576" s="839">
        <v>568</v>
      </c>
      <c r="B576" s="914"/>
      <c r="C576" s="915"/>
      <c r="D576" s="883" t="s">
        <v>230</v>
      </c>
      <c r="E576" s="887"/>
      <c r="F576" s="887"/>
      <c r="G576" s="916"/>
      <c r="H576" s="917"/>
      <c r="I576" s="887">
        <f>SUM(J576:N576)</f>
        <v>241986</v>
      </c>
      <c r="J576" s="889"/>
      <c r="K576" s="889"/>
      <c r="L576" s="889">
        <v>241986</v>
      </c>
      <c r="M576" s="889"/>
      <c r="N576" s="900"/>
    </row>
    <row r="577" spans="1:16" s="918" customFormat="1" ht="18" customHeight="1" x14ac:dyDescent="0.3">
      <c r="A577" s="839">
        <v>569</v>
      </c>
      <c r="B577" s="914"/>
      <c r="C577" s="915"/>
      <c r="D577" s="266" t="s">
        <v>231</v>
      </c>
      <c r="E577" s="887"/>
      <c r="F577" s="887"/>
      <c r="G577" s="916"/>
      <c r="H577" s="917"/>
      <c r="I577" s="878">
        <f>SUM(J577:N577)</f>
        <v>1241986</v>
      </c>
      <c r="J577" s="902"/>
      <c r="K577" s="902"/>
      <c r="L577" s="902">
        <v>1241986</v>
      </c>
      <c r="M577" s="889"/>
      <c r="N577" s="900"/>
    </row>
    <row r="578" spans="1:16" s="918" customFormat="1" ht="18" customHeight="1" x14ac:dyDescent="0.3">
      <c r="A578" s="839">
        <v>570</v>
      </c>
      <c r="B578" s="914"/>
      <c r="C578" s="915"/>
      <c r="D578" s="270" t="s">
        <v>287</v>
      </c>
      <c r="E578" s="887"/>
      <c r="F578" s="887"/>
      <c r="G578" s="916"/>
      <c r="H578" s="917"/>
      <c r="I578" s="272">
        <f>SUM(J578:Q578)</f>
        <v>-500000</v>
      </c>
      <c r="J578" s="889"/>
      <c r="K578" s="889"/>
      <c r="L578" s="904">
        <v>-500000</v>
      </c>
      <c r="M578" s="889"/>
      <c r="N578" s="900"/>
    </row>
    <row r="579" spans="1:16" s="918" customFormat="1" ht="18" customHeight="1" x14ac:dyDescent="0.3">
      <c r="A579" s="839">
        <v>571</v>
      </c>
      <c r="B579" s="914"/>
      <c r="C579" s="915"/>
      <c r="D579" s="266" t="s">
        <v>233</v>
      </c>
      <c r="E579" s="887"/>
      <c r="F579" s="887"/>
      <c r="G579" s="916"/>
      <c r="H579" s="917"/>
      <c r="I579" s="268">
        <f>SUM(J579:Q579)</f>
        <v>741986</v>
      </c>
      <c r="J579" s="889"/>
      <c r="K579" s="889"/>
      <c r="L579" s="902">
        <f>SUM(L577:L578)</f>
        <v>741986</v>
      </c>
      <c r="M579" s="889"/>
      <c r="N579" s="900"/>
    </row>
    <row r="580" spans="1:16" s="840" customFormat="1" ht="22.5" customHeight="1" x14ac:dyDescent="0.3">
      <c r="A580" s="839">
        <v>572</v>
      </c>
      <c r="B580" s="897"/>
      <c r="C580" s="882">
        <v>73</v>
      </c>
      <c r="D580" s="898" t="s">
        <v>645</v>
      </c>
      <c r="E580" s="884">
        <v>97363</v>
      </c>
      <c r="F580" s="884">
        <v>296384</v>
      </c>
      <c r="G580" s="885">
        <v>191921</v>
      </c>
      <c r="H580" s="886" t="s">
        <v>296</v>
      </c>
      <c r="I580" s="887"/>
      <c r="J580" s="888"/>
      <c r="K580" s="888"/>
      <c r="L580" s="888"/>
      <c r="M580" s="888"/>
      <c r="N580" s="890"/>
      <c r="P580" s="891"/>
    </row>
    <row r="581" spans="1:16" s="918" customFormat="1" ht="18" customHeight="1" x14ac:dyDescent="0.3">
      <c r="A581" s="839">
        <v>573</v>
      </c>
      <c r="B581" s="914"/>
      <c r="C581" s="915"/>
      <c r="D581" s="883" t="s">
        <v>230</v>
      </c>
      <c r="E581" s="887"/>
      <c r="F581" s="887"/>
      <c r="G581" s="916"/>
      <c r="H581" s="917"/>
      <c r="I581" s="887">
        <f>SUM(J581:N581)</f>
        <v>131877</v>
      </c>
      <c r="J581" s="889"/>
      <c r="K581" s="889"/>
      <c r="L581" s="889">
        <v>131877</v>
      </c>
      <c r="M581" s="889"/>
      <c r="N581" s="900"/>
    </row>
    <row r="582" spans="1:16" s="918" customFormat="1" ht="18" customHeight="1" x14ac:dyDescent="0.3">
      <c r="A582" s="839">
        <v>574</v>
      </c>
      <c r="B582" s="914"/>
      <c r="C582" s="915"/>
      <c r="D582" s="266" t="s">
        <v>231</v>
      </c>
      <c r="E582" s="887"/>
      <c r="F582" s="887"/>
      <c r="G582" s="916"/>
      <c r="H582" s="917"/>
      <c r="I582" s="878">
        <f>SUM(J582:N582)</f>
        <v>131877</v>
      </c>
      <c r="J582" s="902"/>
      <c r="K582" s="902"/>
      <c r="L582" s="902">
        <v>131877</v>
      </c>
      <c r="M582" s="889"/>
      <c r="N582" s="900"/>
    </row>
    <row r="583" spans="1:16" s="918" customFormat="1" ht="18" customHeight="1" x14ac:dyDescent="0.3">
      <c r="A583" s="839">
        <v>575</v>
      </c>
      <c r="B583" s="914"/>
      <c r="C583" s="915"/>
      <c r="D583" s="270" t="s">
        <v>245</v>
      </c>
      <c r="E583" s="887"/>
      <c r="F583" s="887"/>
      <c r="G583" s="916"/>
      <c r="H583" s="917"/>
      <c r="I583" s="272">
        <f>SUM(J583:Q583)</f>
        <v>0</v>
      </c>
      <c r="J583" s="889"/>
      <c r="K583" s="889"/>
      <c r="L583" s="889"/>
      <c r="M583" s="889"/>
      <c r="N583" s="900"/>
    </row>
    <row r="584" spans="1:16" s="918" customFormat="1" ht="18" customHeight="1" x14ac:dyDescent="0.3">
      <c r="A584" s="839">
        <v>576</v>
      </c>
      <c r="B584" s="914"/>
      <c r="C584" s="915"/>
      <c r="D584" s="266" t="s">
        <v>233</v>
      </c>
      <c r="E584" s="887"/>
      <c r="F584" s="887"/>
      <c r="G584" s="916"/>
      <c r="H584" s="917"/>
      <c r="I584" s="268">
        <f>SUM(J584:Q584)</f>
        <v>131877</v>
      </c>
      <c r="J584" s="889"/>
      <c r="K584" s="889"/>
      <c r="L584" s="902">
        <f>SUM(L582:L583)</f>
        <v>131877</v>
      </c>
      <c r="M584" s="889"/>
      <c r="N584" s="900"/>
    </row>
    <row r="585" spans="1:16" s="891" customFormat="1" ht="22.5" customHeight="1" x14ac:dyDescent="0.3">
      <c r="A585" s="839">
        <v>577</v>
      </c>
      <c r="B585" s="881"/>
      <c r="C585" s="882">
        <v>74</v>
      </c>
      <c r="D585" s="874" t="s">
        <v>646</v>
      </c>
      <c r="E585" s="884">
        <v>1667835</v>
      </c>
      <c r="F585" s="884">
        <v>2665054</v>
      </c>
      <c r="G585" s="885">
        <v>2665054</v>
      </c>
      <c r="H585" s="886" t="s">
        <v>106</v>
      </c>
      <c r="I585" s="887"/>
      <c r="J585" s="888"/>
      <c r="K585" s="888"/>
      <c r="L585" s="888"/>
      <c r="M585" s="888"/>
      <c r="N585" s="890"/>
    </row>
    <row r="586" spans="1:16" s="918" customFormat="1" ht="18" customHeight="1" x14ac:dyDescent="0.3">
      <c r="A586" s="839">
        <v>578</v>
      </c>
      <c r="B586" s="914"/>
      <c r="C586" s="915"/>
      <c r="D586" s="883" t="s">
        <v>230</v>
      </c>
      <c r="E586" s="887"/>
      <c r="F586" s="887"/>
      <c r="G586" s="916"/>
      <c r="H586" s="917"/>
      <c r="I586" s="887">
        <f>SUM(J586:N586)</f>
        <v>3487933</v>
      </c>
      <c r="J586" s="889"/>
      <c r="K586" s="889"/>
      <c r="L586" s="889"/>
      <c r="M586" s="889"/>
      <c r="N586" s="900">
        <v>3487933</v>
      </c>
    </row>
    <row r="587" spans="1:16" s="918" customFormat="1" ht="18" customHeight="1" x14ac:dyDescent="0.3">
      <c r="A587" s="839">
        <v>579</v>
      </c>
      <c r="B587" s="914"/>
      <c r="C587" s="915"/>
      <c r="D587" s="266" t="s">
        <v>231</v>
      </c>
      <c r="E587" s="887"/>
      <c r="F587" s="887"/>
      <c r="G587" s="916"/>
      <c r="H587" s="917"/>
      <c r="I587" s="878">
        <f>SUM(J587:N587)</f>
        <v>3487933</v>
      </c>
      <c r="J587" s="902"/>
      <c r="K587" s="902"/>
      <c r="L587" s="902"/>
      <c r="M587" s="902"/>
      <c r="N587" s="903">
        <v>3487933</v>
      </c>
    </row>
    <row r="588" spans="1:16" s="918" customFormat="1" ht="18" customHeight="1" x14ac:dyDescent="0.3">
      <c r="A588" s="839">
        <v>580</v>
      </c>
      <c r="B588" s="914"/>
      <c r="C588" s="915"/>
      <c r="D588" s="270" t="s">
        <v>245</v>
      </c>
      <c r="E588" s="887"/>
      <c r="F588" s="887"/>
      <c r="G588" s="916"/>
      <c r="H588" s="917"/>
      <c r="I588" s="272">
        <f>SUM(J588:Q588)</f>
        <v>0</v>
      </c>
      <c r="J588" s="889"/>
      <c r="K588" s="889"/>
      <c r="L588" s="889"/>
      <c r="M588" s="889"/>
      <c r="N588" s="900"/>
    </row>
    <row r="589" spans="1:16" s="918" customFormat="1" ht="18" customHeight="1" x14ac:dyDescent="0.3">
      <c r="A589" s="839">
        <v>581</v>
      </c>
      <c r="B589" s="914"/>
      <c r="C589" s="915"/>
      <c r="D589" s="266" t="s">
        <v>233</v>
      </c>
      <c r="E589" s="887"/>
      <c r="F589" s="887"/>
      <c r="G589" s="916"/>
      <c r="H589" s="917"/>
      <c r="I589" s="268">
        <f>SUM(J589:Q589)</f>
        <v>3487933</v>
      </c>
      <c r="J589" s="889"/>
      <c r="K589" s="889"/>
      <c r="L589" s="889"/>
      <c r="M589" s="889"/>
      <c r="N589" s="903">
        <f>SUM(N587:N588)</f>
        <v>3487933</v>
      </c>
    </row>
    <row r="590" spans="1:16" s="840" customFormat="1" ht="22.5" customHeight="1" x14ac:dyDescent="0.3">
      <c r="A590" s="839">
        <v>582</v>
      </c>
      <c r="B590" s="897"/>
      <c r="C590" s="882">
        <v>75</v>
      </c>
      <c r="D590" s="898" t="s">
        <v>647</v>
      </c>
      <c r="E590" s="884">
        <v>3000</v>
      </c>
      <c r="F590" s="884">
        <v>2276</v>
      </c>
      <c r="G590" s="885">
        <v>2276</v>
      </c>
      <c r="H590" s="886" t="s">
        <v>296</v>
      </c>
      <c r="I590" s="887"/>
      <c r="J590" s="888"/>
      <c r="K590" s="888"/>
      <c r="L590" s="888"/>
      <c r="M590" s="888"/>
      <c r="N590" s="890"/>
      <c r="P590" s="891"/>
    </row>
    <row r="591" spans="1:16" s="918" customFormat="1" ht="18" customHeight="1" x14ac:dyDescent="0.3">
      <c r="A591" s="839">
        <v>583</v>
      </c>
      <c r="B591" s="914"/>
      <c r="C591" s="915"/>
      <c r="D591" s="883" t="s">
        <v>230</v>
      </c>
      <c r="E591" s="887"/>
      <c r="F591" s="887"/>
      <c r="G591" s="916"/>
      <c r="H591" s="917"/>
      <c r="I591" s="887">
        <f>SUM(J591:N591)</f>
        <v>20000</v>
      </c>
      <c r="J591" s="889"/>
      <c r="K591" s="889"/>
      <c r="L591" s="889"/>
      <c r="M591" s="889"/>
      <c r="N591" s="900">
        <v>20000</v>
      </c>
    </row>
    <row r="592" spans="1:16" s="918" customFormat="1" ht="18" customHeight="1" x14ac:dyDescent="0.3">
      <c r="A592" s="839">
        <v>584</v>
      </c>
      <c r="B592" s="914"/>
      <c r="C592" s="915"/>
      <c r="D592" s="266" t="s">
        <v>231</v>
      </c>
      <c r="E592" s="887"/>
      <c r="F592" s="887"/>
      <c r="G592" s="916"/>
      <c r="H592" s="917"/>
      <c r="I592" s="878">
        <f>SUM(J592:N592)</f>
        <v>18000</v>
      </c>
      <c r="J592" s="902"/>
      <c r="K592" s="902"/>
      <c r="L592" s="902"/>
      <c r="M592" s="902"/>
      <c r="N592" s="903">
        <v>18000</v>
      </c>
    </row>
    <row r="593" spans="1:16" s="918" customFormat="1" ht="18" customHeight="1" x14ac:dyDescent="0.3">
      <c r="A593" s="839">
        <v>585</v>
      </c>
      <c r="B593" s="914"/>
      <c r="C593" s="915"/>
      <c r="D593" s="270" t="s">
        <v>232</v>
      </c>
      <c r="E593" s="887"/>
      <c r="F593" s="887"/>
      <c r="G593" s="916"/>
      <c r="H593" s="917"/>
      <c r="I593" s="272">
        <f>SUM(J593:Q593)</f>
        <v>0</v>
      </c>
      <c r="J593" s="889"/>
      <c r="K593" s="889"/>
      <c r="L593" s="889"/>
      <c r="M593" s="889"/>
      <c r="N593" s="906"/>
    </row>
    <row r="594" spans="1:16" s="918" customFormat="1" ht="18" customHeight="1" x14ac:dyDescent="0.3">
      <c r="A594" s="839">
        <v>586</v>
      </c>
      <c r="B594" s="914"/>
      <c r="C594" s="915"/>
      <c r="D594" s="266" t="s">
        <v>233</v>
      </c>
      <c r="E594" s="887"/>
      <c r="F594" s="887"/>
      <c r="G594" s="916"/>
      <c r="H594" s="917"/>
      <c r="I594" s="268">
        <f>SUM(J594:Q594)</f>
        <v>18000</v>
      </c>
      <c r="J594" s="889"/>
      <c r="K594" s="889"/>
      <c r="L594" s="889"/>
      <c r="M594" s="889"/>
      <c r="N594" s="903">
        <f>SUM(N592:N593)</f>
        <v>18000</v>
      </c>
    </row>
    <row r="595" spans="1:16" s="840" customFormat="1" ht="22.5" customHeight="1" x14ac:dyDescent="0.3">
      <c r="A595" s="839">
        <v>587</v>
      </c>
      <c r="B595" s="897"/>
      <c r="C595" s="882">
        <v>76</v>
      </c>
      <c r="D595" s="898" t="s">
        <v>648</v>
      </c>
      <c r="E595" s="884">
        <v>30000</v>
      </c>
      <c r="F595" s="884">
        <v>20000</v>
      </c>
      <c r="G595" s="885">
        <v>30000</v>
      </c>
      <c r="H595" s="886" t="s">
        <v>296</v>
      </c>
      <c r="I595" s="887"/>
      <c r="J595" s="888"/>
      <c r="K595" s="888"/>
      <c r="L595" s="888"/>
      <c r="M595" s="888"/>
      <c r="N595" s="890"/>
      <c r="P595" s="891"/>
    </row>
    <row r="596" spans="1:16" s="918" customFormat="1" ht="18" customHeight="1" x14ac:dyDescent="0.3">
      <c r="A596" s="839">
        <v>588</v>
      </c>
      <c r="B596" s="914"/>
      <c r="C596" s="915"/>
      <c r="D596" s="883" t="s">
        <v>230</v>
      </c>
      <c r="E596" s="887"/>
      <c r="F596" s="887"/>
      <c r="G596" s="916"/>
      <c r="H596" s="917"/>
      <c r="I596" s="887">
        <f>SUM(J596:N596)</f>
        <v>75000</v>
      </c>
      <c r="J596" s="889"/>
      <c r="K596" s="889"/>
      <c r="L596" s="889"/>
      <c r="M596" s="889"/>
      <c r="N596" s="900">
        <v>75000</v>
      </c>
    </row>
    <row r="597" spans="1:16" s="918" customFormat="1" ht="18" customHeight="1" x14ac:dyDescent="0.3">
      <c r="A597" s="839">
        <v>589</v>
      </c>
      <c r="B597" s="914"/>
      <c r="C597" s="915"/>
      <c r="D597" s="266" t="s">
        <v>231</v>
      </c>
      <c r="E597" s="887"/>
      <c r="F597" s="887"/>
      <c r="G597" s="916"/>
      <c r="H597" s="917"/>
      <c r="I597" s="878">
        <f>SUM(J597:N597)</f>
        <v>75000</v>
      </c>
      <c r="J597" s="902"/>
      <c r="K597" s="902"/>
      <c r="L597" s="902"/>
      <c r="M597" s="902"/>
      <c r="N597" s="903">
        <v>75000</v>
      </c>
    </row>
    <row r="598" spans="1:16" s="918" customFormat="1" ht="18" customHeight="1" x14ac:dyDescent="0.3">
      <c r="A598" s="839">
        <v>590</v>
      </c>
      <c r="B598" s="914"/>
      <c r="C598" s="915"/>
      <c r="D598" s="270" t="s">
        <v>245</v>
      </c>
      <c r="E598" s="887"/>
      <c r="F598" s="887"/>
      <c r="G598" s="916"/>
      <c r="H598" s="917"/>
      <c r="I598" s="272">
        <f>SUM(J598:Q598)</f>
        <v>0</v>
      </c>
      <c r="J598" s="889"/>
      <c r="K598" s="889"/>
      <c r="L598" s="889"/>
      <c r="M598" s="889"/>
      <c r="N598" s="900"/>
    </row>
    <row r="599" spans="1:16" s="918" customFormat="1" ht="18" customHeight="1" x14ac:dyDescent="0.3">
      <c r="A599" s="839">
        <v>591</v>
      </c>
      <c r="B599" s="914"/>
      <c r="C599" s="915"/>
      <c r="D599" s="266" t="s">
        <v>233</v>
      </c>
      <c r="E599" s="887"/>
      <c r="F599" s="887"/>
      <c r="G599" s="916"/>
      <c r="H599" s="917"/>
      <c r="I599" s="268">
        <f>SUM(J599:Q599)</f>
        <v>75000</v>
      </c>
      <c r="J599" s="889"/>
      <c r="K599" s="889"/>
      <c r="L599" s="889"/>
      <c r="M599" s="889"/>
      <c r="N599" s="903">
        <f>SUM(N597:N598)</f>
        <v>75000</v>
      </c>
    </row>
    <row r="600" spans="1:16" s="840" customFormat="1" ht="22.5" customHeight="1" x14ac:dyDescent="0.3">
      <c r="A600" s="839">
        <v>592</v>
      </c>
      <c r="B600" s="897"/>
      <c r="C600" s="882">
        <v>77</v>
      </c>
      <c r="D600" s="898" t="s">
        <v>20</v>
      </c>
      <c r="E600" s="884">
        <v>50000</v>
      </c>
      <c r="F600" s="884">
        <v>20000</v>
      </c>
      <c r="G600" s="885">
        <v>110364</v>
      </c>
      <c r="H600" s="886" t="s">
        <v>296</v>
      </c>
      <c r="I600" s="887"/>
      <c r="J600" s="888"/>
      <c r="K600" s="888"/>
      <c r="L600" s="888"/>
      <c r="M600" s="888"/>
      <c r="N600" s="890"/>
      <c r="P600" s="891"/>
    </row>
    <row r="601" spans="1:16" s="840" customFormat="1" ht="19.5" customHeight="1" x14ac:dyDescent="0.3">
      <c r="A601" s="839">
        <v>593</v>
      </c>
      <c r="B601" s="897"/>
      <c r="C601" s="882"/>
      <c r="D601" s="883" t="s">
        <v>230</v>
      </c>
      <c r="E601" s="884"/>
      <c r="F601" s="884"/>
      <c r="G601" s="885"/>
      <c r="H601" s="886"/>
      <c r="I601" s="887">
        <f>SUM(J601:N601)</f>
        <v>135364</v>
      </c>
      <c r="J601" s="888"/>
      <c r="K601" s="888"/>
      <c r="L601" s="888"/>
      <c r="M601" s="888"/>
      <c r="N601" s="900">
        <f>125364+10000</f>
        <v>135364</v>
      </c>
      <c r="P601" s="891"/>
    </row>
    <row r="602" spans="1:16" s="840" customFormat="1" ht="19.5" customHeight="1" x14ac:dyDescent="0.3">
      <c r="A602" s="839">
        <v>594</v>
      </c>
      <c r="B602" s="897"/>
      <c r="C602" s="882"/>
      <c r="D602" s="266" t="s">
        <v>231</v>
      </c>
      <c r="E602" s="884"/>
      <c r="F602" s="884"/>
      <c r="G602" s="885"/>
      <c r="H602" s="886"/>
      <c r="I602" s="878">
        <f>SUM(J602:N602)</f>
        <v>135364</v>
      </c>
      <c r="J602" s="901"/>
      <c r="K602" s="901"/>
      <c r="L602" s="901"/>
      <c r="M602" s="901"/>
      <c r="N602" s="903">
        <v>135364</v>
      </c>
      <c r="P602" s="891"/>
    </row>
    <row r="603" spans="1:16" s="840" customFormat="1" ht="19.5" customHeight="1" x14ac:dyDescent="0.3">
      <c r="A603" s="839">
        <v>595</v>
      </c>
      <c r="B603" s="897"/>
      <c r="C603" s="882"/>
      <c r="D603" s="270" t="s">
        <v>287</v>
      </c>
      <c r="E603" s="884"/>
      <c r="F603" s="884"/>
      <c r="G603" s="885"/>
      <c r="H603" s="886"/>
      <c r="I603" s="272">
        <f>SUM(J603:Q603)</f>
        <v>83000</v>
      </c>
      <c r="J603" s="888"/>
      <c r="K603" s="888"/>
      <c r="L603" s="888"/>
      <c r="M603" s="888"/>
      <c r="N603" s="906">
        <v>83000</v>
      </c>
      <c r="P603" s="891"/>
    </row>
    <row r="604" spans="1:16" s="840" customFormat="1" ht="19.5" customHeight="1" x14ac:dyDescent="0.3">
      <c r="A604" s="839">
        <v>596</v>
      </c>
      <c r="B604" s="897"/>
      <c r="C604" s="882"/>
      <c r="D604" s="266" t="s">
        <v>233</v>
      </c>
      <c r="E604" s="884"/>
      <c r="F604" s="884"/>
      <c r="G604" s="885"/>
      <c r="H604" s="886"/>
      <c r="I604" s="268">
        <f>SUM(J604:Q604)</f>
        <v>218364</v>
      </c>
      <c r="J604" s="888"/>
      <c r="K604" s="888"/>
      <c r="L604" s="888"/>
      <c r="M604" s="888"/>
      <c r="N604" s="903">
        <f>SUM(N602:N603)</f>
        <v>218364</v>
      </c>
      <c r="P604" s="891"/>
    </row>
    <row r="605" spans="1:16" s="840" customFormat="1" ht="22.5" customHeight="1" x14ac:dyDescent="0.3">
      <c r="A605" s="839">
        <v>597</v>
      </c>
      <c r="B605" s="897"/>
      <c r="C605" s="882">
        <v>78</v>
      </c>
      <c r="D605" s="898" t="s">
        <v>649</v>
      </c>
      <c r="E605" s="884"/>
      <c r="F605" s="884"/>
      <c r="G605" s="885">
        <v>15576</v>
      </c>
      <c r="H605" s="886" t="s">
        <v>296</v>
      </c>
      <c r="I605" s="887"/>
      <c r="J605" s="888"/>
      <c r="K605" s="888"/>
      <c r="L605" s="888"/>
      <c r="M605" s="888"/>
      <c r="N605" s="890"/>
      <c r="P605" s="891"/>
    </row>
    <row r="606" spans="1:16" s="840" customFormat="1" ht="18" customHeight="1" x14ac:dyDescent="0.3">
      <c r="A606" s="839">
        <v>598</v>
      </c>
      <c r="B606" s="897"/>
      <c r="C606" s="882"/>
      <c r="D606" s="883" t="s">
        <v>230</v>
      </c>
      <c r="E606" s="884"/>
      <c r="F606" s="884"/>
      <c r="G606" s="885"/>
      <c r="H606" s="886"/>
      <c r="I606" s="887">
        <f>SUM(J606:N606)</f>
        <v>336000</v>
      </c>
      <c r="J606" s="888"/>
      <c r="K606" s="888"/>
      <c r="L606" s="889">
        <v>336000</v>
      </c>
      <c r="M606" s="888"/>
      <c r="N606" s="890"/>
      <c r="P606" s="891"/>
    </row>
    <row r="607" spans="1:16" s="840" customFormat="1" ht="18" customHeight="1" x14ac:dyDescent="0.3">
      <c r="A607" s="839">
        <v>599</v>
      </c>
      <c r="B607" s="897"/>
      <c r="C607" s="882"/>
      <c r="D607" s="266" t="s">
        <v>231</v>
      </c>
      <c r="E607" s="884"/>
      <c r="F607" s="884"/>
      <c r="G607" s="885"/>
      <c r="H607" s="886"/>
      <c r="I607" s="878">
        <f>SUM(J607:N607)</f>
        <v>336011</v>
      </c>
      <c r="J607" s="901"/>
      <c r="K607" s="901"/>
      <c r="L607" s="902">
        <v>336011</v>
      </c>
      <c r="M607" s="888"/>
      <c r="N607" s="890"/>
      <c r="P607" s="891"/>
    </row>
    <row r="608" spans="1:16" s="840" customFormat="1" ht="30.75" customHeight="1" x14ac:dyDescent="0.3">
      <c r="A608" s="839">
        <v>600</v>
      </c>
      <c r="B608" s="897"/>
      <c r="C608" s="882"/>
      <c r="D608" s="1925" t="s">
        <v>1100</v>
      </c>
      <c r="E608" s="884"/>
      <c r="F608" s="884"/>
      <c r="G608" s="885"/>
      <c r="H608" s="886"/>
      <c r="I608" s="272">
        <f>SUM(J608:Q608)</f>
        <v>-236419</v>
      </c>
      <c r="J608" s="888"/>
      <c r="K608" s="888"/>
      <c r="L608" s="904">
        <f>-201293-35126</f>
        <v>-236419</v>
      </c>
      <c r="M608" s="888"/>
      <c r="N608" s="890"/>
      <c r="P608" s="891"/>
    </row>
    <row r="609" spans="1:16" s="840" customFormat="1" ht="18" customHeight="1" x14ac:dyDescent="0.3">
      <c r="A609" s="839">
        <v>601</v>
      </c>
      <c r="B609" s="897"/>
      <c r="C609" s="882"/>
      <c r="D609" s="266" t="s">
        <v>233</v>
      </c>
      <c r="E609" s="884"/>
      <c r="F609" s="884"/>
      <c r="G609" s="885"/>
      <c r="H609" s="886"/>
      <c r="I609" s="268">
        <f>SUM(J609:Q609)</f>
        <v>99592</v>
      </c>
      <c r="J609" s="888"/>
      <c r="K609" s="888"/>
      <c r="L609" s="902">
        <f>SUM(L607:L608)</f>
        <v>99592</v>
      </c>
      <c r="M609" s="888"/>
      <c r="N609" s="890"/>
      <c r="P609" s="891"/>
    </row>
    <row r="610" spans="1:16" s="840" customFormat="1" ht="22.5" customHeight="1" x14ac:dyDescent="0.3">
      <c r="A610" s="839">
        <v>602</v>
      </c>
      <c r="B610" s="897"/>
      <c r="C610" s="882">
        <v>79</v>
      </c>
      <c r="D610" s="898" t="s">
        <v>650</v>
      </c>
      <c r="E610" s="884">
        <v>22000</v>
      </c>
      <c r="F610" s="884">
        <v>22000</v>
      </c>
      <c r="G610" s="885">
        <v>22000</v>
      </c>
      <c r="H610" s="886" t="s">
        <v>296</v>
      </c>
      <c r="I610" s="887"/>
      <c r="J610" s="888"/>
      <c r="K610" s="888"/>
      <c r="L610" s="888"/>
      <c r="M610" s="888"/>
      <c r="N610" s="890"/>
      <c r="P610" s="891"/>
    </row>
    <row r="611" spans="1:16" s="918" customFormat="1" ht="18" customHeight="1" x14ac:dyDescent="0.3">
      <c r="A611" s="839">
        <v>603</v>
      </c>
      <c r="B611" s="914"/>
      <c r="C611" s="915"/>
      <c r="D611" s="883" t="s">
        <v>230</v>
      </c>
      <c r="E611" s="887"/>
      <c r="F611" s="887"/>
      <c r="G611" s="916"/>
      <c r="H611" s="917"/>
      <c r="I611" s="887">
        <f>SUM(J611:N611)</f>
        <v>38913</v>
      </c>
      <c r="J611" s="889"/>
      <c r="K611" s="889"/>
      <c r="L611" s="889">
        <f>38500+413</f>
        <v>38913</v>
      </c>
      <c r="M611" s="889"/>
      <c r="N611" s="900"/>
    </row>
    <row r="612" spans="1:16" s="918" customFormat="1" ht="18" customHeight="1" x14ac:dyDescent="0.3">
      <c r="A612" s="839">
        <v>604</v>
      </c>
      <c r="B612" s="914"/>
      <c r="C612" s="915"/>
      <c r="D612" s="266" t="s">
        <v>231</v>
      </c>
      <c r="E612" s="887"/>
      <c r="F612" s="887"/>
      <c r="G612" s="916"/>
      <c r="H612" s="917"/>
      <c r="I612" s="878">
        <f>SUM(J612:N612)</f>
        <v>38913</v>
      </c>
      <c r="J612" s="902"/>
      <c r="K612" s="902"/>
      <c r="L612" s="902">
        <v>38913</v>
      </c>
      <c r="M612" s="889"/>
      <c r="N612" s="900"/>
    </row>
    <row r="613" spans="1:16" s="918" customFormat="1" ht="18" customHeight="1" x14ac:dyDescent="0.3">
      <c r="A613" s="839">
        <v>605</v>
      </c>
      <c r="B613" s="914"/>
      <c r="C613" s="915"/>
      <c r="D613" s="270" t="s">
        <v>245</v>
      </c>
      <c r="E613" s="887"/>
      <c r="F613" s="887"/>
      <c r="G613" s="916"/>
      <c r="H613" s="917"/>
      <c r="I613" s="272">
        <f>SUM(J613:Q613)</f>
        <v>0</v>
      </c>
      <c r="J613" s="889"/>
      <c r="K613" s="889"/>
      <c r="L613" s="889"/>
      <c r="M613" s="889"/>
      <c r="N613" s="900"/>
    </row>
    <row r="614" spans="1:16" s="918" customFormat="1" ht="18" customHeight="1" x14ac:dyDescent="0.3">
      <c r="A614" s="839">
        <v>606</v>
      </c>
      <c r="B614" s="914"/>
      <c r="C614" s="915"/>
      <c r="D614" s="266" t="s">
        <v>233</v>
      </c>
      <c r="E614" s="887"/>
      <c r="F614" s="887"/>
      <c r="G614" s="916"/>
      <c r="H614" s="917"/>
      <c r="I614" s="268">
        <f>SUM(J614:Q614)</f>
        <v>38913</v>
      </c>
      <c r="J614" s="889"/>
      <c r="K614" s="889"/>
      <c r="L614" s="902">
        <f>SUM(L612:L613)</f>
        <v>38913</v>
      </c>
      <c r="M614" s="889"/>
      <c r="N614" s="900"/>
    </row>
    <row r="615" spans="1:16" s="840" customFormat="1" ht="22.5" customHeight="1" x14ac:dyDescent="0.3">
      <c r="A615" s="839">
        <v>607</v>
      </c>
      <c r="B615" s="897"/>
      <c r="C615" s="882">
        <v>80</v>
      </c>
      <c r="D615" s="898" t="s">
        <v>651</v>
      </c>
      <c r="E615" s="884">
        <v>3175</v>
      </c>
      <c r="F615" s="884"/>
      <c r="G615" s="885"/>
      <c r="H615" s="886" t="s">
        <v>296</v>
      </c>
      <c r="I615" s="887"/>
      <c r="J615" s="888"/>
      <c r="K615" s="888"/>
      <c r="L615" s="888"/>
      <c r="M615" s="888"/>
      <c r="N615" s="890"/>
      <c r="P615" s="891"/>
    </row>
    <row r="616" spans="1:16" s="840" customFormat="1" ht="22.5" customHeight="1" x14ac:dyDescent="0.3">
      <c r="A616" s="839">
        <v>608</v>
      </c>
      <c r="B616" s="897"/>
      <c r="C616" s="882">
        <v>81</v>
      </c>
      <c r="D616" s="898" t="s">
        <v>652</v>
      </c>
      <c r="E616" s="884"/>
      <c r="F616" s="884"/>
      <c r="G616" s="885"/>
      <c r="H616" s="886" t="s">
        <v>296</v>
      </c>
      <c r="I616" s="887"/>
      <c r="J616" s="888"/>
      <c r="K616" s="888"/>
      <c r="L616" s="888"/>
      <c r="M616" s="888"/>
      <c r="N616" s="890"/>
      <c r="P616" s="891"/>
    </row>
    <row r="617" spans="1:16" s="840" customFormat="1" ht="18" customHeight="1" x14ac:dyDescent="0.3">
      <c r="A617" s="839">
        <v>609</v>
      </c>
      <c r="B617" s="897"/>
      <c r="C617" s="882"/>
      <c r="D617" s="883" t="s">
        <v>230</v>
      </c>
      <c r="E617" s="884"/>
      <c r="F617" s="884"/>
      <c r="G617" s="885"/>
      <c r="H617" s="886"/>
      <c r="I617" s="887">
        <f>SUM(J617:N617)</f>
        <v>102870</v>
      </c>
      <c r="J617" s="888"/>
      <c r="K617" s="888"/>
      <c r="L617" s="889">
        <v>102870</v>
      </c>
      <c r="M617" s="888"/>
      <c r="N617" s="890"/>
      <c r="P617" s="891"/>
    </row>
    <row r="618" spans="1:16" s="840" customFormat="1" ht="18" customHeight="1" x14ac:dyDescent="0.3">
      <c r="A618" s="839">
        <v>610</v>
      </c>
      <c r="B618" s="897"/>
      <c r="C618" s="882"/>
      <c r="D618" s="266" t="s">
        <v>231</v>
      </c>
      <c r="E618" s="884"/>
      <c r="F618" s="884"/>
      <c r="G618" s="885"/>
      <c r="H618" s="886"/>
      <c r="I618" s="878">
        <f>SUM(J618:N618)</f>
        <v>25631</v>
      </c>
      <c r="J618" s="901"/>
      <c r="K618" s="901"/>
      <c r="L618" s="902">
        <v>25631</v>
      </c>
      <c r="M618" s="888"/>
      <c r="N618" s="890"/>
      <c r="P618" s="891"/>
    </row>
    <row r="619" spans="1:16" s="840" customFormat="1" ht="18" customHeight="1" x14ac:dyDescent="0.3">
      <c r="A619" s="839">
        <v>611</v>
      </c>
      <c r="B619" s="897"/>
      <c r="C619" s="882"/>
      <c r="D619" s="270" t="s">
        <v>232</v>
      </c>
      <c r="E619" s="884"/>
      <c r="F619" s="884"/>
      <c r="G619" s="885"/>
      <c r="H619" s="886"/>
      <c r="I619" s="272">
        <f>SUM(J619:Q619)</f>
        <v>0</v>
      </c>
      <c r="J619" s="888"/>
      <c r="K619" s="888"/>
      <c r="L619" s="904"/>
      <c r="M619" s="888"/>
      <c r="N619" s="890"/>
      <c r="P619" s="891"/>
    </row>
    <row r="620" spans="1:16" s="840" customFormat="1" ht="18" customHeight="1" x14ac:dyDescent="0.3">
      <c r="A620" s="839">
        <v>612</v>
      </c>
      <c r="B620" s="897"/>
      <c r="C620" s="882"/>
      <c r="D620" s="266" t="s">
        <v>233</v>
      </c>
      <c r="E620" s="884"/>
      <c r="F620" s="884"/>
      <c r="G620" s="885"/>
      <c r="H620" s="886"/>
      <c r="I620" s="268">
        <f>SUM(J620:Q620)</f>
        <v>25631</v>
      </c>
      <c r="J620" s="888"/>
      <c r="K620" s="888"/>
      <c r="L620" s="902">
        <f>SUM(L618:L619)</f>
        <v>25631</v>
      </c>
      <c r="M620" s="888"/>
      <c r="N620" s="890"/>
      <c r="P620" s="891"/>
    </row>
    <row r="621" spans="1:16" s="840" customFormat="1" ht="22.5" customHeight="1" x14ac:dyDescent="0.3">
      <c r="A621" s="839">
        <v>613</v>
      </c>
      <c r="B621" s="897"/>
      <c r="C621" s="882">
        <v>82</v>
      </c>
      <c r="D621" s="898" t="s">
        <v>653</v>
      </c>
      <c r="E621" s="884">
        <v>65000</v>
      </c>
      <c r="F621" s="884">
        <v>30000</v>
      </c>
      <c r="G621" s="885">
        <v>95000</v>
      </c>
      <c r="H621" s="886" t="s">
        <v>296</v>
      </c>
      <c r="I621" s="887"/>
      <c r="J621" s="888"/>
      <c r="K621" s="888"/>
      <c r="L621" s="888"/>
      <c r="M621" s="888"/>
      <c r="N621" s="890"/>
      <c r="P621" s="891"/>
    </row>
    <row r="622" spans="1:16" s="918" customFormat="1" ht="18" customHeight="1" x14ac:dyDescent="0.3">
      <c r="A622" s="839">
        <v>614</v>
      </c>
      <c r="B622" s="914"/>
      <c r="C622" s="915"/>
      <c r="D622" s="883" t="s">
        <v>230</v>
      </c>
      <c r="E622" s="887"/>
      <c r="F622" s="887"/>
      <c r="G622" s="916"/>
      <c r="H622" s="917"/>
      <c r="I622" s="887">
        <f>SUM(J622:N622)</f>
        <v>140200</v>
      </c>
      <c r="J622" s="889"/>
      <c r="K622" s="889"/>
      <c r="L622" s="889"/>
      <c r="M622" s="889"/>
      <c r="N622" s="900">
        <v>140200</v>
      </c>
    </row>
    <row r="623" spans="1:16" s="918" customFormat="1" ht="18" customHeight="1" x14ac:dyDescent="0.3">
      <c r="A623" s="839">
        <v>615</v>
      </c>
      <c r="B623" s="914"/>
      <c r="C623" s="915"/>
      <c r="D623" s="266" t="s">
        <v>231</v>
      </c>
      <c r="E623" s="887"/>
      <c r="F623" s="887"/>
      <c r="G623" s="916"/>
      <c r="H623" s="917"/>
      <c r="I623" s="878">
        <f>SUM(J623:N623)</f>
        <v>140200</v>
      </c>
      <c r="J623" s="902"/>
      <c r="K623" s="902"/>
      <c r="L623" s="902"/>
      <c r="M623" s="902"/>
      <c r="N623" s="903">
        <v>140200</v>
      </c>
    </row>
    <row r="624" spans="1:16" s="918" customFormat="1" ht="18" customHeight="1" x14ac:dyDescent="0.3">
      <c r="A624" s="839">
        <v>616</v>
      </c>
      <c r="B624" s="914"/>
      <c r="C624" s="915"/>
      <c r="D624" s="270" t="s">
        <v>245</v>
      </c>
      <c r="E624" s="887"/>
      <c r="F624" s="887"/>
      <c r="G624" s="916"/>
      <c r="H624" s="917"/>
      <c r="I624" s="272">
        <f>SUM(J624:Q624)</f>
        <v>0</v>
      </c>
      <c r="J624" s="889"/>
      <c r="K624" s="889"/>
      <c r="L624" s="889"/>
      <c r="M624" s="889"/>
      <c r="N624" s="900"/>
    </row>
    <row r="625" spans="1:16" s="918" customFormat="1" ht="18" customHeight="1" x14ac:dyDescent="0.3">
      <c r="A625" s="839">
        <v>617</v>
      </c>
      <c r="B625" s="914"/>
      <c r="C625" s="915"/>
      <c r="D625" s="266" t="s">
        <v>233</v>
      </c>
      <c r="E625" s="887"/>
      <c r="F625" s="887"/>
      <c r="G625" s="916"/>
      <c r="H625" s="917"/>
      <c r="I625" s="268">
        <f>SUM(J625:Q625)</f>
        <v>140200</v>
      </c>
      <c r="J625" s="889"/>
      <c r="K625" s="889"/>
      <c r="L625" s="889"/>
      <c r="M625" s="889"/>
      <c r="N625" s="903">
        <f>SUM(N623:N624)</f>
        <v>140200</v>
      </c>
    </row>
    <row r="626" spans="1:16" s="840" customFormat="1" ht="32.25" customHeight="1" x14ac:dyDescent="0.3">
      <c r="A626" s="839">
        <v>618</v>
      </c>
      <c r="B626" s="897"/>
      <c r="C626" s="976">
        <v>83</v>
      </c>
      <c r="D626" s="874" t="s">
        <v>654</v>
      </c>
      <c r="E626" s="884">
        <v>32505</v>
      </c>
      <c r="F626" s="884">
        <v>39748</v>
      </c>
      <c r="G626" s="885">
        <v>17785</v>
      </c>
      <c r="H626" s="886" t="s">
        <v>296</v>
      </c>
      <c r="I626" s="887"/>
      <c r="J626" s="888"/>
      <c r="K626" s="888"/>
      <c r="L626" s="888"/>
      <c r="M626" s="888"/>
      <c r="N626" s="900"/>
      <c r="P626" s="891"/>
    </row>
    <row r="627" spans="1:16" s="918" customFormat="1" ht="18" customHeight="1" x14ac:dyDescent="0.3">
      <c r="A627" s="839">
        <v>619</v>
      </c>
      <c r="B627" s="914"/>
      <c r="C627" s="915"/>
      <c r="D627" s="883" t="s">
        <v>230</v>
      </c>
      <c r="E627" s="887"/>
      <c r="F627" s="887"/>
      <c r="G627" s="916"/>
      <c r="H627" s="917"/>
      <c r="I627" s="887">
        <f>SUM(J627:N627)</f>
        <v>61213</v>
      </c>
      <c r="J627" s="889"/>
      <c r="K627" s="889"/>
      <c r="L627" s="889">
        <f>42250+18963</f>
        <v>61213</v>
      </c>
      <c r="M627" s="889"/>
      <c r="N627" s="900"/>
    </row>
    <row r="628" spans="1:16" s="918" customFormat="1" ht="18" customHeight="1" x14ac:dyDescent="0.3">
      <c r="A628" s="839">
        <v>620</v>
      </c>
      <c r="B628" s="914"/>
      <c r="C628" s="915"/>
      <c r="D628" s="266" t="s">
        <v>231</v>
      </c>
      <c r="E628" s="887"/>
      <c r="F628" s="887"/>
      <c r="G628" s="916"/>
      <c r="H628" s="917"/>
      <c r="I628" s="878">
        <f>SUM(J628:N628)</f>
        <v>59013</v>
      </c>
      <c r="J628" s="902"/>
      <c r="K628" s="902"/>
      <c r="L628" s="902">
        <v>59013</v>
      </c>
      <c r="M628" s="889"/>
      <c r="N628" s="900"/>
    </row>
    <row r="629" spans="1:16" s="918" customFormat="1" ht="18" customHeight="1" x14ac:dyDescent="0.3">
      <c r="A629" s="839">
        <v>621</v>
      </c>
      <c r="B629" s="914"/>
      <c r="C629" s="915"/>
      <c r="D629" s="270" t="s">
        <v>232</v>
      </c>
      <c r="E629" s="887"/>
      <c r="F629" s="887"/>
      <c r="G629" s="916"/>
      <c r="H629" s="917"/>
      <c r="I629" s="272">
        <f>SUM(J629:Q629)</f>
        <v>0</v>
      </c>
      <c r="J629" s="889"/>
      <c r="K629" s="889"/>
      <c r="L629" s="904"/>
      <c r="M629" s="889"/>
      <c r="N629" s="900"/>
    </row>
    <row r="630" spans="1:16" s="918" customFormat="1" ht="18" customHeight="1" x14ac:dyDescent="0.3">
      <c r="A630" s="839">
        <v>622</v>
      </c>
      <c r="B630" s="914"/>
      <c r="C630" s="915"/>
      <c r="D630" s="266" t="s">
        <v>233</v>
      </c>
      <c r="E630" s="887"/>
      <c r="F630" s="887"/>
      <c r="G630" s="916"/>
      <c r="H630" s="917"/>
      <c r="I630" s="268">
        <f>SUM(J630:Q630)</f>
        <v>59013</v>
      </c>
      <c r="J630" s="889"/>
      <c r="K630" s="889"/>
      <c r="L630" s="902">
        <f>SUM(L628:L629)</f>
        <v>59013</v>
      </c>
      <c r="M630" s="889"/>
      <c r="N630" s="900"/>
    </row>
    <row r="631" spans="1:16" s="891" customFormat="1" ht="22.5" customHeight="1" x14ac:dyDescent="0.3">
      <c r="A631" s="839">
        <v>623</v>
      </c>
      <c r="B631" s="881"/>
      <c r="C631" s="882">
        <v>84</v>
      </c>
      <c r="D631" s="874" t="s">
        <v>655</v>
      </c>
      <c r="E631" s="884"/>
      <c r="F631" s="884"/>
      <c r="G631" s="885"/>
      <c r="H631" s="886" t="s">
        <v>296</v>
      </c>
      <c r="I631" s="887"/>
      <c r="J631" s="888"/>
      <c r="K631" s="888"/>
      <c r="L631" s="888"/>
      <c r="M631" s="888"/>
      <c r="N631" s="890"/>
    </row>
    <row r="632" spans="1:16" s="891" customFormat="1" ht="18" customHeight="1" x14ac:dyDescent="0.3">
      <c r="A632" s="839">
        <v>624</v>
      </c>
      <c r="B632" s="881"/>
      <c r="C632" s="882"/>
      <c r="D632" s="883" t="s">
        <v>230</v>
      </c>
      <c r="E632" s="884"/>
      <c r="F632" s="884"/>
      <c r="G632" s="885"/>
      <c r="H632" s="877"/>
      <c r="I632" s="887">
        <f>SUM(J632:N632)</f>
        <v>7500</v>
      </c>
      <c r="J632" s="888"/>
      <c r="K632" s="888"/>
      <c r="L632" s="888"/>
      <c r="M632" s="888"/>
      <c r="N632" s="900">
        <v>7500</v>
      </c>
    </row>
    <row r="633" spans="1:16" s="891" customFormat="1" ht="18" customHeight="1" x14ac:dyDescent="0.3">
      <c r="A633" s="839">
        <v>625</v>
      </c>
      <c r="B633" s="881"/>
      <c r="C633" s="882"/>
      <c r="D633" s="266" t="s">
        <v>231</v>
      </c>
      <c r="E633" s="884"/>
      <c r="F633" s="884"/>
      <c r="G633" s="885"/>
      <c r="H633" s="877"/>
      <c r="I633" s="878">
        <f>SUM(J633:N633)</f>
        <v>6620</v>
      </c>
      <c r="J633" s="901"/>
      <c r="K633" s="901"/>
      <c r="L633" s="901"/>
      <c r="M633" s="901"/>
      <c r="N633" s="903">
        <v>6620</v>
      </c>
    </row>
    <row r="634" spans="1:16" s="891" customFormat="1" ht="18" customHeight="1" x14ac:dyDescent="0.3">
      <c r="A634" s="839">
        <v>626</v>
      </c>
      <c r="B634" s="881"/>
      <c r="C634" s="882"/>
      <c r="D634" s="270" t="s">
        <v>232</v>
      </c>
      <c r="E634" s="884"/>
      <c r="F634" s="884"/>
      <c r="G634" s="885"/>
      <c r="H634" s="877"/>
      <c r="I634" s="272">
        <f>SUM(J634:Q634)</f>
        <v>0</v>
      </c>
      <c r="J634" s="888"/>
      <c r="K634" s="888"/>
      <c r="L634" s="888"/>
      <c r="M634" s="888"/>
      <c r="N634" s="906"/>
    </row>
    <row r="635" spans="1:16" s="891" customFormat="1" ht="18" customHeight="1" x14ac:dyDescent="0.3">
      <c r="A635" s="839">
        <v>627</v>
      </c>
      <c r="B635" s="881"/>
      <c r="C635" s="882"/>
      <c r="D635" s="266" t="s">
        <v>233</v>
      </c>
      <c r="E635" s="884"/>
      <c r="F635" s="884"/>
      <c r="G635" s="885"/>
      <c r="H635" s="877"/>
      <c r="I635" s="268">
        <f>SUM(J635:Q635)</f>
        <v>6620</v>
      </c>
      <c r="J635" s="888"/>
      <c r="K635" s="888"/>
      <c r="L635" s="888"/>
      <c r="M635" s="888"/>
      <c r="N635" s="903">
        <f>SUM(N633:N634)</f>
        <v>6620</v>
      </c>
    </row>
    <row r="636" spans="1:16" s="891" customFormat="1" ht="22.5" customHeight="1" x14ac:dyDescent="0.3">
      <c r="A636" s="839">
        <v>628</v>
      </c>
      <c r="B636" s="881"/>
      <c r="C636" s="882">
        <v>85</v>
      </c>
      <c r="D636" s="898" t="s">
        <v>656</v>
      </c>
      <c r="E636" s="884"/>
      <c r="F636" s="884"/>
      <c r="G636" s="885"/>
      <c r="H636" s="877" t="s">
        <v>296</v>
      </c>
      <c r="I636" s="907"/>
      <c r="J636" s="908"/>
      <c r="K636" s="908"/>
      <c r="L636" s="908"/>
      <c r="M636" s="908"/>
      <c r="N636" s="909"/>
    </row>
    <row r="637" spans="1:16" s="891" customFormat="1" ht="18" customHeight="1" x14ac:dyDescent="0.3">
      <c r="A637" s="839">
        <v>629</v>
      </c>
      <c r="B637" s="881"/>
      <c r="C637" s="882"/>
      <c r="D637" s="883" t="s">
        <v>230</v>
      </c>
      <c r="E637" s="884"/>
      <c r="F637" s="884"/>
      <c r="G637" s="885"/>
      <c r="H637" s="877"/>
      <c r="I637" s="887">
        <f>SUM(J637:N637)</f>
        <v>11000</v>
      </c>
      <c r="J637" s="908"/>
      <c r="K637" s="908"/>
      <c r="L637" s="908"/>
      <c r="M637" s="908"/>
      <c r="N637" s="950">
        <v>11000</v>
      </c>
    </row>
    <row r="638" spans="1:16" s="891" customFormat="1" ht="18" customHeight="1" x14ac:dyDescent="0.3">
      <c r="A638" s="839">
        <v>630</v>
      </c>
      <c r="B638" s="881"/>
      <c r="C638" s="882"/>
      <c r="D638" s="266" t="s">
        <v>231</v>
      </c>
      <c r="E638" s="884"/>
      <c r="F638" s="884"/>
      <c r="G638" s="885"/>
      <c r="H638" s="877"/>
      <c r="I638" s="878">
        <f>SUM(J638:N638)</f>
        <v>11000</v>
      </c>
      <c r="J638" s="977"/>
      <c r="K638" s="977"/>
      <c r="L638" s="977"/>
      <c r="M638" s="977"/>
      <c r="N638" s="952">
        <v>11000</v>
      </c>
    </row>
    <row r="639" spans="1:16" s="891" customFormat="1" ht="18" customHeight="1" x14ac:dyDescent="0.3">
      <c r="A639" s="839">
        <v>631</v>
      </c>
      <c r="B639" s="881"/>
      <c r="C639" s="882"/>
      <c r="D639" s="270" t="s">
        <v>245</v>
      </c>
      <c r="E639" s="884"/>
      <c r="F639" s="884"/>
      <c r="G639" s="885"/>
      <c r="H639" s="877"/>
      <c r="I639" s="272">
        <f>SUM(J639:Q639)</f>
        <v>0</v>
      </c>
      <c r="J639" s="908"/>
      <c r="K639" s="908"/>
      <c r="L639" s="908"/>
      <c r="M639" s="908"/>
      <c r="N639" s="950"/>
    </row>
    <row r="640" spans="1:16" s="891" customFormat="1" ht="18" customHeight="1" x14ac:dyDescent="0.3">
      <c r="A640" s="839">
        <v>632</v>
      </c>
      <c r="B640" s="881"/>
      <c r="C640" s="882"/>
      <c r="D640" s="266" t="s">
        <v>233</v>
      </c>
      <c r="E640" s="884"/>
      <c r="F640" s="884"/>
      <c r="G640" s="885"/>
      <c r="H640" s="877"/>
      <c r="I640" s="268">
        <f>SUM(J640:Q640)</f>
        <v>11000</v>
      </c>
      <c r="J640" s="908"/>
      <c r="K640" s="908"/>
      <c r="L640" s="908"/>
      <c r="M640" s="908"/>
      <c r="N640" s="952">
        <f>SUM(N638:N639)</f>
        <v>11000</v>
      </c>
    </row>
    <row r="641" spans="1:16" s="840" customFormat="1" ht="22.5" customHeight="1" x14ac:dyDescent="0.3">
      <c r="A641" s="839">
        <v>633</v>
      </c>
      <c r="B641" s="897"/>
      <c r="C641" s="882">
        <v>86</v>
      </c>
      <c r="D641" s="898" t="s">
        <v>657</v>
      </c>
      <c r="E641" s="884">
        <v>1810</v>
      </c>
      <c r="F641" s="884">
        <v>3945</v>
      </c>
      <c r="G641" s="885">
        <v>767</v>
      </c>
      <c r="H641" s="886" t="s">
        <v>106</v>
      </c>
      <c r="I641" s="887"/>
      <c r="J641" s="888"/>
      <c r="K641" s="888"/>
      <c r="L641" s="888"/>
      <c r="M641" s="888"/>
      <c r="N641" s="890"/>
      <c r="P641" s="891"/>
    </row>
    <row r="642" spans="1:16" s="918" customFormat="1" ht="18" customHeight="1" x14ac:dyDescent="0.3">
      <c r="A642" s="839">
        <v>634</v>
      </c>
      <c r="B642" s="914"/>
      <c r="C642" s="915"/>
      <c r="D642" s="883" t="s">
        <v>230</v>
      </c>
      <c r="E642" s="887"/>
      <c r="F642" s="887"/>
      <c r="G642" s="916"/>
      <c r="H642" s="917"/>
      <c r="I642" s="887">
        <f>SUM(J642:N642)</f>
        <v>2100</v>
      </c>
      <c r="J642" s="889">
        <v>400</v>
      </c>
      <c r="K642" s="889">
        <v>200</v>
      </c>
      <c r="L642" s="889">
        <v>1500</v>
      </c>
      <c r="M642" s="889"/>
      <c r="N642" s="900"/>
    </row>
    <row r="643" spans="1:16" s="918" customFormat="1" ht="18" customHeight="1" x14ac:dyDescent="0.3">
      <c r="A643" s="839">
        <v>635</v>
      </c>
      <c r="B643" s="914"/>
      <c r="C643" s="915"/>
      <c r="D643" s="266" t="s">
        <v>231</v>
      </c>
      <c r="E643" s="887"/>
      <c r="F643" s="887"/>
      <c r="G643" s="916"/>
      <c r="H643" s="917"/>
      <c r="I643" s="878">
        <f>SUM(J643:N643)</f>
        <v>5478</v>
      </c>
      <c r="J643" s="902">
        <v>900</v>
      </c>
      <c r="K643" s="902">
        <v>500</v>
      </c>
      <c r="L643" s="902">
        <v>4078</v>
      </c>
      <c r="M643" s="889"/>
      <c r="N643" s="900"/>
    </row>
    <row r="644" spans="1:16" s="918" customFormat="1" ht="18" customHeight="1" x14ac:dyDescent="0.3">
      <c r="A644" s="839">
        <v>636</v>
      </c>
      <c r="B644" s="914"/>
      <c r="C644" s="915"/>
      <c r="D644" s="270" t="s">
        <v>232</v>
      </c>
      <c r="E644" s="887"/>
      <c r="F644" s="887"/>
      <c r="G644" s="916"/>
      <c r="H644" s="917"/>
      <c r="I644" s="272">
        <f>SUM(J644:Q644)</f>
        <v>0</v>
      </c>
      <c r="J644" s="904"/>
      <c r="K644" s="904"/>
      <c r="L644" s="904"/>
      <c r="M644" s="889"/>
      <c r="N644" s="900"/>
    </row>
    <row r="645" spans="1:16" s="918" customFormat="1" ht="18" customHeight="1" x14ac:dyDescent="0.3">
      <c r="A645" s="839">
        <v>637</v>
      </c>
      <c r="B645" s="914"/>
      <c r="C645" s="915"/>
      <c r="D645" s="266" t="s">
        <v>233</v>
      </c>
      <c r="E645" s="887"/>
      <c r="F645" s="887"/>
      <c r="G645" s="916"/>
      <c r="H645" s="917"/>
      <c r="I645" s="268">
        <f>SUM(J645:Q645)</f>
        <v>5478</v>
      </c>
      <c r="J645" s="902">
        <f>SUM(J643:J644)</f>
        <v>900</v>
      </c>
      <c r="K645" s="902">
        <f>SUM(K643:K644)</f>
        <v>500</v>
      </c>
      <c r="L645" s="902">
        <f>SUM(L643:L644)</f>
        <v>4078</v>
      </c>
      <c r="M645" s="889"/>
      <c r="N645" s="900"/>
    </row>
    <row r="646" spans="1:16" s="891" customFormat="1" ht="22.5" customHeight="1" x14ac:dyDescent="0.3">
      <c r="A646" s="839">
        <v>638</v>
      </c>
      <c r="B646" s="881"/>
      <c r="C646" s="882">
        <v>87</v>
      </c>
      <c r="D646" s="874" t="s">
        <v>658</v>
      </c>
      <c r="E646" s="884">
        <v>459</v>
      </c>
      <c r="F646" s="884">
        <v>2607</v>
      </c>
      <c r="G646" s="885">
        <v>1288</v>
      </c>
      <c r="H646" s="886" t="s">
        <v>296</v>
      </c>
      <c r="I646" s="887"/>
      <c r="J646" s="888"/>
      <c r="K646" s="888"/>
      <c r="L646" s="888"/>
      <c r="M646" s="888"/>
      <c r="N646" s="890"/>
    </row>
    <row r="647" spans="1:16" s="918" customFormat="1" ht="18" customHeight="1" x14ac:dyDescent="0.3">
      <c r="A647" s="839">
        <v>639</v>
      </c>
      <c r="B647" s="914"/>
      <c r="C647" s="915"/>
      <c r="D647" s="883" t="s">
        <v>230</v>
      </c>
      <c r="E647" s="887"/>
      <c r="F647" s="887"/>
      <c r="G647" s="916"/>
      <c r="H647" s="917"/>
      <c r="I647" s="887">
        <f>SUM(J647:N647)</f>
        <v>2319</v>
      </c>
      <c r="J647" s="889"/>
      <c r="K647" s="889"/>
      <c r="L647" s="889">
        <f>1000+1319</f>
        <v>2319</v>
      </c>
      <c r="M647" s="889"/>
      <c r="N647" s="900"/>
    </row>
    <row r="648" spans="1:16" s="918" customFormat="1" ht="18" customHeight="1" x14ac:dyDescent="0.3">
      <c r="A648" s="839">
        <v>640</v>
      </c>
      <c r="B648" s="914"/>
      <c r="C648" s="915"/>
      <c r="D648" s="266" t="s">
        <v>231</v>
      </c>
      <c r="E648" s="887"/>
      <c r="F648" s="887"/>
      <c r="G648" s="916"/>
      <c r="H648" s="917"/>
      <c r="I648" s="878">
        <f>SUM(J648:N648)</f>
        <v>6108</v>
      </c>
      <c r="J648" s="902"/>
      <c r="K648" s="902"/>
      <c r="L648" s="902">
        <v>6108</v>
      </c>
      <c r="M648" s="889"/>
      <c r="N648" s="900"/>
    </row>
    <row r="649" spans="1:16" s="918" customFormat="1" ht="18" customHeight="1" x14ac:dyDescent="0.3">
      <c r="A649" s="839">
        <v>641</v>
      </c>
      <c r="B649" s="914"/>
      <c r="C649" s="915"/>
      <c r="D649" s="270" t="s">
        <v>232</v>
      </c>
      <c r="E649" s="887"/>
      <c r="F649" s="887"/>
      <c r="G649" s="916"/>
      <c r="H649" s="917"/>
      <c r="I649" s="272">
        <f>SUM(J649:Q649)</f>
        <v>0</v>
      </c>
      <c r="J649" s="889"/>
      <c r="K649" s="889"/>
      <c r="L649" s="904"/>
      <c r="M649" s="889"/>
      <c r="N649" s="900"/>
    </row>
    <row r="650" spans="1:16" s="918" customFormat="1" ht="18" customHeight="1" x14ac:dyDescent="0.3">
      <c r="A650" s="839">
        <v>642</v>
      </c>
      <c r="B650" s="914"/>
      <c r="C650" s="915"/>
      <c r="D650" s="266" t="s">
        <v>233</v>
      </c>
      <c r="E650" s="887"/>
      <c r="F650" s="887"/>
      <c r="G650" s="916"/>
      <c r="H650" s="917"/>
      <c r="I650" s="268">
        <f>SUM(J650:Q650)</f>
        <v>6108</v>
      </c>
      <c r="J650" s="889"/>
      <c r="K650" s="889"/>
      <c r="L650" s="902">
        <f>SUM(L648:L649)</f>
        <v>6108</v>
      </c>
      <c r="M650" s="889"/>
      <c r="N650" s="900"/>
    </row>
    <row r="651" spans="1:16" s="840" customFormat="1" ht="22.5" customHeight="1" x14ac:dyDescent="0.3">
      <c r="A651" s="839">
        <v>643</v>
      </c>
      <c r="B651" s="897"/>
      <c r="C651" s="882">
        <v>88</v>
      </c>
      <c r="D651" s="898" t="s">
        <v>659</v>
      </c>
      <c r="E651" s="884">
        <v>114140</v>
      </c>
      <c r="F651" s="884">
        <v>192554</v>
      </c>
      <c r="G651" s="885">
        <v>167016</v>
      </c>
      <c r="H651" s="886" t="s">
        <v>106</v>
      </c>
      <c r="I651" s="887"/>
      <c r="J651" s="888"/>
      <c r="K651" s="888"/>
      <c r="L651" s="888"/>
      <c r="M651" s="888"/>
      <c r="N651" s="890"/>
      <c r="P651" s="891"/>
    </row>
    <row r="652" spans="1:16" s="918" customFormat="1" ht="18" customHeight="1" x14ac:dyDescent="0.3">
      <c r="A652" s="839">
        <v>644</v>
      </c>
      <c r="B652" s="914"/>
      <c r="C652" s="915"/>
      <c r="D652" s="883" t="s">
        <v>230</v>
      </c>
      <c r="E652" s="887"/>
      <c r="F652" s="887"/>
      <c r="G652" s="916"/>
      <c r="H652" s="917"/>
      <c r="I652" s="887">
        <f>SUM(J652:N652)</f>
        <v>191158</v>
      </c>
      <c r="J652" s="889"/>
      <c r="K652" s="889"/>
      <c r="L652" s="889">
        <f>144000+47158</f>
        <v>191158</v>
      </c>
      <c r="M652" s="889"/>
      <c r="N652" s="900"/>
    </row>
    <row r="653" spans="1:16" s="918" customFormat="1" ht="18" customHeight="1" x14ac:dyDescent="0.3">
      <c r="A653" s="839">
        <v>645</v>
      </c>
      <c r="B653" s="914"/>
      <c r="C653" s="915"/>
      <c r="D653" s="266" t="s">
        <v>231</v>
      </c>
      <c r="E653" s="887"/>
      <c r="F653" s="887"/>
      <c r="G653" s="916"/>
      <c r="H653" s="917"/>
      <c r="I653" s="878">
        <f>SUM(J653:N653)</f>
        <v>190808</v>
      </c>
      <c r="J653" s="902"/>
      <c r="K653" s="902"/>
      <c r="L653" s="902">
        <v>190808</v>
      </c>
      <c r="M653" s="889"/>
      <c r="N653" s="900"/>
    </row>
    <row r="654" spans="1:16" s="918" customFormat="1" ht="18" customHeight="1" x14ac:dyDescent="0.3">
      <c r="A654" s="839">
        <v>646</v>
      </c>
      <c r="B654" s="914"/>
      <c r="C654" s="915"/>
      <c r="D654" s="270" t="s">
        <v>245</v>
      </c>
      <c r="E654" s="887"/>
      <c r="F654" s="887"/>
      <c r="G654" s="916"/>
      <c r="H654" s="917"/>
      <c r="I654" s="272">
        <f>SUM(J654:Q654)</f>
        <v>0</v>
      </c>
      <c r="J654" s="889"/>
      <c r="K654" s="889"/>
      <c r="L654" s="904"/>
      <c r="M654" s="889"/>
      <c r="N654" s="900"/>
    </row>
    <row r="655" spans="1:16" s="918" customFormat="1" ht="18" customHeight="1" x14ac:dyDescent="0.3">
      <c r="A655" s="839">
        <v>647</v>
      </c>
      <c r="B655" s="914"/>
      <c r="C655" s="915"/>
      <c r="D655" s="266" t="s">
        <v>233</v>
      </c>
      <c r="E655" s="887"/>
      <c r="F655" s="887"/>
      <c r="G655" s="916"/>
      <c r="H655" s="917"/>
      <c r="I655" s="268">
        <f>SUM(J655:Q655)</f>
        <v>190808</v>
      </c>
      <c r="J655" s="889"/>
      <c r="K655" s="889"/>
      <c r="L655" s="902">
        <f>SUM(L653:L654)</f>
        <v>190808</v>
      </c>
      <c r="M655" s="889"/>
      <c r="N655" s="900"/>
    </row>
    <row r="656" spans="1:16" s="840" customFormat="1" ht="22.5" customHeight="1" x14ac:dyDescent="0.3">
      <c r="A656" s="839">
        <v>648</v>
      </c>
      <c r="B656" s="897"/>
      <c r="C656" s="882">
        <v>89</v>
      </c>
      <c r="D656" s="898" t="s">
        <v>660</v>
      </c>
      <c r="E656" s="978">
        <v>97736</v>
      </c>
      <c r="F656" s="978">
        <v>298187</v>
      </c>
      <c r="G656" s="979">
        <v>162972</v>
      </c>
      <c r="H656" s="886" t="s">
        <v>106</v>
      </c>
      <c r="I656" s="887"/>
      <c r="J656" s="888"/>
      <c r="K656" s="888"/>
      <c r="L656" s="888"/>
      <c r="M656" s="888"/>
      <c r="N656" s="890"/>
      <c r="P656" s="891"/>
    </row>
    <row r="657" spans="1:16" s="918" customFormat="1" ht="18" customHeight="1" x14ac:dyDescent="0.3">
      <c r="A657" s="839">
        <v>649</v>
      </c>
      <c r="B657" s="914"/>
      <c r="C657" s="915"/>
      <c r="D657" s="883" t="s">
        <v>230</v>
      </c>
      <c r="E657" s="887"/>
      <c r="F657" s="887"/>
      <c r="G657" s="916"/>
      <c r="H657" s="917"/>
      <c r="I657" s="887">
        <f>SUM(J657:N657)</f>
        <v>241302</v>
      </c>
      <c r="J657" s="889"/>
      <c r="K657" s="889"/>
      <c r="L657" s="889">
        <v>241302</v>
      </c>
      <c r="M657" s="889"/>
      <c r="N657" s="900"/>
    </row>
    <row r="658" spans="1:16" s="918" customFormat="1" ht="18" customHeight="1" x14ac:dyDescent="0.3">
      <c r="A658" s="839">
        <v>650</v>
      </c>
      <c r="B658" s="914"/>
      <c r="C658" s="915"/>
      <c r="D658" s="266" t="s">
        <v>231</v>
      </c>
      <c r="E658" s="887"/>
      <c r="F658" s="887"/>
      <c r="G658" s="916"/>
      <c r="H658" s="917"/>
      <c r="I658" s="878">
        <f>SUM(J658:N658)</f>
        <v>252662</v>
      </c>
      <c r="J658" s="902"/>
      <c r="K658" s="902"/>
      <c r="L658" s="902">
        <v>252662</v>
      </c>
      <c r="M658" s="889"/>
      <c r="N658" s="900"/>
    </row>
    <row r="659" spans="1:16" s="918" customFormat="1" ht="18" customHeight="1" x14ac:dyDescent="0.3">
      <c r="A659" s="839">
        <v>651</v>
      </c>
      <c r="B659" s="914"/>
      <c r="C659" s="915"/>
      <c r="D659" s="270" t="s">
        <v>232</v>
      </c>
      <c r="E659" s="887"/>
      <c r="F659" s="887"/>
      <c r="G659" s="916"/>
      <c r="H659" s="917"/>
      <c r="I659" s="272">
        <f>SUM(J659:Q659)</f>
        <v>0</v>
      </c>
      <c r="J659" s="889"/>
      <c r="K659" s="889"/>
      <c r="L659" s="904"/>
      <c r="M659" s="889"/>
      <c r="N659" s="900"/>
    </row>
    <row r="660" spans="1:16" s="918" customFormat="1" ht="18" customHeight="1" x14ac:dyDescent="0.3">
      <c r="A660" s="839">
        <v>652</v>
      </c>
      <c r="B660" s="914"/>
      <c r="C660" s="915"/>
      <c r="D660" s="266" t="s">
        <v>233</v>
      </c>
      <c r="E660" s="887"/>
      <c r="F660" s="887"/>
      <c r="G660" s="916"/>
      <c r="H660" s="917"/>
      <c r="I660" s="268">
        <f>SUM(J660:Q660)</f>
        <v>252662</v>
      </c>
      <c r="J660" s="889"/>
      <c r="K660" s="889"/>
      <c r="L660" s="902">
        <f>SUM(L658:L659)</f>
        <v>252662</v>
      </c>
      <c r="M660" s="889"/>
      <c r="N660" s="900"/>
    </row>
    <row r="661" spans="1:16" s="840" customFormat="1" ht="22.5" customHeight="1" x14ac:dyDescent="0.3">
      <c r="A661" s="839">
        <v>653</v>
      </c>
      <c r="B661" s="897"/>
      <c r="C661" s="882">
        <v>90</v>
      </c>
      <c r="D661" s="898" t="s">
        <v>661</v>
      </c>
      <c r="E661" s="884">
        <v>4017</v>
      </c>
      <c r="F661" s="884">
        <v>12630</v>
      </c>
      <c r="G661" s="885">
        <v>20030</v>
      </c>
      <c r="H661" s="886" t="s">
        <v>106</v>
      </c>
      <c r="I661" s="887"/>
      <c r="J661" s="888"/>
      <c r="K661" s="888"/>
      <c r="L661" s="888"/>
      <c r="M661" s="888"/>
      <c r="N661" s="890"/>
      <c r="P661" s="891"/>
    </row>
    <row r="662" spans="1:16" s="918" customFormat="1" ht="18" customHeight="1" x14ac:dyDescent="0.3">
      <c r="A662" s="839">
        <v>654</v>
      </c>
      <c r="B662" s="914"/>
      <c r="C662" s="915"/>
      <c r="D662" s="883" t="s">
        <v>230</v>
      </c>
      <c r="E662" s="887"/>
      <c r="F662" s="887"/>
      <c r="G662" s="916"/>
      <c r="H662" s="917"/>
      <c r="I662" s="887">
        <f>SUM(J662:N662)</f>
        <v>13970</v>
      </c>
      <c r="J662" s="889"/>
      <c r="K662" s="889"/>
      <c r="L662" s="889">
        <v>13970</v>
      </c>
      <c r="M662" s="889"/>
      <c r="N662" s="900"/>
    </row>
    <row r="663" spans="1:16" s="918" customFormat="1" ht="18" customHeight="1" x14ac:dyDescent="0.3">
      <c r="A663" s="839">
        <v>655</v>
      </c>
      <c r="B663" s="914"/>
      <c r="C663" s="915"/>
      <c r="D663" s="266" t="s">
        <v>231</v>
      </c>
      <c r="E663" s="887"/>
      <c r="F663" s="887"/>
      <c r="G663" s="916"/>
      <c r="H663" s="917"/>
      <c r="I663" s="878">
        <f>SUM(J663:N663)</f>
        <v>13970</v>
      </c>
      <c r="J663" s="902"/>
      <c r="K663" s="902"/>
      <c r="L663" s="902">
        <v>13970</v>
      </c>
      <c r="M663" s="889"/>
      <c r="N663" s="900"/>
    </row>
    <row r="664" spans="1:16" s="918" customFormat="1" ht="18" customHeight="1" x14ac:dyDescent="0.3">
      <c r="A664" s="839">
        <v>656</v>
      </c>
      <c r="B664" s="914"/>
      <c r="C664" s="915"/>
      <c r="D664" s="270" t="s">
        <v>245</v>
      </c>
      <c r="E664" s="887"/>
      <c r="F664" s="887"/>
      <c r="G664" s="916"/>
      <c r="H664" s="917"/>
      <c r="I664" s="272">
        <f>SUM(J664:Q664)</f>
        <v>0</v>
      </c>
      <c r="J664" s="889"/>
      <c r="K664" s="889"/>
      <c r="L664" s="889"/>
      <c r="M664" s="889"/>
      <c r="N664" s="900"/>
    </row>
    <row r="665" spans="1:16" s="918" customFormat="1" ht="18" customHeight="1" x14ac:dyDescent="0.3">
      <c r="A665" s="839">
        <v>657</v>
      </c>
      <c r="B665" s="914"/>
      <c r="C665" s="915"/>
      <c r="D665" s="266" t="s">
        <v>233</v>
      </c>
      <c r="E665" s="887"/>
      <c r="F665" s="887"/>
      <c r="G665" s="916"/>
      <c r="H665" s="917"/>
      <c r="I665" s="268">
        <f>SUM(J665:Q665)</f>
        <v>13970</v>
      </c>
      <c r="J665" s="889"/>
      <c r="K665" s="889"/>
      <c r="L665" s="902">
        <f>SUM(L663:L664)</f>
        <v>13970</v>
      </c>
      <c r="M665" s="889"/>
      <c r="N665" s="900"/>
    </row>
    <row r="666" spans="1:16" s="840" customFormat="1" ht="22.5" customHeight="1" x14ac:dyDescent="0.3">
      <c r="A666" s="839">
        <v>658</v>
      </c>
      <c r="B666" s="897"/>
      <c r="C666" s="882">
        <v>91</v>
      </c>
      <c r="D666" s="898" t="s">
        <v>662</v>
      </c>
      <c r="E666" s="884">
        <v>1488721</v>
      </c>
      <c r="F666" s="884">
        <v>1645456</v>
      </c>
      <c r="G666" s="885">
        <f>1557456-12000</f>
        <v>1545456</v>
      </c>
      <c r="H666" s="886" t="s">
        <v>106</v>
      </c>
      <c r="I666" s="887"/>
      <c r="J666" s="888"/>
      <c r="K666" s="888"/>
      <c r="L666" s="888"/>
      <c r="M666" s="888"/>
      <c r="N666" s="890"/>
    </row>
    <row r="667" spans="1:16" s="840" customFormat="1" ht="19.5" customHeight="1" x14ac:dyDescent="0.3">
      <c r="A667" s="839">
        <v>659</v>
      </c>
      <c r="B667" s="897"/>
      <c r="C667" s="882"/>
      <c r="D667" s="980" t="s">
        <v>663</v>
      </c>
      <c r="E667" s="884"/>
      <c r="F667" s="884"/>
      <c r="G667" s="885"/>
      <c r="H667" s="886"/>
      <c r="I667" s="887"/>
      <c r="J667" s="888"/>
      <c r="K667" s="888"/>
      <c r="L667" s="888"/>
      <c r="M667" s="888"/>
      <c r="N667" s="890"/>
    </row>
    <row r="668" spans="1:16" s="918" customFormat="1" ht="18" customHeight="1" x14ac:dyDescent="0.3">
      <c r="A668" s="839">
        <v>660</v>
      </c>
      <c r="B668" s="914"/>
      <c r="C668" s="915"/>
      <c r="D668" s="981" t="s">
        <v>230</v>
      </c>
      <c r="E668" s="887"/>
      <c r="F668" s="887"/>
      <c r="G668" s="916"/>
      <c r="H668" s="917"/>
      <c r="I668" s="887">
        <f>SUM(J668:N668)</f>
        <v>1776573</v>
      </c>
      <c r="J668" s="889"/>
      <c r="K668" s="889"/>
      <c r="L668" s="889"/>
      <c r="M668" s="889"/>
      <c r="N668" s="900">
        <v>1776573</v>
      </c>
    </row>
    <row r="669" spans="1:16" s="918" customFormat="1" ht="18" customHeight="1" x14ac:dyDescent="0.3">
      <c r="A669" s="839">
        <v>661</v>
      </c>
      <c r="B669" s="914"/>
      <c r="C669" s="915"/>
      <c r="D669" s="982" t="s">
        <v>231</v>
      </c>
      <c r="E669" s="887"/>
      <c r="F669" s="887"/>
      <c r="G669" s="916"/>
      <c r="H669" s="917"/>
      <c r="I669" s="878">
        <f>SUM(J669:N669)</f>
        <v>1776573</v>
      </c>
      <c r="J669" s="902"/>
      <c r="K669" s="902"/>
      <c r="L669" s="902"/>
      <c r="M669" s="902"/>
      <c r="N669" s="903">
        <v>1776573</v>
      </c>
    </row>
    <row r="670" spans="1:16" s="918" customFormat="1" ht="18" customHeight="1" x14ac:dyDescent="0.3">
      <c r="A670" s="839">
        <v>662</v>
      </c>
      <c r="B670" s="914"/>
      <c r="C670" s="915"/>
      <c r="D670" s="983" t="s">
        <v>245</v>
      </c>
      <c r="E670" s="887"/>
      <c r="F670" s="887"/>
      <c r="G670" s="916"/>
      <c r="H670" s="917"/>
      <c r="I670" s="272">
        <f>SUM(J670:Q670)</f>
        <v>0</v>
      </c>
      <c r="J670" s="889"/>
      <c r="K670" s="889"/>
      <c r="L670" s="889"/>
      <c r="M670" s="889"/>
      <c r="N670" s="900"/>
    </row>
    <row r="671" spans="1:16" s="918" customFormat="1" ht="18" customHeight="1" x14ac:dyDescent="0.3">
      <c r="A671" s="839">
        <v>663</v>
      </c>
      <c r="B671" s="914"/>
      <c r="C671" s="915"/>
      <c r="D671" s="982" t="s">
        <v>233</v>
      </c>
      <c r="E671" s="887"/>
      <c r="F671" s="887"/>
      <c r="G671" s="916"/>
      <c r="H671" s="917"/>
      <c r="I671" s="268">
        <f>SUM(J671:Q671)</f>
        <v>1776573</v>
      </c>
      <c r="J671" s="889"/>
      <c r="K671" s="889"/>
      <c r="L671" s="889"/>
      <c r="M671" s="889"/>
      <c r="N671" s="903">
        <f>SUM(N669:N670)</f>
        <v>1776573</v>
      </c>
    </row>
    <row r="672" spans="1:16" s="918" customFormat="1" ht="19.5" customHeight="1" x14ac:dyDescent="0.3">
      <c r="A672" s="839">
        <v>664</v>
      </c>
      <c r="B672" s="914"/>
      <c r="C672" s="915"/>
      <c r="D672" s="980" t="s">
        <v>664</v>
      </c>
      <c r="E672" s="887"/>
      <c r="F672" s="887"/>
      <c r="G672" s="885">
        <v>12000</v>
      </c>
      <c r="H672" s="917"/>
      <c r="I672" s="887"/>
      <c r="J672" s="889"/>
      <c r="K672" s="889"/>
      <c r="L672" s="889"/>
      <c r="M672" s="889"/>
      <c r="N672" s="900"/>
    </row>
    <row r="673" spans="1:16" s="918" customFormat="1" ht="18" customHeight="1" x14ac:dyDescent="0.3">
      <c r="A673" s="839">
        <v>665</v>
      </c>
      <c r="B673" s="914"/>
      <c r="C673" s="915"/>
      <c r="D673" s="981" t="s">
        <v>230</v>
      </c>
      <c r="E673" s="887"/>
      <c r="F673" s="887"/>
      <c r="G673" s="916"/>
      <c r="H673" s="917"/>
      <c r="I673" s="887">
        <f>SUM(J673:N673)</f>
        <v>22980</v>
      </c>
      <c r="J673" s="889"/>
      <c r="K673" s="889"/>
      <c r="L673" s="889"/>
      <c r="M673" s="889"/>
      <c r="N673" s="900">
        <v>22980</v>
      </c>
    </row>
    <row r="674" spans="1:16" s="918" customFormat="1" ht="18" customHeight="1" x14ac:dyDescent="0.3">
      <c r="A674" s="839">
        <v>666</v>
      </c>
      <c r="B674" s="914"/>
      <c r="C674" s="915"/>
      <c r="D674" s="982" t="s">
        <v>231</v>
      </c>
      <c r="E674" s="887"/>
      <c r="F674" s="887"/>
      <c r="G674" s="916"/>
      <c r="H674" s="917"/>
      <c r="I674" s="878">
        <f>SUM(J674:N674)</f>
        <v>22980</v>
      </c>
      <c r="J674" s="902"/>
      <c r="K674" s="902"/>
      <c r="L674" s="902"/>
      <c r="M674" s="902"/>
      <c r="N674" s="903">
        <v>22980</v>
      </c>
    </row>
    <row r="675" spans="1:16" s="918" customFormat="1" ht="18" customHeight="1" x14ac:dyDescent="0.3">
      <c r="A675" s="839">
        <v>667</v>
      </c>
      <c r="B675" s="914"/>
      <c r="C675" s="915"/>
      <c r="D675" s="983" t="s">
        <v>245</v>
      </c>
      <c r="E675" s="887"/>
      <c r="F675" s="887"/>
      <c r="G675" s="916"/>
      <c r="H675" s="917"/>
      <c r="I675" s="272">
        <f>SUM(J675:Q675)</f>
        <v>0</v>
      </c>
      <c r="J675" s="889"/>
      <c r="K675" s="889"/>
      <c r="L675" s="889"/>
      <c r="M675" s="889"/>
      <c r="N675" s="900"/>
    </row>
    <row r="676" spans="1:16" s="918" customFormat="1" ht="18" customHeight="1" x14ac:dyDescent="0.3">
      <c r="A676" s="839">
        <v>668</v>
      </c>
      <c r="B676" s="914"/>
      <c r="C676" s="915"/>
      <c r="D676" s="982" t="s">
        <v>233</v>
      </c>
      <c r="E676" s="887"/>
      <c r="F676" s="887"/>
      <c r="G676" s="916"/>
      <c r="H676" s="917"/>
      <c r="I676" s="268">
        <f>SUM(J676:Q676)</f>
        <v>22980</v>
      </c>
      <c r="J676" s="889"/>
      <c r="K676" s="889"/>
      <c r="L676" s="889"/>
      <c r="M676" s="889"/>
      <c r="N676" s="903">
        <f>SUM(N674:N675)</f>
        <v>22980</v>
      </c>
    </row>
    <row r="677" spans="1:16" s="918" customFormat="1" ht="32.25" customHeight="1" x14ac:dyDescent="0.3">
      <c r="A677" s="839">
        <v>669</v>
      </c>
      <c r="B677" s="914"/>
      <c r="C677" s="976">
        <v>92</v>
      </c>
      <c r="D677" s="898" t="s">
        <v>665</v>
      </c>
      <c r="E677" s="884">
        <v>20988</v>
      </c>
      <c r="F677" s="884">
        <v>23000</v>
      </c>
      <c r="G677" s="885">
        <v>22857</v>
      </c>
      <c r="H677" s="886" t="s">
        <v>106</v>
      </c>
      <c r="I677" s="887"/>
      <c r="J677" s="889"/>
      <c r="K677" s="889"/>
      <c r="L677" s="889"/>
      <c r="M677" s="889"/>
      <c r="N677" s="900"/>
    </row>
    <row r="678" spans="1:16" s="918" customFormat="1" ht="18" customHeight="1" x14ac:dyDescent="0.3">
      <c r="A678" s="839">
        <v>670</v>
      </c>
      <c r="B678" s="914"/>
      <c r="C678" s="915"/>
      <c r="D678" s="883" t="s">
        <v>230</v>
      </c>
      <c r="E678" s="887"/>
      <c r="F678" s="887"/>
      <c r="G678" s="916"/>
      <c r="H678" s="886"/>
      <c r="I678" s="887">
        <f>SUM(J678:N678)</f>
        <v>26000</v>
      </c>
      <c r="J678" s="889"/>
      <c r="K678" s="889"/>
      <c r="L678" s="889"/>
      <c r="M678" s="889"/>
      <c r="N678" s="900">
        <v>26000</v>
      </c>
    </row>
    <row r="679" spans="1:16" s="918" customFormat="1" ht="18" customHeight="1" x14ac:dyDescent="0.3">
      <c r="A679" s="839">
        <v>671</v>
      </c>
      <c r="B679" s="914"/>
      <c r="C679" s="915"/>
      <c r="D679" s="266" t="s">
        <v>231</v>
      </c>
      <c r="E679" s="887"/>
      <c r="F679" s="887"/>
      <c r="G679" s="916"/>
      <c r="H679" s="886"/>
      <c r="I679" s="878">
        <f>SUM(J679:N679)</f>
        <v>26000</v>
      </c>
      <c r="J679" s="902"/>
      <c r="K679" s="902"/>
      <c r="L679" s="902"/>
      <c r="M679" s="902"/>
      <c r="N679" s="903">
        <v>26000</v>
      </c>
    </row>
    <row r="680" spans="1:16" s="918" customFormat="1" ht="18" customHeight="1" x14ac:dyDescent="0.3">
      <c r="A680" s="839">
        <v>672</v>
      </c>
      <c r="B680" s="914"/>
      <c r="C680" s="915"/>
      <c r="D680" s="270" t="s">
        <v>245</v>
      </c>
      <c r="E680" s="887"/>
      <c r="F680" s="887"/>
      <c r="G680" s="916"/>
      <c r="H680" s="886"/>
      <c r="I680" s="272">
        <f>SUM(J680:Q680)</f>
        <v>0</v>
      </c>
      <c r="J680" s="889"/>
      <c r="K680" s="889"/>
      <c r="L680" s="889"/>
      <c r="M680" s="889"/>
      <c r="N680" s="900"/>
    </row>
    <row r="681" spans="1:16" s="918" customFormat="1" ht="18" customHeight="1" x14ac:dyDescent="0.3">
      <c r="A681" s="839">
        <v>673</v>
      </c>
      <c r="B681" s="914"/>
      <c r="C681" s="915"/>
      <c r="D681" s="266" t="s">
        <v>233</v>
      </c>
      <c r="E681" s="887"/>
      <c r="F681" s="887"/>
      <c r="G681" s="916"/>
      <c r="H681" s="886"/>
      <c r="I681" s="268">
        <f>SUM(J681:Q681)</f>
        <v>26000</v>
      </c>
      <c r="J681" s="889"/>
      <c r="K681" s="889"/>
      <c r="L681" s="889"/>
      <c r="M681" s="889"/>
      <c r="N681" s="903">
        <f>SUM(N679:N680)</f>
        <v>26000</v>
      </c>
    </row>
    <row r="682" spans="1:16" s="840" customFormat="1" ht="22.5" customHeight="1" x14ac:dyDescent="0.3">
      <c r="A682" s="839">
        <v>674</v>
      </c>
      <c r="B682" s="897"/>
      <c r="C682" s="882">
        <v>93</v>
      </c>
      <c r="D682" s="898" t="s">
        <v>666</v>
      </c>
      <c r="E682" s="884">
        <v>44816</v>
      </c>
      <c r="F682" s="884">
        <v>73957</v>
      </c>
      <c r="G682" s="885">
        <v>60202</v>
      </c>
      <c r="H682" s="886" t="s">
        <v>296</v>
      </c>
      <c r="I682" s="887"/>
      <c r="J682" s="888"/>
      <c r="K682" s="888"/>
      <c r="L682" s="888"/>
      <c r="M682" s="888"/>
      <c r="N682" s="890"/>
    </row>
    <row r="683" spans="1:16" s="918" customFormat="1" ht="18" customHeight="1" x14ac:dyDescent="0.3">
      <c r="A683" s="839">
        <v>675</v>
      </c>
      <c r="B683" s="914"/>
      <c r="C683" s="915"/>
      <c r="D683" s="883" t="s">
        <v>230</v>
      </c>
      <c r="E683" s="887"/>
      <c r="F683" s="887"/>
      <c r="G683" s="916"/>
      <c r="H683" s="917"/>
      <c r="I683" s="887">
        <f>SUM(J683:N683)</f>
        <v>86894</v>
      </c>
      <c r="J683" s="889"/>
      <c r="K683" s="889"/>
      <c r="L683" s="889">
        <v>86894</v>
      </c>
      <c r="M683" s="889"/>
      <c r="N683" s="900"/>
    </row>
    <row r="684" spans="1:16" s="918" customFormat="1" ht="18" customHeight="1" x14ac:dyDescent="0.3">
      <c r="A684" s="839">
        <v>676</v>
      </c>
      <c r="B684" s="914"/>
      <c r="C684" s="915"/>
      <c r="D684" s="266" t="s">
        <v>231</v>
      </c>
      <c r="E684" s="887"/>
      <c r="F684" s="887"/>
      <c r="G684" s="916"/>
      <c r="H684" s="917"/>
      <c r="I684" s="878">
        <f>SUM(J684:N684)</f>
        <v>94036</v>
      </c>
      <c r="J684" s="902"/>
      <c r="K684" s="902"/>
      <c r="L684" s="902">
        <v>94036</v>
      </c>
      <c r="M684" s="889"/>
      <c r="N684" s="900"/>
    </row>
    <row r="685" spans="1:16" s="918" customFormat="1" ht="18" customHeight="1" x14ac:dyDescent="0.3">
      <c r="A685" s="839">
        <v>677</v>
      </c>
      <c r="B685" s="914"/>
      <c r="C685" s="915"/>
      <c r="D685" s="270" t="s">
        <v>232</v>
      </c>
      <c r="E685" s="887"/>
      <c r="F685" s="887"/>
      <c r="G685" s="916"/>
      <c r="H685" s="917"/>
      <c r="I685" s="272">
        <f>SUM(J685:Q685)</f>
        <v>0</v>
      </c>
      <c r="J685" s="889"/>
      <c r="K685" s="889"/>
      <c r="L685" s="904"/>
      <c r="M685" s="889"/>
      <c r="N685" s="900"/>
    </row>
    <row r="686" spans="1:16" s="918" customFormat="1" ht="18" customHeight="1" x14ac:dyDescent="0.3">
      <c r="A686" s="839">
        <v>678</v>
      </c>
      <c r="B686" s="914"/>
      <c r="C686" s="915"/>
      <c r="D686" s="266" t="s">
        <v>233</v>
      </c>
      <c r="E686" s="887"/>
      <c r="F686" s="887"/>
      <c r="G686" s="916"/>
      <c r="H686" s="917"/>
      <c r="I686" s="268">
        <f>SUM(J686:Q686)</f>
        <v>94036</v>
      </c>
      <c r="J686" s="889"/>
      <c r="K686" s="889"/>
      <c r="L686" s="902">
        <f>SUM(L684:L685)</f>
        <v>94036</v>
      </c>
      <c r="M686" s="889"/>
      <c r="N686" s="900"/>
    </row>
    <row r="687" spans="1:16" s="840" customFormat="1" ht="22.5" customHeight="1" x14ac:dyDescent="0.3">
      <c r="A687" s="839">
        <v>679</v>
      </c>
      <c r="B687" s="897"/>
      <c r="C687" s="882"/>
      <c r="D687" s="984" t="s">
        <v>667</v>
      </c>
      <c r="E687" s="884"/>
      <c r="F687" s="884"/>
      <c r="G687" s="885"/>
      <c r="H687" s="886"/>
      <c r="I687" s="907"/>
      <c r="J687" s="908"/>
      <c r="K687" s="908"/>
      <c r="L687" s="908"/>
      <c r="M687" s="908"/>
      <c r="N687" s="909"/>
      <c r="O687" s="891"/>
      <c r="P687" s="891"/>
    </row>
    <row r="688" spans="1:16" s="840" customFormat="1" ht="22.5" customHeight="1" x14ac:dyDescent="0.3">
      <c r="A688" s="839">
        <v>680</v>
      </c>
      <c r="B688" s="897"/>
      <c r="C688" s="882">
        <v>94</v>
      </c>
      <c r="D688" s="980" t="s">
        <v>668</v>
      </c>
      <c r="E688" s="884">
        <v>283378</v>
      </c>
      <c r="F688" s="884">
        <v>390800</v>
      </c>
      <c r="G688" s="885">
        <v>448683</v>
      </c>
      <c r="H688" s="886" t="s">
        <v>106</v>
      </c>
      <c r="I688" s="887"/>
      <c r="J688" s="888"/>
      <c r="K688" s="888"/>
      <c r="L688" s="888"/>
      <c r="M688" s="888"/>
      <c r="N688" s="890"/>
      <c r="P688" s="891"/>
    </row>
    <row r="689" spans="1:16" s="918" customFormat="1" ht="18" customHeight="1" x14ac:dyDescent="0.3">
      <c r="A689" s="839">
        <v>681</v>
      </c>
      <c r="B689" s="914"/>
      <c r="C689" s="915"/>
      <c r="D689" s="981" t="s">
        <v>230</v>
      </c>
      <c r="E689" s="887"/>
      <c r="F689" s="887"/>
      <c r="G689" s="916"/>
      <c r="H689" s="917"/>
      <c r="I689" s="887">
        <f>SUM(J689:N689)</f>
        <v>471000</v>
      </c>
      <c r="J689" s="889"/>
      <c r="K689" s="889"/>
      <c r="L689" s="889">
        <v>6000</v>
      </c>
      <c r="M689" s="889"/>
      <c r="N689" s="900">
        <v>465000</v>
      </c>
    </row>
    <row r="690" spans="1:16" s="918" customFormat="1" ht="18" customHeight="1" x14ac:dyDescent="0.3">
      <c r="A690" s="839">
        <v>682</v>
      </c>
      <c r="B690" s="914"/>
      <c r="C690" s="915"/>
      <c r="D690" s="982" t="s">
        <v>231</v>
      </c>
      <c r="E690" s="887"/>
      <c r="F690" s="887"/>
      <c r="G690" s="916"/>
      <c r="H690" s="917"/>
      <c r="I690" s="878">
        <f>SUM(J690:N690)</f>
        <v>477340</v>
      </c>
      <c r="J690" s="902"/>
      <c r="K690" s="902"/>
      <c r="L690" s="902">
        <v>12340</v>
      </c>
      <c r="M690" s="902"/>
      <c r="N690" s="903">
        <v>465000</v>
      </c>
    </row>
    <row r="691" spans="1:16" s="918" customFormat="1" ht="18" customHeight="1" x14ac:dyDescent="0.3">
      <c r="A691" s="839">
        <v>683</v>
      </c>
      <c r="B691" s="914"/>
      <c r="C691" s="915"/>
      <c r="D691" s="983" t="s">
        <v>232</v>
      </c>
      <c r="E691" s="887"/>
      <c r="F691" s="887"/>
      <c r="G691" s="916"/>
      <c r="H691" s="917"/>
      <c r="I691" s="272">
        <f>SUM(J691:Q691)</f>
        <v>0</v>
      </c>
      <c r="J691" s="889"/>
      <c r="K691" s="889"/>
      <c r="L691" s="904"/>
      <c r="M691" s="889"/>
      <c r="N691" s="900"/>
    </row>
    <row r="692" spans="1:16" s="918" customFormat="1" ht="18" customHeight="1" x14ac:dyDescent="0.3">
      <c r="A692" s="839">
        <v>684</v>
      </c>
      <c r="B692" s="914"/>
      <c r="C692" s="915"/>
      <c r="D692" s="982" t="s">
        <v>233</v>
      </c>
      <c r="E692" s="887"/>
      <c r="F692" s="887"/>
      <c r="G692" s="916"/>
      <c r="H692" s="917"/>
      <c r="I692" s="268">
        <f>SUM(J692:Q692)</f>
        <v>477340</v>
      </c>
      <c r="J692" s="889"/>
      <c r="K692" s="889"/>
      <c r="L692" s="902">
        <f>SUM(L690:L691)</f>
        <v>12340</v>
      </c>
      <c r="M692" s="902"/>
      <c r="N692" s="903">
        <f>SUM(N690:N691)</f>
        <v>465000</v>
      </c>
    </row>
    <row r="693" spans="1:16" s="840" customFormat="1" ht="22.5" customHeight="1" x14ac:dyDescent="0.3">
      <c r="A693" s="839">
        <v>685</v>
      </c>
      <c r="B693" s="897"/>
      <c r="C693" s="882">
        <v>95</v>
      </c>
      <c r="D693" s="980" t="s">
        <v>669</v>
      </c>
      <c r="E693" s="884">
        <v>57000</v>
      </c>
      <c r="F693" s="884">
        <v>84700</v>
      </c>
      <c r="G693" s="885">
        <v>88700</v>
      </c>
      <c r="H693" s="886" t="s">
        <v>106</v>
      </c>
      <c r="I693" s="887"/>
      <c r="J693" s="888"/>
      <c r="K693" s="888"/>
      <c r="L693" s="888"/>
      <c r="M693" s="888"/>
      <c r="N693" s="890"/>
      <c r="P693" s="891"/>
    </row>
    <row r="694" spans="1:16" s="918" customFormat="1" ht="18" customHeight="1" x14ac:dyDescent="0.3">
      <c r="A694" s="839">
        <v>686</v>
      </c>
      <c r="B694" s="914"/>
      <c r="C694" s="915"/>
      <c r="D694" s="981" t="s">
        <v>230</v>
      </c>
      <c r="E694" s="887"/>
      <c r="F694" s="887"/>
      <c r="G694" s="916"/>
      <c r="H694" s="917"/>
      <c r="I694" s="887">
        <f>SUM(J694:N694)</f>
        <v>89000</v>
      </c>
      <c r="J694" s="889"/>
      <c r="K694" s="889"/>
      <c r="L694" s="889"/>
      <c r="M694" s="889"/>
      <c r="N694" s="900">
        <v>89000</v>
      </c>
    </row>
    <row r="695" spans="1:16" s="918" customFormat="1" ht="18" customHeight="1" x14ac:dyDescent="0.3">
      <c r="A695" s="839">
        <v>687</v>
      </c>
      <c r="B695" s="914"/>
      <c r="C695" s="915"/>
      <c r="D695" s="982" t="s">
        <v>231</v>
      </c>
      <c r="E695" s="887"/>
      <c r="F695" s="887"/>
      <c r="G695" s="916"/>
      <c r="H695" s="917"/>
      <c r="I695" s="878">
        <f>SUM(J695:N695)</f>
        <v>89000</v>
      </c>
      <c r="J695" s="902"/>
      <c r="K695" s="902"/>
      <c r="L695" s="902"/>
      <c r="M695" s="902"/>
      <c r="N695" s="903">
        <v>89000</v>
      </c>
    </row>
    <row r="696" spans="1:16" s="918" customFormat="1" ht="18" customHeight="1" x14ac:dyDescent="0.3">
      <c r="A696" s="839">
        <v>688</v>
      </c>
      <c r="B696" s="914"/>
      <c r="C696" s="915"/>
      <c r="D696" s="983" t="s">
        <v>245</v>
      </c>
      <c r="E696" s="887"/>
      <c r="F696" s="887"/>
      <c r="G696" s="916"/>
      <c r="H696" s="917"/>
      <c r="I696" s="272">
        <f>SUM(J696:Q696)</f>
        <v>0</v>
      </c>
      <c r="J696" s="889"/>
      <c r="K696" s="889"/>
      <c r="L696" s="889"/>
      <c r="M696" s="889"/>
      <c r="N696" s="900"/>
    </row>
    <row r="697" spans="1:16" s="918" customFormat="1" ht="18" customHeight="1" x14ac:dyDescent="0.3">
      <c r="A697" s="839">
        <v>689</v>
      </c>
      <c r="B697" s="914"/>
      <c r="C697" s="915"/>
      <c r="D697" s="982" t="s">
        <v>233</v>
      </c>
      <c r="E697" s="887"/>
      <c r="F697" s="887"/>
      <c r="G697" s="916"/>
      <c r="H697" s="917"/>
      <c r="I697" s="268">
        <f>SUM(J697:Q697)</f>
        <v>89000</v>
      </c>
      <c r="J697" s="889"/>
      <c r="K697" s="889"/>
      <c r="L697" s="889"/>
      <c r="M697" s="889"/>
      <c r="N697" s="903">
        <f>SUM(N695:N696)</f>
        <v>89000</v>
      </c>
    </row>
    <row r="698" spans="1:16" s="840" customFormat="1" ht="22.5" customHeight="1" x14ac:dyDescent="0.3">
      <c r="A698" s="839">
        <v>690</v>
      </c>
      <c r="B698" s="897"/>
      <c r="C698" s="882">
        <v>96</v>
      </c>
      <c r="D698" s="980" t="s">
        <v>670</v>
      </c>
      <c r="E698" s="884">
        <v>270000</v>
      </c>
      <c r="F698" s="884">
        <v>383700</v>
      </c>
      <c r="G698" s="885">
        <v>383700</v>
      </c>
      <c r="H698" s="886" t="s">
        <v>106</v>
      </c>
      <c r="I698" s="887"/>
      <c r="J698" s="888"/>
      <c r="K698" s="888"/>
      <c r="L698" s="888"/>
      <c r="M698" s="888"/>
      <c r="N698" s="890"/>
      <c r="P698" s="891"/>
    </row>
    <row r="699" spans="1:16" s="918" customFormat="1" ht="18" customHeight="1" x14ac:dyDescent="0.3">
      <c r="A699" s="839">
        <v>691</v>
      </c>
      <c r="B699" s="914"/>
      <c r="C699" s="915"/>
      <c r="D699" s="981" t="s">
        <v>230</v>
      </c>
      <c r="E699" s="887"/>
      <c r="F699" s="887"/>
      <c r="G699" s="916"/>
      <c r="H699" s="917"/>
      <c r="I699" s="887">
        <f>SUM(J699:N699)</f>
        <v>399000</v>
      </c>
      <c r="J699" s="889"/>
      <c r="K699" s="889"/>
      <c r="L699" s="889"/>
      <c r="M699" s="889"/>
      <c r="N699" s="900">
        <v>399000</v>
      </c>
    </row>
    <row r="700" spans="1:16" s="918" customFormat="1" ht="18" customHeight="1" x14ac:dyDescent="0.3">
      <c r="A700" s="839">
        <v>692</v>
      </c>
      <c r="B700" s="914"/>
      <c r="C700" s="915"/>
      <c r="D700" s="982" t="s">
        <v>231</v>
      </c>
      <c r="E700" s="887"/>
      <c r="F700" s="887"/>
      <c r="G700" s="916"/>
      <c r="H700" s="917"/>
      <c r="I700" s="878">
        <f>SUM(J700:N700)</f>
        <v>399000</v>
      </c>
      <c r="J700" s="902"/>
      <c r="K700" s="902"/>
      <c r="L700" s="902"/>
      <c r="M700" s="902"/>
      <c r="N700" s="903">
        <v>399000</v>
      </c>
    </row>
    <row r="701" spans="1:16" s="918" customFormat="1" ht="18" customHeight="1" x14ac:dyDescent="0.3">
      <c r="A701" s="839">
        <v>693</v>
      </c>
      <c r="B701" s="914"/>
      <c r="C701" s="915"/>
      <c r="D701" s="983" t="s">
        <v>245</v>
      </c>
      <c r="E701" s="887"/>
      <c r="F701" s="887"/>
      <c r="G701" s="916"/>
      <c r="H701" s="917"/>
      <c r="I701" s="272">
        <f>SUM(J701:Q701)</f>
        <v>0</v>
      </c>
      <c r="J701" s="889"/>
      <c r="K701" s="889"/>
      <c r="L701" s="889"/>
      <c r="M701" s="889"/>
      <c r="N701" s="900"/>
    </row>
    <row r="702" spans="1:16" s="918" customFormat="1" ht="18" customHeight="1" x14ac:dyDescent="0.3">
      <c r="A702" s="839">
        <v>694</v>
      </c>
      <c r="B702" s="914"/>
      <c r="C702" s="915"/>
      <c r="D702" s="982" t="s">
        <v>233</v>
      </c>
      <c r="E702" s="887"/>
      <c r="F702" s="887"/>
      <c r="G702" s="916"/>
      <c r="H702" s="917"/>
      <c r="I702" s="268">
        <f>SUM(J702:Q702)</f>
        <v>399000</v>
      </c>
      <c r="J702" s="889"/>
      <c r="K702" s="889"/>
      <c r="L702" s="889"/>
      <c r="M702" s="889"/>
      <c r="N702" s="903">
        <f>SUM(N700:N701)</f>
        <v>399000</v>
      </c>
    </row>
    <row r="703" spans="1:16" s="840" customFormat="1" ht="22.5" customHeight="1" x14ac:dyDescent="0.3">
      <c r="A703" s="839">
        <v>695</v>
      </c>
      <c r="B703" s="897"/>
      <c r="C703" s="882">
        <v>97</v>
      </c>
      <c r="D703" s="980" t="s">
        <v>671</v>
      </c>
      <c r="E703" s="884">
        <v>45000</v>
      </c>
      <c r="F703" s="884">
        <v>71700</v>
      </c>
      <c r="G703" s="885">
        <v>71700</v>
      </c>
      <c r="H703" s="886" t="s">
        <v>106</v>
      </c>
      <c r="I703" s="887"/>
      <c r="J703" s="888"/>
      <c r="K703" s="888"/>
      <c r="L703" s="888"/>
      <c r="M703" s="888"/>
      <c r="N703" s="890"/>
      <c r="P703" s="891"/>
    </row>
    <row r="704" spans="1:16" s="918" customFormat="1" ht="18" customHeight="1" x14ac:dyDescent="0.3">
      <c r="A704" s="839">
        <v>696</v>
      </c>
      <c r="B704" s="914"/>
      <c r="C704" s="915"/>
      <c r="D704" s="981" t="s">
        <v>230</v>
      </c>
      <c r="E704" s="887"/>
      <c r="F704" s="887"/>
      <c r="G704" s="916"/>
      <c r="H704" s="917"/>
      <c r="I704" s="887">
        <f>SUM(J704:N704)</f>
        <v>72000</v>
      </c>
      <c r="J704" s="889"/>
      <c r="K704" s="889"/>
      <c r="L704" s="889"/>
      <c r="M704" s="889"/>
      <c r="N704" s="900">
        <v>72000</v>
      </c>
    </row>
    <row r="705" spans="1:16" s="918" customFormat="1" ht="18" customHeight="1" x14ac:dyDescent="0.3">
      <c r="A705" s="839">
        <v>697</v>
      </c>
      <c r="B705" s="914"/>
      <c r="C705" s="915"/>
      <c r="D705" s="982" t="s">
        <v>231</v>
      </c>
      <c r="E705" s="887"/>
      <c r="F705" s="887"/>
      <c r="G705" s="916"/>
      <c r="H705" s="917"/>
      <c r="I705" s="878">
        <f>SUM(J705:N705)</f>
        <v>72000</v>
      </c>
      <c r="J705" s="902"/>
      <c r="K705" s="902"/>
      <c r="L705" s="902"/>
      <c r="M705" s="902"/>
      <c r="N705" s="903">
        <v>72000</v>
      </c>
    </row>
    <row r="706" spans="1:16" s="918" customFormat="1" ht="18" customHeight="1" x14ac:dyDescent="0.3">
      <c r="A706" s="839">
        <v>698</v>
      </c>
      <c r="B706" s="914"/>
      <c r="C706" s="915"/>
      <c r="D706" s="983" t="s">
        <v>245</v>
      </c>
      <c r="E706" s="887"/>
      <c r="F706" s="887"/>
      <c r="G706" s="916"/>
      <c r="H706" s="917"/>
      <c r="I706" s="272">
        <f>SUM(J706:Q706)</f>
        <v>0</v>
      </c>
      <c r="J706" s="889"/>
      <c r="K706" s="889"/>
      <c r="L706" s="889"/>
      <c r="M706" s="889"/>
      <c r="N706" s="900"/>
    </row>
    <row r="707" spans="1:16" s="918" customFormat="1" ht="18" customHeight="1" x14ac:dyDescent="0.3">
      <c r="A707" s="839">
        <v>699</v>
      </c>
      <c r="B707" s="914"/>
      <c r="C707" s="915"/>
      <c r="D707" s="982" t="s">
        <v>233</v>
      </c>
      <c r="E707" s="887"/>
      <c r="F707" s="887"/>
      <c r="G707" s="916"/>
      <c r="H707" s="917"/>
      <c r="I707" s="268">
        <f>SUM(J707:Q707)</f>
        <v>72000</v>
      </c>
      <c r="J707" s="889"/>
      <c r="K707" s="889"/>
      <c r="L707" s="889"/>
      <c r="M707" s="889"/>
      <c r="N707" s="903">
        <f>SUM(N705:N706)</f>
        <v>72000</v>
      </c>
    </row>
    <row r="708" spans="1:16" s="840" customFormat="1" ht="22.5" customHeight="1" x14ac:dyDescent="0.3">
      <c r="A708" s="839">
        <v>700</v>
      </c>
      <c r="B708" s="897"/>
      <c r="C708" s="882">
        <v>162</v>
      </c>
      <c r="D708" s="980" t="s">
        <v>672</v>
      </c>
      <c r="E708" s="884"/>
      <c r="F708" s="884"/>
      <c r="G708" s="885"/>
      <c r="H708" s="886" t="s">
        <v>106</v>
      </c>
      <c r="I708" s="887"/>
      <c r="J708" s="888"/>
      <c r="K708" s="888"/>
      <c r="L708" s="888"/>
      <c r="M708" s="888"/>
      <c r="N708" s="900"/>
      <c r="P708" s="891"/>
    </row>
    <row r="709" spans="1:16" s="840" customFormat="1" ht="18" customHeight="1" x14ac:dyDescent="0.3">
      <c r="A709" s="839">
        <v>701</v>
      </c>
      <c r="B709" s="897"/>
      <c r="C709" s="882"/>
      <c r="D709" s="981" t="s">
        <v>230</v>
      </c>
      <c r="E709" s="884"/>
      <c r="F709" s="884"/>
      <c r="G709" s="885"/>
      <c r="H709" s="886"/>
      <c r="I709" s="887">
        <f>SUM(J709:N709)</f>
        <v>20000</v>
      </c>
      <c r="J709" s="888"/>
      <c r="K709" s="888"/>
      <c r="L709" s="888"/>
      <c r="M709" s="888"/>
      <c r="N709" s="900">
        <v>20000</v>
      </c>
      <c r="P709" s="891"/>
    </row>
    <row r="710" spans="1:16" s="840" customFormat="1" ht="18" customHeight="1" x14ac:dyDescent="0.3">
      <c r="A710" s="839">
        <v>702</v>
      </c>
      <c r="B710" s="897"/>
      <c r="C710" s="882"/>
      <c r="D710" s="982" t="s">
        <v>231</v>
      </c>
      <c r="E710" s="884"/>
      <c r="F710" s="884"/>
      <c r="G710" s="885"/>
      <c r="H710" s="886"/>
      <c r="I710" s="878">
        <f>SUM(J710:N710)</f>
        <v>20000</v>
      </c>
      <c r="J710" s="901"/>
      <c r="K710" s="901"/>
      <c r="L710" s="901"/>
      <c r="M710" s="901"/>
      <c r="N710" s="903">
        <v>20000</v>
      </c>
      <c r="P710" s="891"/>
    </row>
    <row r="711" spans="1:16" s="840" customFormat="1" ht="18" customHeight="1" x14ac:dyDescent="0.3">
      <c r="A711" s="839">
        <v>703</v>
      </c>
      <c r="B711" s="897"/>
      <c r="C711" s="882"/>
      <c r="D711" s="983" t="s">
        <v>245</v>
      </c>
      <c r="E711" s="884"/>
      <c r="F711" s="884"/>
      <c r="G711" s="885"/>
      <c r="H711" s="886"/>
      <c r="I711" s="272">
        <f>SUM(J711:Q711)</f>
        <v>0</v>
      </c>
      <c r="J711" s="888"/>
      <c r="K711" s="888"/>
      <c r="L711" s="888"/>
      <c r="M711" s="888"/>
      <c r="N711" s="900"/>
      <c r="P711" s="891"/>
    </row>
    <row r="712" spans="1:16" s="840" customFormat="1" ht="18" customHeight="1" x14ac:dyDescent="0.3">
      <c r="A712" s="839">
        <v>704</v>
      </c>
      <c r="B712" s="897"/>
      <c r="C712" s="882"/>
      <c r="D712" s="982" t="s">
        <v>233</v>
      </c>
      <c r="E712" s="884"/>
      <c r="F712" s="884"/>
      <c r="G712" s="885"/>
      <c r="H712" s="886"/>
      <c r="I712" s="268">
        <f>SUM(J712:Q712)</f>
        <v>20000</v>
      </c>
      <c r="J712" s="902"/>
      <c r="K712" s="902"/>
      <c r="L712" s="902"/>
      <c r="M712" s="902"/>
      <c r="N712" s="903">
        <f>SUM(N710:N711)</f>
        <v>20000</v>
      </c>
      <c r="P712" s="891"/>
    </row>
    <row r="713" spans="1:16" s="840" customFormat="1" ht="22.5" customHeight="1" x14ac:dyDescent="0.3">
      <c r="A713" s="839">
        <v>705</v>
      </c>
      <c r="B713" s="897"/>
      <c r="C713" s="882"/>
      <c r="D713" s="984" t="s">
        <v>673</v>
      </c>
      <c r="E713" s="884"/>
      <c r="F713" s="884"/>
      <c r="G713" s="885"/>
      <c r="H713" s="886"/>
      <c r="I713" s="907"/>
      <c r="J713" s="908"/>
      <c r="K713" s="908"/>
      <c r="L713" s="908"/>
      <c r="M713" s="908"/>
      <c r="N713" s="909"/>
      <c r="O713" s="891"/>
      <c r="P713" s="891"/>
    </row>
    <row r="714" spans="1:16" s="840" customFormat="1" ht="22.5" customHeight="1" x14ac:dyDescent="0.3">
      <c r="A714" s="839">
        <v>706</v>
      </c>
      <c r="B714" s="897"/>
      <c r="C714" s="882">
        <v>98</v>
      </c>
      <c r="D714" s="980" t="s">
        <v>674</v>
      </c>
      <c r="E714" s="884">
        <v>40000</v>
      </c>
      <c r="F714" s="884">
        <v>60000</v>
      </c>
      <c r="G714" s="885">
        <v>77429</v>
      </c>
      <c r="H714" s="886" t="s">
        <v>106</v>
      </c>
      <c r="I714" s="887"/>
      <c r="J714" s="888"/>
      <c r="K714" s="888"/>
      <c r="L714" s="888"/>
      <c r="M714" s="888"/>
      <c r="N714" s="890"/>
      <c r="P714" s="891"/>
    </row>
    <row r="715" spans="1:16" s="840" customFormat="1" ht="18" customHeight="1" x14ac:dyDescent="0.3">
      <c r="A715" s="839">
        <v>707</v>
      </c>
      <c r="B715" s="897"/>
      <c r="C715" s="882"/>
      <c r="D715" s="981" t="s">
        <v>230</v>
      </c>
      <c r="E715" s="884"/>
      <c r="F715" s="884"/>
      <c r="G715" s="885"/>
      <c r="H715" s="886"/>
      <c r="I715" s="887">
        <f>SUM(J715:N715)</f>
        <v>75000</v>
      </c>
      <c r="J715" s="888"/>
      <c r="K715" s="888"/>
      <c r="L715" s="888"/>
      <c r="M715" s="888"/>
      <c r="N715" s="900">
        <v>75000</v>
      </c>
      <c r="P715" s="891"/>
    </row>
    <row r="716" spans="1:16" s="840" customFormat="1" ht="18" customHeight="1" x14ac:dyDescent="0.3">
      <c r="A716" s="839">
        <v>708</v>
      </c>
      <c r="B716" s="897"/>
      <c r="C716" s="882"/>
      <c r="D716" s="982" t="s">
        <v>231</v>
      </c>
      <c r="E716" s="884"/>
      <c r="F716" s="884"/>
      <c r="G716" s="885"/>
      <c r="H716" s="886"/>
      <c r="I716" s="878">
        <f>SUM(J716:N716)</f>
        <v>75000</v>
      </c>
      <c r="J716" s="901"/>
      <c r="K716" s="901"/>
      <c r="L716" s="901"/>
      <c r="M716" s="901"/>
      <c r="N716" s="903">
        <v>75000</v>
      </c>
      <c r="P716" s="891"/>
    </row>
    <row r="717" spans="1:16" s="840" customFormat="1" ht="18" customHeight="1" x14ac:dyDescent="0.3">
      <c r="A717" s="839">
        <v>709</v>
      </c>
      <c r="B717" s="897"/>
      <c r="C717" s="882"/>
      <c r="D717" s="983" t="s">
        <v>245</v>
      </c>
      <c r="E717" s="884"/>
      <c r="F717" s="884"/>
      <c r="G717" s="885"/>
      <c r="H717" s="886"/>
      <c r="I717" s="272">
        <f>SUM(J717:Q717)</f>
        <v>0</v>
      </c>
      <c r="J717" s="888"/>
      <c r="K717" s="888"/>
      <c r="L717" s="888"/>
      <c r="M717" s="888"/>
      <c r="N717" s="900"/>
      <c r="P717" s="891"/>
    </row>
    <row r="718" spans="1:16" s="840" customFormat="1" ht="18" customHeight="1" x14ac:dyDescent="0.3">
      <c r="A718" s="839">
        <v>710</v>
      </c>
      <c r="B718" s="897"/>
      <c r="C718" s="882"/>
      <c r="D718" s="982" t="s">
        <v>233</v>
      </c>
      <c r="E718" s="884"/>
      <c r="F718" s="884"/>
      <c r="G718" s="885"/>
      <c r="H718" s="886"/>
      <c r="I718" s="268">
        <f>SUM(J718:Q718)</f>
        <v>75000</v>
      </c>
      <c r="J718" s="902"/>
      <c r="K718" s="902"/>
      <c r="L718" s="902"/>
      <c r="M718" s="902"/>
      <c r="N718" s="903">
        <f>SUM(N716:N717)</f>
        <v>75000</v>
      </c>
      <c r="P718" s="891"/>
    </row>
    <row r="719" spans="1:16" s="840" customFormat="1" ht="22.5" customHeight="1" x14ac:dyDescent="0.3">
      <c r="A719" s="839">
        <v>711</v>
      </c>
      <c r="B719" s="897"/>
      <c r="C719" s="882">
        <v>99</v>
      </c>
      <c r="D719" s="980" t="s">
        <v>675</v>
      </c>
      <c r="E719" s="884">
        <v>200436</v>
      </c>
      <c r="F719" s="884">
        <v>188233</v>
      </c>
      <c r="G719" s="885">
        <v>238819</v>
      </c>
      <c r="H719" s="886" t="s">
        <v>106</v>
      </c>
      <c r="I719" s="887"/>
      <c r="J719" s="888"/>
      <c r="K719" s="888"/>
      <c r="L719" s="888"/>
      <c r="M719" s="888"/>
      <c r="N719" s="900"/>
      <c r="P719" s="891"/>
    </row>
    <row r="720" spans="1:16" s="840" customFormat="1" ht="18" customHeight="1" x14ac:dyDescent="0.3">
      <c r="A720" s="839">
        <v>712</v>
      </c>
      <c r="B720" s="897"/>
      <c r="C720" s="882"/>
      <c r="D720" s="981" t="s">
        <v>230</v>
      </c>
      <c r="E720" s="884"/>
      <c r="F720" s="884"/>
      <c r="G720" s="885"/>
      <c r="H720" s="886"/>
      <c r="I720" s="887">
        <f>SUM(J720:N720)</f>
        <v>197941</v>
      </c>
      <c r="J720" s="888"/>
      <c r="K720" s="888"/>
      <c r="L720" s="888"/>
      <c r="M720" s="888"/>
      <c r="N720" s="900">
        <v>197941</v>
      </c>
      <c r="P720" s="891"/>
    </row>
    <row r="721" spans="1:16" s="840" customFormat="1" ht="18" customHeight="1" x14ac:dyDescent="0.3">
      <c r="A721" s="839">
        <v>713</v>
      </c>
      <c r="B721" s="897"/>
      <c r="C721" s="882"/>
      <c r="D721" s="982" t="s">
        <v>231</v>
      </c>
      <c r="E721" s="884"/>
      <c r="F721" s="884"/>
      <c r="G721" s="885"/>
      <c r="H721" s="886"/>
      <c r="I721" s="878">
        <f>SUM(J721:N721)</f>
        <v>197941</v>
      </c>
      <c r="J721" s="901"/>
      <c r="K721" s="901"/>
      <c r="L721" s="901"/>
      <c r="M721" s="901"/>
      <c r="N721" s="903">
        <v>197941</v>
      </c>
      <c r="P721" s="891"/>
    </row>
    <row r="722" spans="1:16" s="840" customFormat="1" ht="18" customHeight="1" x14ac:dyDescent="0.3">
      <c r="A722" s="839">
        <v>714</v>
      </c>
      <c r="B722" s="897"/>
      <c r="C722" s="882"/>
      <c r="D722" s="983" t="s">
        <v>245</v>
      </c>
      <c r="E722" s="884"/>
      <c r="F722" s="884"/>
      <c r="G722" s="885"/>
      <c r="H722" s="886"/>
      <c r="I722" s="272">
        <f>SUM(J722:Q722)</f>
        <v>0</v>
      </c>
      <c r="J722" s="888"/>
      <c r="K722" s="888"/>
      <c r="L722" s="888"/>
      <c r="M722" s="888"/>
      <c r="N722" s="900"/>
      <c r="P722" s="891"/>
    </row>
    <row r="723" spans="1:16" s="840" customFormat="1" ht="18" customHeight="1" x14ac:dyDescent="0.3">
      <c r="A723" s="839">
        <v>715</v>
      </c>
      <c r="B723" s="897"/>
      <c r="C723" s="882"/>
      <c r="D723" s="982" t="s">
        <v>233</v>
      </c>
      <c r="E723" s="884"/>
      <c r="F723" s="884"/>
      <c r="G723" s="885"/>
      <c r="H723" s="886"/>
      <c r="I723" s="268">
        <f>SUM(J723:Q723)</f>
        <v>197941</v>
      </c>
      <c r="J723" s="902"/>
      <c r="K723" s="902"/>
      <c r="L723" s="902"/>
      <c r="M723" s="902"/>
      <c r="N723" s="903">
        <f>SUM(N721:N722)</f>
        <v>197941</v>
      </c>
      <c r="P723" s="891"/>
    </row>
    <row r="724" spans="1:16" s="891" customFormat="1" ht="22.5" customHeight="1" x14ac:dyDescent="0.3">
      <c r="A724" s="839">
        <v>716</v>
      </c>
      <c r="B724" s="881"/>
      <c r="C724" s="882">
        <v>100</v>
      </c>
      <c r="D724" s="898" t="s">
        <v>676</v>
      </c>
      <c r="E724" s="884">
        <v>123846</v>
      </c>
      <c r="F724" s="884">
        <v>146170</v>
      </c>
      <c r="G724" s="885">
        <v>73566</v>
      </c>
      <c r="H724" s="886" t="s">
        <v>106</v>
      </c>
      <c r="I724" s="887"/>
      <c r="J724" s="888"/>
      <c r="K724" s="888"/>
      <c r="L724" s="888"/>
      <c r="M724" s="888"/>
      <c r="N724" s="890"/>
    </row>
    <row r="725" spans="1:16" s="918" customFormat="1" ht="18" customHeight="1" x14ac:dyDescent="0.3">
      <c r="A725" s="839">
        <v>717</v>
      </c>
      <c r="B725" s="914"/>
      <c r="C725" s="915"/>
      <c r="D725" s="883" t="s">
        <v>230</v>
      </c>
      <c r="E725" s="887"/>
      <c r="F725" s="887"/>
      <c r="G725" s="916"/>
      <c r="H725" s="917"/>
      <c r="I725" s="887">
        <f>SUM(J725:N725)</f>
        <v>62035</v>
      </c>
      <c r="J725" s="889"/>
      <c r="K725" s="889"/>
      <c r="L725" s="889">
        <v>62035</v>
      </c>
      <c r="M725" s="889"/>
      <c r="N725" s="900"/>
    </row>
    <row r="726" spans="1:16" s="918" customFormat="1" ht="18" customHeight="1" x14ac:dyDescent="0.3">
      <c r="A726" s="839">
        <v>718</v>
      </c>
      <c r="B726" s="914"/>
      <c r="C726" s="915"/>
      <c r="D726" s="266" t="s">
        <v>231</v>
      </c>
      <c r="E726" s="887"/>
      <c r="F726" s="887"/>
      <c r="G726" s="916"/>
      <c r="H726" s="917"/>
      <c r="I726" s="878">
        <f>SUM(J726:N726)</f>
        <v>72160</v>
      </c>
      <c r="J726" s="902"/>
      <c r="K726" s="902"/>
      <c r="L726" s="902">
        <v>72160</v>
      </c>
      <c r="M726" s="889"/>
      <c r="N726" s="900"/>
    </row>
    <row r="727" spans="1:16" s="918" customFormat="1" ht="18" customHeight="1" x14ac:dyDescent="0.3">
      <c r="A727" s="839">
        <v>719</v>
      </c>
      <c r="B727" s="914"/>
      <c r="C727" s="915"/>
      <c r="D727" s="270" t="s">
        <v>232</v>
      </c>
      <c r="E727" s="887"/>
      <c r="F727" s="887"/>
      <c r="G727" s="916"/>
      <c r="H727" s="917"/>
      <c r="I727" s="272">
        <f>SUM(J727:Q727)</f>
        <v>0</v>
      </c>
      <c r="J727" s="889"/>
      <c r="K727" s="889"/>
      <c r="L727" s="904"/>
      <c r="M727" s="889"/>
      <c r="N727" s="900"/>
    </row>
    <row r="728" spans="1:16" s="918" customFormat="1" ht="18" customHeight="1" x14ac:dyDescent="0.3">
      <c r="A728" s="839">
        <v>720</v>
      </c>
      <c r="B728" s="914"/>
      <c r="C728" s="915"/>
      <c r="D728" s="266" t="s">
        <v>233</v>
      </c>
      <c r="E728" s="887"/>
      <c r="F728" s="887"/>
      <c r="G728" s="916"/>
      <c r="H728" s="917"/>
      <c r="I728" s="268">
        <f>SUM(J728:Q728)</f>
        <v>72160</v>
      </c>
      <c r="J728" s="902"/>
      <c r="K728" s="902"/>
      <c r="L728" s="902">
        <f>SUM(L726:L727)</f>
        <v>72160</v>
      </c>
      <c r="M728" s="889"/>
      <c r="N728" s="900"/>
    </row>
    <row r="729" spans="1:16" s="840" customFormat="1" ht="22.5" customHeight="1" x14ac:dyDescent="0.3">
      <c r="A729" s="839">
        <v>721</v>
      </c>
      <c r="B729" s="897"/>
      <c r="C729" s="882">
        <v>101</v>
      </c>
      <c r="D729" s="898" t="s">
        <v>677</v>
      </c>
      <c r="E729" s="884">
        <v>13500</v>
      </c>
      <c r="F729" s="884">
        <v>12500</v>
      </c>
      <c r="G729" s="885">
        <v>10000</v>
      </c>
      <c r="H729" s="886" t="s">
        <v>106</v>
      </c>
      <c r="I729" s="887"/>
      <c r="J729" s="888"/>
      <c r="K729" s="888"/>
      <c r="L729" s="888"/>
      <c r="M729" s="888"/>
      <c r="N729" s="890"/>
      <c r="P729" s="891"/>
    </row>
    <row r="730" spans="1:16" s="918" customFormat="1" ht="18" customHeight="1" x14ac:dyDescent="0.3">
      <c r="A730" s="839">
        <v>722</v>
      </c>
      <c r="B730" s="914"/>
      <c r="C730" s="915"/>
      <c r="D730" s="883" t="s">
        <v>230</v>
      </c>
      <c r="E730" s="887"/>
      <c r="F730" s="887"/>
      <c r="G730" s="916"/>
      <c r="H730" s="917"/>
      <c r="I730" s="887">
        <f>SUM(J730:N730)</f>
        <v>2500</v>
      </c>
      <c r="J730" s="889"/>
      <c r="K730" s="889"/>
      <c r="L730" s="889">
        <v>2500</v>
      </c>
      <c r="M730" s="889"/>
      <c r="N730" s="900"/>
    </row>
    <row r="731" spans="1:16" s="918" customFormat="1" ht="18" customHeight="1" x14ac:dyDescent="0.3">
      <c r="A731" s="839">
        <v>723</v>
      </c>
      <c r="B731" s="914"/>
      <c r="C731" s="915"/>
      <c r="D731" s="266" t="s">
        <v>231</v>
      </c>
      <c r="E731" s="887"/>
      <c r="F731" s="887"/>
      <c r="G731" s="916"/>
      <c r="H731" s="917"/>
      <c r="I731" s="878">
        <f>SUM(J731:N731)</f>
        <v>2500</v>
      </c>
      <c r="J731" s="902"/>
      <c r="K731" s="902"/>
      <c r="L731" s="902">
        <v>2500</v>
      </c>
      <c r="M731" s="889"/>
      <c r="N731" s="900"/>
    </row>
    <row r="732" spans="1:16" s="918" customFormat="1" ht="18" customHeight="1" x14ac:dyDescent="0.3">
      <c r="A732" s="839">
        <v>724</v>
      </c>
      <c r="B732" s="914"/>
      <c r="C732" s="915"/>
      <c r="D732" s="270" t="s">
        <v>245</v>
      </c>
      <c r="E732" s="887"/>
      <c r="F732" s="887"/>
      <c r="G732" s="916"/>
      <c r="H732" s="917"/>
      <c r="I732" s="272">
        <f>SUM(J732:Q732)</f>
        <v>0</v>
      </c>
      <c r="J732" s="889"/>
      <c r="K732" s="889"/>
      <c r="L732" s="889"/>
      <c r="M732" s="889"/>
      <c r="N732" s="900"/>
    </row>
    <row r="733" spans="1:16" s="918" customFormat="1" ht="18" customHeight="1" x14ac:dyDescent="0.3">
      <c r="A733" s="839">
        <v>725</v>
      </c>
      <c r="B733" s="914"/>
      <c r="C733" s="915"/>
      <c r="D733" s="266" t="s">
        <v>233</v>
      </c>
      <c r="E733" s="887"/>
      <c r="F733" s="887"/>
      <c r="G733" s="916"/>
      <c r="H733" s="917"/>
      <c r="I733" s="268">
        <f>SUM(J733:Q733)</f>
        <v>2500</v>
      </c>
      <c r="J733" s="889"/>
      <c r="K733" s="889"/>
      <c r="L733" s="902">
        <f>SUM(L731:L732)</f>
        <v>2500</v>
      </c>
      <c r="M733" s="889"/>
      <c r="N733" s="900"/>
    </row>
    <row r="734" spans="1:16" s="840" customFormat="1" ht="22.5" customHeight="1" x14ac:dyDescent="0.3">
      <c r="A734" s="839">
        <v>726</v>
      </c>
      <c r="B734" s="897"/>
      <c r="C734" s="882">
        <v>102</v>
      </c>
      <c r="D734" s="898" t="s">
        <v>678</v>
      </c>
      <c r="E734" s="884">
        <v>1200</v>
      </c>
      <c r="F734" s="884">
        <v>1200</v>
      </c>
      <c r="G734" s="885">
        <v>1200</v>
      </c>
      <c r="H734" s="886" t="s">
        <v>106</v>
      </c>
      <c r="I734" s="887"/>
      <c r="J734" s="888"/>
      <c r="K734" s="888"/>
      <c r="L734" s="888"/>
      <c r="M734" s="888"/>
      <c r="N734" s="890"/>
      <c r="P734" s="891"/>
    </row>
    <row r="735" spans="1:16" s="918" customFormat="1" ht="18" customHeight="1" x14ac:dyDescent="0.3">
      <c r="A735" s="839">
        <v>727</v>
      </c>
      <c r="B735" s="914"/>
      <c r="C735" s="915"/>
      <c r="D735" s="883" t="s">
        <v>230</v>
      </c>
      <c r="E735" s="887"/>
      <c r="F735" s="887"/>
      <c r="G735" s="916"/>
      <c r="H735" s="917"/>
      <c r="I735" s="887">
        <f>SUM(J735:N735)</f>
        <v>1200</v>
      </c>
      <c r="J735" s="889"/>
      <c r="K735" s="889"/>
      <c r="L735" s="889">
        <v>1200</v>
      </c>
      <c r="M735" s="889"/>
      <c r="N735" s="900"/>
    </row>
    <row r="736" spans="1:16" s="918" customFormat="1" ht="18" customHeight="1" x14ac:dyDescent="0.3">
      <c r="A736" s="839">
        <v>728</v>
      </c>
      <c r="B736" s="914"/>
      <c r="C736" s="915"/>
      <c r="D736" s="266" t="s">
        <v>231</v>
      </c>
      <c r="E736" s="887"/>
      <c r="F736" s="887"/>
      <c r="G736" s="916"/>
      <c r="H736" s="917"/>
      <c r="I736" s="878">
        <f>SUM(J736:N736)</f>
        <v>1200</v>
      </c>
      <c r="J736" s="902"/>
      <c r="K736" s="902"/>
      <c r="L736" s="902">
        <v>1200</v>
      </c>
      <c r="M736" s="889"/>
      <c r="N736" s="900"/>
    </row>
    <row r="737" spans="1:16" s="918" customFormat="1" ht="18" customHeight="1" x14ac:dyDescent="0.3">
      <c r="A737" s="839">
        <v>729</v>
      </c>
      <c r="B737" s="914"/>
      <c r="C737" s="915"/>
      <c r="D737" s="270" t="s">
        <v>245</v>
      </c>
      <c r="E737" s="887"/>
      <c r="F737" s="887"/>
      <c r="G737" s="916"/>
      <c r="H737" s="917"/>
      <c r="I737" s="272">
        <f>SUM(J737:Q737)</f>
        <v>0</v>
      </c>
      <c r="J737" s="889"/>
      <c r="K737" s="889"/>
      <c r="L737" s="889"/>
      <c r="M737" s="889"/>
      <c r="N737" s="900"/>
    </row>
    <row r="738" spans="1:16" s="918" customFormat="1" ht="18" customHeight="1" x14ac:dyDescent="0.3">
      <c r="A738" s="839">
        <v>730</v>
      </c>
      <c r="B738" s="914"/>
      <c r="C738" s="915"/>
      <c r="D738" s="266" t="s">
        <v>233</v>
      </c>
      <c r="E738" s="887"/>
      <c r="F738" s="887"/>
      <c r="G738" s="916"/>
      <c r="H738" s="917"/>
      <c r="I738" s="268">
        <f>SUM(J738:Q738)</f>
        <v>1200</v>
      </c>
      <c r="J738" s="889"/>
      <c r="K738" s="889"/>
      <c r="L738" s="902">
        <f>SUM(L736:L737)</f>
        <v>1200</v>
      </c>
      <c r="M738" s="889"/>
      <c r="N738" s="900"/>
    </row>
    <row r="739" spans="1:16" s="840" customFormat="1" ht="22.5" customHeight="1" x14ac:dyDescent="0.3">
      <c r="A739" s="839">
        <v>731</v>
      </c>
      <c r="B739" s="897"/>
      <c r="C739" s="882">
        <v>103</v>
      </c>
      <c r="D739" s="898" t="s">
        <v>679</v>
      </c>
      <c r="E739" s="884">
        <v>921</v>
      </c>
      <c r="F739" s="884">
        <v>3340</v>
      </c>
      <c r="G739" s="885">
        <v>1392</v>
      </c>
      <c r="H739" s="886" t="s">
        <v>106</v>
      </c>
      <c r="I739" s="887"/>
      <c r="J739" s="888"/>
      <c r="K739" s="888"/>
      <c r="L739" s="888"/>
      <c r="M739" s="888"/>
      <c r="N739" s="890"/>
      <c r="P739" s="891"/>
    </row>
    <row r="740" spans="1:16" s="918" customFormat="1" ht="18" customHeight="1" x14ac:dyDescent="0.3">
      <c r="A740" s="839">
        <v>732</v>
      </c>
      <c r="B740" s="914"/>
      <c r="C740" s="915"/>
      <c r="D740" s="883" t="s">
        <v>230</v>
      </c>
      <c r="E740" s="887"/>
      <c r="F740" s="887"/>
      <c r="G740" s="916"/>
      <c r="H740" s="917"/>
      <c r="I740" s="887">
        <f>SUM(J740:N740)</f>
        <v>4608</v>
      </c>
      <c r="J740" s="889"/>
      <c r="K740" s="889"/>
      <c r="L740" s="889">
        <f>3000+1608</f>
        <v>4608</v>
      </c>
      <c r="M740" s="889"/>
      <c r="N740" s="900"/>
    </row>
    <row r="741" spans="1:16" s="918" customFormat="1" ht="18" customHeight="1" x14ac:dyDescent="0.3">
      <c r="A741" s="839">
        <v>733</v>
      </c>
      <c r="B741" s="914"/>
      <c r="C741" s="915"/>
      <c r="D741" s="266" t="s">
        <v>231</v>
      </c>
      <c r="E741" s="887"/>
      <c r="F741" s="887"/>
      <c r="G741" s="916"/>
      <c r="H741" s="917"/>
      <c r="I741" s="878">
        <f>SUM(J741:N741)</f>
        <v>4608</v>
      </c>
      <c r="J741" s="902"/>
      <c r="K741" s="902"/>
      <c r="L741" s="902">
        <v>4608</v>
      </c>
      <c r="M741" s="889"/>
      <c r="N741" s="900"/>
    </row>
    <row r="742" spans="1:16" s="918" customFormat="1" ht="18" customHeight="1" x14ac:dyDescent="0.3">
      <c r="A742" s="839">
        <v>734</v>
      </c>
      <c r="B742" s="914"/>
      <c r="C742" s="915"/>
      <c r="D742" s="270" t="s">
        <v>245</v>
      </c>
      <c r="E742" s="887"/>
      <c r="F742" s="887"/>
      <c r="G742" s="916"/>
      <c r="H742" s="917"/>
      <c r="I742" s="272">
        <f>SUM(J742:Q742)</f>
        <v>0</v>
      </c>
      <c r="J742" s="889"/>
      <c r="K742" s="889"/>
      <c r="L742" s="889"/>
      <c r="M742" s="889"/>
      <c r="N742" s="900"/>
    </row>
    <row r="743" spans="1:16" s="918" customFormat="1" ht="18" customHeight="1" x14ac:dyDescent="0.3">
      <c r="A743" s="839">
        <v>735</v>
      </c>
      <c r="B743" s="914"/>
      <c r="C743" s="915"/>
      <c r="D743" s="266" t="s">
        <v>233</v>
      </c>
      <c r="E743" s="887"/>
      <c r="F743" s="887"/>
      <c r="G743" s="916"/>
      <c r="H743" s="917"/>
      <c r="I743" s="268">
        <f>SUM(J743:Q743)</f>
        <v>4608</v>
      </c>
      <c r="J743" s="889"/>
      <c r="K743" s="889"/>
      <c r="L743" s="902">
        <f>SUM(L741:L742)</f>
        <v>4608</v>
      </c>
      <c r="M743" s="889"/>
      <c r="N743" s="900"/>
    </row>
    <row r="744" spans="1:16" s="840" customFormat="1" ht="22.5" customHeight="1" x14ac:dyDescent="0.3">
      <c r="A744" s="839">
        <v>736</v>
      </c>
      <c r="B744" s="897"/>
      <c r="C744" s="882">
        <v>104</v>
      </c>
      <c r="D744" s="898" t="s">
        <v>680</v>
      </c>
      <c r="E744" s="884">
        <v>27501</v>
      </c>
      <c r="F744" s="884">
        <v>35932</v>
      </c>
      <c r="G744" s="885">
        <v>24989</v>
      </c>
      <c r="H744" s="886" t="s">
        <v>106</v>
      </c>
      <c r="I744" s="887"/>
      <c r="J744" s="888"/>
      <c r="K744" s="888"/>
      <c r="L744" s="888"/>
      <c r="M744" s="888"/>
      <c r="N744" s="890"/>
      <c r="P744" s="891"/>
    </row>
    <row r="745" spans="1:16" s="918" customFormat="1" ht="18" customHeight="1" x14ac:dyDescent="0.3">
      <c r="A745" s="839">
        <v>737</v>
      </c>
      <c r="B745" s="914"/>
      <c r="C745" s="915"/>
      <c r="D745" s="883" t="s">
        <v>230</v>
      </c>
      <c r="E745" s="887"/>
      <c r="F745" s="887"/>
      <c r="G745" s="916"/>
      <c r="H745" s="917"/>
      <c r="I745" s="887">
        <f>SUM(J745:N745)</f>
        <v>53144</v>
      </c>
      <c r="J745" s="889"/>
      <c r="K745" s="889"/>
      <c r="L745" s="889">
        <f>32400+20744</f>
        <v>53144</v>
      </c>
      <c r="M745" s="889"/>
      <c r="N745" s="900"/>
    </row>
    <row r="746" spans="1:16" s="918" customFormat="1" ht="18" customHeight="1" x14ac:dyDescent="0.3">
      <c r="A746" s="839">
        <v>738</v>
      </c>
      <c r="B746" s="914"/>
      <c r="C746" s="915"/>
      <c r="D746" s="266" t="s">
        <v>231</v>
      </c>
      <c r="E746" s="887"/>
      <c r="F746" s="887"/>
      <c r="G746" s="916"/>
      <c r="H746" s="917"/>
      <c r="I746" s="878">
        <f>SUM(J746:N746)</f>
        <v>73931</v>
      </c>
      <c r="J746" s="902"/>
      <c r="K746" s="902"/>
      <c r="L746" s="902">
        <v>73931</v>
      </c>
      <c r="M746" s="889"/>
      <c r="N746" s="900"/>
    </row>
    <row r="747" spans="1:16" s="918" customFormat="1" ht="18" customHeight="1" x14ac:dyDescent="0.3">
      <c r="A747" s="839">
        <v>739</v>
      </c>
      <c r="B747" s="914"/>
      <c r="C747" s="915"/>
      <c r="D747" s="270" t="s">
        <v>232</v>
      </c>
      <c r="E747" s="887"/>
      <c r="F747" s="887"/>
      <c r="G747" s="916"/>
      <c r="H747" s="917"/>
      <c r="I747" s="272">
        <f>SUM(J747:Q747)</f>
        <v>0</v>
      </c>
      <c r="J747" s="889"/>
      <c r="K747" s="889"/>
      <c r="L747" s="904"/>
      <c r="M747" s="889"/>
      <c r="N747" s="900"/>
    </row>
    <row r="748" spans="1:16" s="918" customFormat="1" ht="18" customHeight="1" x14ac:dyDescent="0.3">
      <c r="A748" s="839">
        <v>740</v>
      </c>
      <c r="B748" s="914"/>
      <c r="C748" s="915"/>
      <c r="D748" s="266" t="s">
        <v>233</v>
      </c>
      <c r="E748" s="887"/>
      <c r="F748" s="887"/>
      <c r="G748" s="916"/>
      <c r="H748" s="917"/>
      <c r="I748" s="268">
        <f>SUM(J748:Q748)</f>
        <v>73931</v>
      </c>
      <c r="J748" s="889"/>
      <c r="K748" s="889"/>
      <c r="L748" s="902">
        <f>SUM(L746:L747)</f>
        <v>73931</v>
      </c>
      <c r="M748" s="889"/>
      <c r="N748" s="900"/>
    </row>
    <row r="749" spans="1:16" s="840" customFormat="1" ht="22.5" customHeight="1" x14ac:dyDescent="0.3">
      <c r="A749" s="839">
        <v>741</v>
      </c>
      <c r="B749" s="897"/>
      <c r="C749" s="882">
        <v>105</v>
      </c>
      <c r="D749" s="898" t="s">
        <v>681</v>
      </c>
      <c r="E749" s="884">
        <v>359440</v>
      </c>
      <c r="F749" s="884">
        <v>735713</v>
      </c>
      <c r="G749" s="885">
        <v>682755</v>
      </c>
      <c r="H749" s="886" t="s">
        <v>106</v>
      </c>
      <c r="I749" s="887"/>
      <c r="J749" s="888"/>
      <c r="K749" s="888"/>
      <c r="L749" s="888"/>
      <c r="M749" s="888"/>
      <c r="N749" s="890"/>
      <c r="P749" s="891"/>
    </row>
    <row r="750" spans="1:16" s="918" customFormat="1" ht="18" customHeight="1" x14ac:dyDescent="0.3">
      <c r="A750" s="839">
        <v>742</v>
      </c>
      <c r="B750" s="914"/>
      <c r="C750" s="915"/>
      <c r="D750" s="883" t="s">
        <v>230</v>
      </c>
      <c r="E750" s="887"/>
      <c r="F750" s="887"/>
      <c r="G750" s="916"/>
      <c r="H750" s="917"/>
      <c r="I750" s="887">
        <f>SUM(J750:N750)</f>
        <v>897958</v>
      </c>
      <c r="J750" s="889"/>
      <c r="K750" s="889"/>
      <c r="L750" s="889">
        <f>845000+52958</f>
        <v>897958</v>
      </c>
      <c r="M750" s="889"/>
      <c r="N750" s="900"/>
    </row>
    <row r="751" spans="1:16" s="918" customFormat="1" ht="18" customHeight="1" x14ac:dyDescent="0.3">
      <c r="A751" s="839">
        <v>743</v>
      </c>
      <c r="B751" s="914"/>
      <c r="C751" s="915"/>
      <c r="D751" s="266" t="s">
        <v>231</v>
      </c>
      <c r="E751" s="887"/>
      <c r="F751" s="887"/>
      <c r="G751" s="916"/>
      <c r="H751" s="917"/>
      <c r="I751" s="878">
        <f>SUM(J751:N751)</f>
        <v>918289</v>
      </c>
      <c r="J751" s="902"/>
      <c r="K751" s="902"/>
      <c r="L751" s="902">
        <v>918289</v>
      </c>
      <c r="M751" s="889"/>
      <c r="N751" s="900"/>
    </row>
    <row r="752" spans="1:16" s="918" customFormat="1" ht="18" customHeight="1" x14ac:dyDescent="0.3">
      <c r="A752" s="839">
        <v>744</v>
      </c>
      <c r="B752" s="914"/>
      <c r="C752" s="915"/>
      <c r="D752" s="270" t="s">
        <v>232</v>
      </c>
      <c r="E752" s="887"/>
      <c r="F752" s="887"/>
      <c r="G752" s="916"/>
      <c r="H752" s="917"/>
      <c r="I752" s="272">
        <f>SUM(J752:Q752)</f>
        <v>0</v>
      </c>
      <c r="J752" s="889"/>
      <c r="K752" s="889"/>
      <c r="L752" s="904"/>
      <c r="M752" s="889"/>
      <c r="N752" s="900"/>
    </row>
    <row r="753" spans="1:16" s="918" customFormat="1" ht="18" customHeight="1" x14ac:dyDescent="0.3">
      <c r="A753" s="839">
        <v>745</v>
      </c>
      <c r="B753" s="914"/>
      <c r="C753" s="915"/>
      <c r="D753" s="266" t="s">
        <v>233</v>
      </c>
      <c r="E753" s="887"/>
      <c r="F753" s="887"/>
      <c r="G753" s="916"/>
      <c r="H753" s="917"/>
      <c r="I753" s="268">
        <f>SUM(J753:Q753)</f>
        <v>918289</v>
      </c>
      <c r="J753" s="889"/>
      <c r="K753" s="889"/>
      <c r="L753" s="902">
        <f>SUM(L751:L752)</f>
        <v>918289</v>
      </c>
      <c r="M753" s="889"/>
      <c r="N753" s="900"/>
    </row>
    <row r="754" spans="1:16" s="840" customFormat="1" ht="22.5" customHeight="1" x14ac:dyDescent="0.3">
      <c r="A754" s="839">
        <v>746</v>
      </c>
      <c r="B754" s="897"/>
      <c r="C754" s="882">
        <v>106</v>
      </c>
      <c r="D754" s="898" t="s">
        <v>682</v>
      </c>
      <c r="E754" s="884">
        <v>4005</v>
      </c>
      <c r="F754" s="884">
        <v>5000</v>
      </c>
      <c r="G754" s="885">
        <v>4285</v>
      </c>
      <c r="H754" s="886" t="s">
        <v>106</v>
      </c>
      <c r="I754" s="887"/>
      <c r="J754" s="888"/>
      <c r="K754" s="888"/>
      <c r="L754" s="888"/>
      <c r="M754" s="888"/>
      <c r="N754" s="890"/>
      <c r="P754" s="891"/>
    </row>
    <row r="755" spans="1:16" s="918" customFormat="1" ht="18" customHeight="1" x14ac:dyDescent="0.3">
      <c r="A755" s="839">
        <v>747</v>
      </c>
      <c r="B755" s="914"/>
      <c r="C755" s="915"/>
      <c r="D755" s="883" t="s">
        <v>230</v>
      </c>
      <c r="E755" s="887"/>
      <c r="F755" s="887"/>
      <c r="G755" s="916"/>
      <c r="H755" s="917"/>
      <c r="I755" s="887">
        <f>SUM(J755:N755)</f>
        <v>8959</v>
      </c>
      <c r="J755" s="889"/>
      <c r="K755" s="889"/>
      <c r="L755" s="889">
        <f>6000+2959</f>
        <v>8959</v>
      </c>
      <c r="M755" s="889"/>
      <c r="N755" s="900"/>
    </row>
    <row r="756" spans="1:16" s="918" customFormat="1" ht="18" customHeight="1" x14ac:dyDescent="0.3">
      <c r="A756" s="839">
        <v>748</v>
      </c>
      <c r="B756" s="914"/>
      <c r="C756" s="915"/>
      <c r="D756" s="266" t="s">
        <v>231</v>
      </c>
      <c r="E756" s="887"/>
      <c r="F756" s="887"/>
      <c r="G756" s="916"/>
      <c r="H756" s="917"/>
      <c r="I756" s="878">
        <f>SUM(J756:N756)</f>
        <v>8959</v>
      </c>
      <c r="J756" s="902"/>
      <c r="K756" s="902"/>
      <c r="L756" s="902">
        <v>8959</v>
      </c>
      <c r="M756" s="889"/>
      <c r="N756" s="900"/>
    </row>
    <row r="757" spans="1:16" s="918" customFormat="1" ht="18" customHeight="1" x14ac:dyDescent="0.3">
      <c r="A757" s="839">
        <v>749</v>
      </c>
      <c r="B757" s="914"/>
      <c r="C757" s="915"/>
      <c r="D757" s="270" t="s">
        <v>245</v>
      </c>
      <c r="E757" s="887"/>
      <c r="F757" s="887"/>
      <c r="G757" s="916"/>
      <c r="H757" s="917"/>
      <c r="I757" s="272">
        <f>SUM(J757:Q757)</f>
        <v>0</v>
      </c>
      <c r="J757" s="889"/>
      <c r="K757" s="889"/>
      <c r="L757" s="889"/>
      <c r="M757" s="889"/>
      <c r="N757" s="900"/>
    </row>
    <row r="758" spans="1:16" s="918" customFormat="1" ht="18" customHeight="1" x14ac:dyDescent="0.3">
      <c r="A758" s="839">
        <v>750</v>
      </c>
      <c r="B758" s="914"/>
      <c r="C758" s="915"/>
      <c r="D758" s="266" t="s">
        <v>233</v>
      </c>
      <c r="E758" s="887"/>
      <c r="F758" s="887"/>
      <c r="G758" s="916"/>
      <c r="H758" s="917"/>
      <c r="I758" s="268">
        <f>SUM(J758:Q758)</f>
        <v>8959</v>
      </c>
      <c r="J758" s="889"/>
      <c r="K758" s="889"/>
      <c r="L758" s="902">
        <f>SUM(L756:L757)</f>
        <v>8959</v>
      </c>
      <c r="M758" s="889"/>
      <c r="N758" s="900"/>
    </row>
    <row r="759" spans="1:16" s="840" customFormat="1" ht="22.5" customHeight="1" x14ac:dyDescent="0.3">
      <c r="A759" s="839">
        <v>751</v>
      </c>
      <c r="B759" s="897"/>
      <c r="C759" s="882">
        <v>107</v>
      </c>
      <c r="D759" s="898" t="s">
        <v>683</v>
      </c>
      <c r="E759" s="884">
        <v>421</v>
      </c>
      <c r="F759" s="884">
        <v>10886</v>
      </c>
      <c r="G759" s="885">
        <v>3251</v>
      </c>
      <c r="H759" s="886" t="s">
        <v>106</v>
      </c>
      <c r="I759" s="887"/>
      <c r="J759" s="888"/>
      <c r="K759" s="888"/>
      <c r="L759" s="888"/>
      <c r="M759" s="888"/>
      <c r="N759" s="890"/>
      <c r="P759" s="891"/>
    </row>
    <row r="760" spans="1:16" s="918" customFormat="1" ht="18" customHeight="1" x14ac:dyDescent="0.3">
      <c r="A760" s="839">
        <v>752</v>
      </c>
      <c r="B760" s="914"/>
      <c r="C760" s="915"/>
      <c r="D760" s="883" t="s">
        <v>230</v>
      </c>
      <c r="E760" s="887"/>
      <c r="F760" s="887"/>
      <c r="G760" s="916"/>
      <c r="H760" s="917"/>
      <c r="I760" s="887">
        <f>SUM(J760:N760)</f>
        <v>9635</v>
      </c>
      <c r="J760" s="889"/>
      <c r="K760" s="889"/>
      <c r="L760" s="889">
        <f>8000+1635</f>
        <v>9635</v>
      </c>
      <c r="M760" s="889"/>
      <c r="N760" s="900"/>
    </row>
    <row r="761" spans="1:16" s="918" customFormat="1" ht="18" customHeight="1" x14ac:dyDescent="0.3">
      <c r="A761" s="839">
        <v>753</v>
      </c>
      <c r="B761" s="914"/>
      <c r="C761" s="915"/>
      <c r="D761" s="266" t="s">
        <v>231</v>
      </c>
      <c r="E761" s="887"/>
      <c r="F761" s="887"/>
      <c r="G761" s="916"/>
      <c r="H761" s="917"/>
      <c r="I761" s="878">
        <f>SUM(J761:N761)</f>
        <v>6635</v>
      </c>
      <c r="J761" s="902"/>
      <c r="K761" s="902"/>
      <c r="L761" s="902">
        <v>6635</v>
      </c>
      <c r="M761" s="889"/>
      <c r="N761" s="900"/>
    </row>
    <row r="762" spans="1:16" s="918" customFormat="1" ht="18" customHeight="1" x14ac:dyDescent="0.3">
      <c r="A762" s="839">
        <v>754</v>
      </c>
      <c r="B762" s="914"/>
      <c r="C762" s="915"/>
      <c r="D762" s="270" t="s">
        <v>232</v>
      </c>
      <c r="E762" s="887"/>
      <c r="F762" s="887"/>
      <c r="G762" s="916"/>
      <c r="H762" s="917"/>
      <c r="I762" s="272">
        <f>SUM(J762:Q762)</f>
        <v>0</v>
      </c>
      <c r="J762" s="889"/>
      <c r="K762" s="889"/>
      <c r="L762" s="904"/>
      <c r="M762" s="889"/>
      <c r="N762" s="900"/>
    </row>
    <row r="763" spans="1:16" s="918" customFormat="1" ht="18" customHeight="1" x14ac:dyDescent="0.3">
      <c r="A763" s="839">
        <v>755</v>
      </c>
      <c r="B763" s="914"/>
      <c r="C763" s="915"/>
      <c r="D763" s="266" t="s">
        <v>233</v>
      </c>
      <c r="E763" s="887"/>
      <c r="F763" s="887"/>
      <c r="G763" s="916"/>
      <c r="H763" s="917"/>
      <c r="I763" s="268">
        <f>SUM(J763:Q763)</f>
        <v>6635</v>
      </c>
      <c r="J763" s="889"/>
      <c r="K763" s="889"/>
      <c r="L763" s="902">
        <f>SUM(L761:L762)</f>
        <v>6635</v>
      </c>
      <c r="M763" s="889"/>
      <c r="N763" s="900"/>
    </row>
    <row r="764" spans="1:16" s="840" customFormat="1" ht="22.5" customHeight="1" x14ac:dyDescent="0.3">
      <c r="A764" s="839">
        <v>756</v>
      </c>
      <c r="B764" s="897"/>
      <c r="C764" s="882">
        <v>108</v>
      </c>
      <c r="D764" s="898" t="s">
        <v>684</v>
      </c>
      <c r="E764" s="884">
        <v>43</v>
      </c>
      <c r="F764" s="884">
        <v>2720</v>
      </c>
      <c r="G764" s="885">
        <v>436</v>
      </c>
      <c r="H764" s="886" t="s">
        <v>106</v>
      </c>
      <c r="I764" s="887"/>
      <c r="J764" s="888"/>
      <c r="K764" s="888"/>
      <c r="L764" s="888"/>
      <c r="M764" s="888"/>
      <c r="N764" s="890"/>
      <c r="P764" s="891"/>
    </row>
    <row r="765" spans="1:16" s="918" customFormat="1" ht="18" customHeight="1" x14ac:dyDescent="0.3">
      <c r="A765" s="839">
        <v>757</v>
      </c>
      <c r="B765" s="914"/>
      <c r="C765" s="915"/>
      <c r="D765" s="883" t="s">
        <v>230</v>
      </c>
      <c r="E765" s="887"/>
      <c r="F765" s="887"/>
      <c r="G765" s="916"/>
      <c r="H765" s="917"/>
      <c r="I765" s="887">
        <f>SUM(J765:N765)</f>
        <v>2700</v>
      </c>
      <c r="J765" s="889"/>
      <c r="K765" s="889"/>
      <c r="L765" s="889">
        <v>2700</v>
      </c>
      <c r="M765" s="889"/>
      <c r="N765" s="900"/>
    </row>
    <row r="766" spans="1:16" s="918" customFormat="1" ht="18" customHeight="1" x14ac:dyDescent="0.3">
      <c r="A766" s="839">
        <v>758</v>
      </c>
      <c r="B766" s="914"/>
      <c r="C766" s="915"/>
      <c r="D766" s="266" t="s">
        <v>231</v>
      </c>
      <c r="E766" s="887"/>
      <c r="F766" s="887"/>
      <c r="G766" s="916"/>
      <c r="H766" s="917"/>
      <c r="I766" s="878">
        <f>SUM(J766:N766)</f>
        <v>7984</v>
      </c>
      <c r="J766" s="902"/>
      <c r="K766" s="902"/>
      <c r="L766" s="902">
        <v>7984</v>
      </c>
      <c r="M766" s="889"/>
      <c r="N766" s="900"/>
    </row>
    <row r="767" spans="1:16" s="918" customFormat="1" ht="18" customHeight="1" x14ac:dyDescent="0.3">
      <c r="A767" s="839">
        <v>759</v>
      </c>
      <c r="B767" s="914"/>
      <c r="C767" s="915"/>
      <c r="D767" s="270" t="s">
        <v>232</v>
      </c>
      <c r="E767" s="887"/>
      <c r="F767" s="887"/>
      <c r="G767" s="916"/>
      <c r="H767" s="917"/>
      <c r="I767" s="272">
        <f>SUM(J767:Q767)</f>
        <v>0</v>
      </c>
      <c r="J767" s="889"/>
      <c r="K767" s="889"/>
      <c r="L767" s="904"/>
      <c r="M767" s="889"/>
      <c r="N767" s="900"/>
    </row>
    <row r="768" spans="1:16" s="918" customFormat="1" ht="18" customHeight="1" x14ac:dyDescent="0.3">
      <c r="A768" s="839">
        <v>760</v>
      </c>
      <c r="B768" s="914"/>
      <c r="C768" s="915"/>
      <c r="D768" s="266" t="s">
        <v>233</v>
      </c>
      <c r="E768" s="887"/>
      <c r="F768" s="887"/>
      <c r="G768" s="916"/>
      <c r="H768" s="917"/>
      <c r="I768" s="268">
        <f>SUM(J768:Q768)</f>
        <v>7984</v>
      </c>
      <c r="J768" s="889"/>
      <c r="K768" s="889"/>
      <c r="L768" s="902">
        <f>SUM(L766:L767)</f>
        <v>7984</v>
      </c>
      <c r="M768" s="889"/>
      <c r="N768" s="900"/>
    </row>
    <row r="769" spans="1:16" s="840" customFormat="1" ht="22.5" customHeight="1" x14ac:dyDescent="0.3">
      <c r="A769" s="839">
        <v>761</v>
      </c>
      <c r="B769" s="897"/>
      <c r="C769" s="882">
        <v>109</v>
      </c>
      <c r="D769" s="985" t="s">
        <v>685</v>
      </c>
      <c r="E769" s="884">
        <v>98877</v>
      </c>
      <c r="F769" s="884">
        <v>143189</v>
      </c>
      <c r="G769" s="885">
        <v>101213</v>
      </c>
      <c r="H769" s="886" t="s">
        <v>106</v>
      </c>
      <c r="I769" s="887"/>
      <c r="J769" s="888"/>
      <c r="K769" s="888"/>
      <c r="L769" s="888"/>
      <c r="M769" s="888"/>
      <c r="N769" s="890"/>
      <c r="P769" s="891"/>
    </row>
    <row r="770" spans="1:16" s="918" customFormat="1" ht="18" customHeight="1" x14ac:dyDescent="0.3">
      <c r="A770" s="839">
        <v>762</v>
      </c>
      <c r="B770" s="914"/>
      <c r="C770" s="915"/>
      <c r="D770" s="883" t="s">
        <v>230</v>
      </c>
      <c r="E770" s="887"/>
      <c r="F770" s="887"/>
      <c r="G770" s="916"/>
      <c r="H770" s="917"/>
      <c r="I770" s="887">
        <f>SUM(J770:N770)</f>
        <v>100864</v>
      </c>
      <c r="J770" s="889"/>
      <c r="K770" s="889"/>
      <c r="L770" s="889">
        <v>100864</v>
      </c>
      <c r="M770" s="889"/>
      <c r="N770" s="900"/>
    </row>
    <row r="771" spans="1:16" s="918" customFormat="1" ht="18" customHeight="1" x14ac:dyDescent="0.3">
      <c r="A771" s="839">
        <v>763</v>
      </c>
      <c r="B771" s="914"/>
      <c r="C771" s="915"/>
      <c r="D771" s="266" t="s">
        <v>231</v>
      </c>
      <c r="E771" s="887"/>
      <c r="F771" s="887"/>
      <c r="G771" s="916"/>
      <c r="H771" s="917"/>
      <c r="I771" s="878">
        <f>SUM(J771:N771)</f>
        <v>117446</v>
      </c>
      <c r="J771" s="902"/>
      <c r="K771" s="902"/>
      <c r="L771" s="902">
        <v>117446</v>
      </c>
      <c r="M771" s="889"/>
      <c r="N771" s="900"/>
    </row>
    <row r="772" spans="1:16" s="918" customFormat="1" ht="18" customHeight="1" x14ac:dyDescent="0.3">
      <c r="A772" s="839">
        <v>764</v>
      </c>
      <c r="B772" s="914"/>
      <c r="C772" s="915"/>
      <c r="D772" s="270" t="s">
        <v>232</v>
      </c>
      <c r="E772" s="887"/>
      <c r="F772" s="887"/>
      <c r="G772" s="916"/>
      <c r="H772" s="917"/>
      <c r="I772" s="272">
        <f>SUM(J772:Q772)</f>
        <v>0</v>
      </c>
      <c r="J772" s="889"/>
      <c r="K772" s="889"/>
      <c r="L772" s="904"/>
      <c r="M772" s="889"/>
      <c r="N772" s="900"/>
    </row>
    <row r="773" spans="1:16" s="918" customFormat="1" ht="18" customHeight="1" x14ac:dyDescent="0.3">
      <c r="A773" s="839">
        <v>765</v>
      </c>
      <c r="B773" s="914"/>
      <c r="C773" s="915"/>
      <c r="D773" s="266" t="s">
        <v>233</v>
      </c>
      <c r="E773" s="887"/>
      <c r="F773" s="887"/>
      <c r="G773" s="916"/>
      <c r="H773" s="917"/>
      <c r="I773" s="268">
        <f>SUM(J773:Q773)</f>
        <v>117446</v>
      </c>
      <c r="J773" s="889"/>
      <c r="K773" s="889"/>
      <c r="L773" s="902">
        <f>SUM(L771:L772)</f>
        <v>117446</v>
      </c>
      <c r="M773" s="889"/>
      <c r="N773" s="900"/>
    </row>
    <row r="774" spans="1:16" s="840" customFormat="1" ht="22.5" customHeight="1" x14ac:dyDescent="0.3">
      <c r="A774" s="839">
        <v>766</v>
      </c>
      <c r="B774" s="897"/>
      <c r="C774" s="882">
        <v>110</v>
      </c>
      <c r="D774" s="985" t="s">
        <v>686</v>
      </c>
      <c r="E774" s="884">
        <v>78300</v>
      </c>
      <c r="F774" s="884">
        <v>69000</v>
      </c>
      <c r="G774" s="885">
        <v>67900</v>
      </c>
      <c r="H774" s="886" t="s">
        <v>106</v>
      </c>
      <c r="I774" s="887"/>
      <c r="J774" s="888"/>
      <c r="K774" s="888"/>
      <c r="L774" s="888"/>
      <c r="M774" s="888"/>
      <c r="N774" s="890"/>
      <c r="P774" s="891"/>
    </row>
    <row r="775" spans="1:16" s="918" customFormat="1" ht="18" customHeight="1" x14ac:dyDescent="0.3">
      <c r="A775" s="839">
        <v>767</v>
      </c>
      <c r="B775" s="914"/>
      <c r="C775" s="915"/>
      <c r="D775" s="883" t="s">
        <v>230</v>
      </c>
      <c r="E775" s="887"/>
      <c r="F775" s="887"/>
      <c r="G775" s="916"/>
      <c r="H775" s="917"/>
      <c r="I775" s="887">
        <f>SUM(J775:N775)</f>
        <v>82100</v>
      </c>
      <c r="J775" s="889"/>
      <c r="K775" s="889"/>
      <c r="L775" s="889">
        <f>80000+2100</f>
        <v>82100</v>
      </c>
      <c r="M775" s="889"/>
      <c r="N775" s="900"/>
    </row>
    <row r="776" spans="1:16" s="918" customFormat="1" ht="18" customHeight="1" x14ac:dyDescent="0.3">
      <c r="A776" s="839">
        <v>768</v>
      </c>
      <c r="B776" s="914"/>
      <c r="C776" s="915"/>
      <c r="D776" s="266" t="s">
        <v>231</v>
      </c>
      <c r="E776" s="887"/>
      <c r="F776" s="887"/>
      <c r="G776" s="916"/>
      <c r="H776" s="917"/>
      <c r="I776" s="878">
        <f>SUM(J776:N776)</f>
        <v>82100</v>
      </c>
      <c r="J776" s="902"/>
      <c r="K776" s="902"/>
      <c r="L776" s="902">
        <v>82100</v>
      </c>
      <c r="M776" s="902"/>
      <c r="N776" s="900"/>
    </row>
    <row r="777" spans="1:16" s="918" customFormat="1" ht="18" customHeight="1" x14ac:dyDescent="0.3">
      <c r="A777" s="839">
        <v>769</v>
      </c>
      <c r="B777" s="914"/>
      <c r="C777" s="915"/>
      <c r="D777" s="270" t="s">
        <v>245</v>
      </c>
      <c r="E777" s="887"/>
      <c r="F777" s="887"/>
      <c r="G777" s="916"/>
      <c r="H777" s="917"/>
      <c r="I777" s="272">
        <f>SUM(J777:Q777)</f>
        <v>0</v>
      </c>
      <c r="J777" s="889"/>
      <c r="K777" s="889"/>
      <c r="L777" s="889"/>
      <c r="M777" s="889"/>
      <c r="N777" s="900"/>
    </row>
    <row r="778" spans="1:16" s="918" customFormat="1" ht="18" customHeight="1" x14ac:dyDescent="0.3">
      <c r="A778" s="839">
        <v>770</v>
      </c>
      <c r="B778" s="914"/>
      <c r="C778" s="915"/>
      <c r="D778" s="266" t="s">
        <v>233</v>
      </c>
      <c r="E778" s="887"/>
      <c r="F778" s="887"/>
      <c r="G778" s="916"/>
      <c r="H778" s="917"/>
      <c r="I778" s="268">
        <f>SUM(J778:Q778)</f>
        <v>82100</v>
      </c>
      <c r="J778" s="889"/>
      <c r="K778" s="889"/>
      <c r="L778" s="902">
        <f>SUM(L776:L777)</f>
        <v>82100</v>
      </c>
      <c r="M778" s="889"/>
      <c r="N778" s="900"/>
    </row>
    <row r="779" spans="1:16" s="840" customFormat="1" ht="22.5" customHeight="1" x14ac:dyDescent="0.3">
      <c r="A779" s="839">
        <v>771</v>
      </c>
      <c r="B779" s="897"/>
      <c r="C779" s="882">
        <v>111</v>
      </c>
      <c r="D779" s="985" t="s">
        <v>687</v>
      </c>
      <c r="E779" s="884">
        <v>20000</v>
      </c>
      <c r="F779" s="884">
        <v>20000</v>
      </c>
      <c r="G779" s="885">
        <v>20000</v>
      </c>
      <c r="H779" s="886" t="s">
        <v>106</v>
      </c>
      <c r="I779" s="887"/>
      <c r="J779" s="888"/>
      <c r="K779" s="888"/>
      <c r="L779" s="888"/>
      <c r="M779" s="888"/>
      <c r="N779" s="890"/>
      <c r="P779" s="891"/>
    </row>
    <row r="780" spans="1:16" s="918" customFormat="1" ht="18" customHeight="1" x14ac:dyDescent="0.3">
      <c r="A780" s="839">
        <v>772</v>
      </c>
      <c r="B780" s="914"/>
      <c r="C780" s="915"/>
      <c r="D780" s="883" t="s">
        <v>230</v>
      </c>
      <c r="E780" s="887"/>
      <c r="F780" s="887"/>
      <c r="G780" s="916"/>
      <c r="H780" s="917"/>
      <c r="I780" s="887">
        <f>SUM(J780:N780)</f>
        <v>20000</v>
      </c>
      <c r="J780" s="889"/>
      <c r="K780" s="889"/>
      <c r="L780" s="889">
        <v>20000</v>
      </c>
      <c r="M780" s="889"/>
      <c r="N780" s="900"/>
    </row>
    <row r="781" spans="1:16" s="918" customFormat="1" ht="18" customHeight="1" x14ac:dyDescent="0.3">
      <c r="A781" s="839">
        <v>773</v>
      </c>
      <c r="B781" s="914"/>
      <c r="C781" s="915"/>
      <c r="D781" s="266" t="s">
        <v>231</v>
      </c>
      <c r="E781" s="887"/>
      <c r="F781" s="887"/>
      <c r="G781" s="916"/>
      <c r="H781" s="970"/>
      <c r="I781" s="878">
        <f>SUM(J781:N781)</f>
        <v>20000</v>
      </c>
      <c r="J781" s="902"/>
      <c r="K781" s="902"/>
      <c r="L781" s="902">
        <v>20000</v>
      </c>
      <c r="M781" s="889"/>
      <c r="N781" s="900"/>
    </row>
    <row r="782" spans="1:16" s="918" customFormat="1" ht="18" customHeight="1" x14ac:dyDescent="0.3">
      <c r="A782" s="839">
        <v>774</v>
      </c>
      <c r="B782" s="914"/>
      <c r="C782" s="915"/>
      <c r="D782" s="270" t="s">
        <v>245</v>
      </c>
      <c r="E782" s="887"/>
      <c r="F782" s="887"/>
      <c r="G782" s="916"/>
      <c r="H782" s="970"/>
      <c r="I782" s="272">
        <f>SUM(J782:Q782)</f>
        <v>0</v>
      </c>
      <c r="J782" s="889"/>
      <c r="K782" s="889"/>
      <c r="L782" s="889"/>
      <c r="M782" s="889"/>
      <c r="N782" s="900"/>
    </row>
    <row r="783" spans="1:16" s="918" customFormat="1" ht="18" customHeight="1" x14ac:dyDescent="0.3">
      <c r="A783" s="839">
        <v>775</v>
      </c>
      <c r="B783" s="914"/>
      <c r="C783" s="915"/>
      <c r="D783" s="266" t="s">
        <v>233</v>
      </c>
      <c r="E783" s="887"/>
      <c r="F783" s="887"/>
      <c r="G783" s="916"/>
      <c r="H783" s="970"/>
      <c r="I783" s="268">
        <f>SUM(J783:Q783)</f>
        <v>20000</v>
      </c>
      <c r="J783" s="889"/>
      <c r="K783" s="889"/>
      <c r="L783" s="902">
        <f>SUM(L781:L782)</f>
        <v>20000</v>
      </c>
      <c r="M783" s="889"/>
      <c r="N783" s="900"/>
    </row>
    <row r="784" spans="1:16" s="840" customFormat="1" ht="22.5" customHeight="1" x14ac:dyDescent="0.3">
      <c r="A784" s="839">
        <v>776</v>
      </c>
      <c r="B784" s="897"/>
      <c r="C784" s="882">
        <v>112</v>
      </c>
      <c r="D784" s="898" t="s">
        <v>688</v>
      </c>
      <c r="E784" s="884">
        <v>1999</v>
      </c>
      <c r="F784" s="884">
        <v>1500</v>
      </c>
      <c r="G784" s="885">
        <v>715</v>
      </c>
      <c r="H784" s="877" t="s">
        <v>106</v>
      </c>
      <c r="I784" s="887"/>
      <c r="J784" s="888"/>
      <c r="K784" s="888"/>
      <c r="L784" s="888"/>
      <c r="M784" s="888"/>
      <c r="N784" s="890"/>
      <c r="P784" s="891"/>
    </row>
    <row r="785" spans="1:16" s="918" customFormat="1" ht="18" customHeight="1" x14ac:dyDescent="0.3">
      <c r="A785" s="839">
        <v>777</v>
      </c>
      <c r="B785" s="973"/>
      <c r="C785" s="915"/>
      <c r="D785" s="883" t="s">
        <v>230</v>
      </c>
      <c r="E785" s="899"/>
      <c r="F785" s="899"/>
      <c r="G785" s="974"/>
      <c r="H785" s="970"/>
      <c r="I785" s="887">
        <f>SUM(J785:N785)</f>
        <v>2785</v>
      </c>
      <c r="J785" s="975"/>
      <c r="K785" s="975"/>
      <c r="L785" s="975">
        <f>2000+785</f>
        <v>2785</v>
      </c>
      <c r="M785" s="975"/>
      <c r="N785" s="956"/>
    </row>
    <row r="786" spans="1:16" s="918" customFormat="1" ht="18" customHeight="1" x14ac:dyDescent="0.3">
      <c r="A786" s="839">
        <v>778</v>
      </c>
      <c r="B786" s="973"/>
      <c r="C786" s="915"/>
      <c r="D786" s="266" t="s">
        <v>231</v>
      </c>
      <c r="E786" s="899"/>
      <c r="F786" s="899"/>
      <c r="G786" s="974"/>
      <c r="H786" s="970"/>
      <c r="I786" s="878">
        <f>SUM(J786:N786)</f>
        <v>2785</v>
      </c>
      <c r="J786" s="892"/>
      <c r="K786" s="892"/>
      <c r="L786" s="892">
        <v>2785</v>
      </c>
      <c r="M786" s="975"/>
      <c r="N786" s="956"/>
    </row>
    <row r="787" spans="1:16" s="918" customFormat="1" ht="18" customHeight="1" x14ac:dyDescent="0.3">
      <c r="A787" s="839">
        <v>779</v>
      </c>
      <c r="B787" s="973"/>
      <c r="C787" s="915"/>
      <c r="D787" s="270" t="s">
        <v>245</v>
      </c>
      <c r="E787" s="899"/>
      <c r="F787" s="899"/>
      <c r="G787" s="974"/>
      <c r="H787" s="970"/>
      <c r="I787" s="272">
        <f>SUM(J787:Q787)</f>
        <v>0</v>
      </c>
      <c r="J787" s="975"/>
      <c r="K787" s="975"/>
      <c r="L787" s="975"/>
      <c r="M787" s="975"/>
      <c r="N787" s="956"/>
    </row>
    <row r="788" spans="1:16" s="918" customFormat="1" ht="18" customHeight="1" x14ac:dyDescent="0.3">
      <c r="A788" s="839">
        <v>780</v>
      </c>
      <c r="B788" s="973"/>
      <c r="C788" s="915"/>
      <c r="D788" s="266" t="s">
        <v>233</v>
      </c>
      <c r="E788" s="899"/>
      <c r="F788" s="899"/>
      <c r="G788" s="974"/>
      <c r="H788" s="970"/>
      <c r="I788" s="268">
        <f>SUM(J788:Q788)</f>
        <v>2785</v>
      </c>
      <c r="J788" s="975"/>
      <c r="K788" s="975"/>
      <c r="L788" s="892">
        <f>SUM(L786:L787)</f>
        <v>2785</v>
      </c>
      <c r="M788" s="975"/>
      <c r="N788" s="956"/>
    </row>
    <row r="789" spans="1:16" s="840" customFormat="1" ht="22.5" customHeight="1" x14ac:dyDescent="0.3">
      <c r="A789" s="839">
        <v>781</v>
      </c>
      <c r="B789" s="897"/>
      <c r="C789" s="882">
        <v>113</v>
      </c>
      <c r="D789" s="898" t="s">
        <v>689</v>
      </c>
      <c r="E789" s="884">
        <v>3488</v>
      </c>
      <c r="F789" s="884">
        <v>17117</v>
      </c>
      <c r="G789" s="885">
        <v>13301</v>
      </c>
      <c r="H789" s="886" t="s">
        <v>296</v>
      </c>
      <c r="I789" s="887"/>
      <c r="J789" s="888"/>
      <c r="K789" s="888"/>
      <c r="L789" s="888"/>
      <c r="M789" s="888"/>
      <c r="N789" s="890"/>
      <c r="P789" s="891"/>
    </row>
    <row r="790" spans="1:16" s="918" customFormat="1" ht="18" customHeight="1" x14ac:dyDescent="0.3">
      <c r="A790" s="839">
        <v>782</v>
      </c>
      <c r="B790" s="914"/>
      <c r="C790" s="915"/>
      <c r="D790" s="883" t="s">
        <v>230</v>
      </c>
      <c r="E790" s="887"/>
      <c r="F790" s="887"/>
      <c r="G790" s="916"/>
      <c r="H790" s="917"/>
      <c r="I790" s="887">
        <f>SUM(J790:N790)</f>
        <v>20866</v>
      </c>
      <c r="J790" s="889"/>
      <c r="K790" s="889"/>
      <c r="L790" s="889">
        <f>17050+3816</f>
        <v>20866</v>
      </c>
      <c r="M790" s="889"/>
      <c r="N790" s="900"/>
    </row>
    <row r="791" spans="1:16" s="918" customFormat="1" ht="18" customHeight="1" x14ac:dyDescent="0.3">
      <c r="A791" s="839">
        <v>783</v>
      </c>
      <c r="B791" s="914"/>
      <c r="C791" s="915"/>
      <c r="D791" s="266" t="s">
        <v>231</v>
      </c>
      <c r="E791" s="887"/>
      <c r="F791" s="887"/>
      <c r="G791" s="916"/>
      <c r="H791" s="917"/>
      <c r="I791" s="878">
        <f>SUM(J791:N791)</f>
        <v>20019</v>
      </c>
      <c r="J791" s="902"/>
      <c r="K791" s="902"/>
      <c r="L791" s="902">
        <v>20019</v>
      </c>
      <c r="M791" s="889"/>
      <c r="N791" s="900"/>
    </row>
    <row r="792" spans="1:16" s="918" customFormat="1" ht="18" customHeight="1" x14ac:dyDescent="0.3">
      <c r="A792" s="839">
        <v>784</v>
      </c>
      <c r="B792" s="914"/>
      <c r="C792" s="915"/>
      <c r="D792" s="270" t="s">
        <v>232</v>
      </c>
      <c r="E792" s="887"/>
      <c r="F792" s="887"/>
      <c r="G792" s="916"/>
      <c r="H792" s="917"/>
      <c r="I792" s="272">
        <f>SUM(J792:Q792)</f>
        <v>0</v>
      </c>
      <c r="J792" s="889"/>
      <c r="K792" s="889"/>
      <c r="L792" s="904"/>
      <c r="M792" s="889"/>
      <c r="N792" s="900"/>
    </row>
    <row r="793" spans="1:16" s="918" customFormat="1" ht="18" customHeight="1" x14ac:dyDescent="0.3">
      <c r="A793" s="839">
        <v>785</v>
      </c>
      <c r="B793" s="914"/>
      <c r="C793" s="915"/>
      <c r="D793" s="266" t="s">
        <v>233</v>
      </c>
      <c r="E793" s="887"/>
      <c r="F793" s="887"/>
      <c r="G793" s="916"/>
      <c r="H793" s="917"/>
      <c r="I793" s="268">
        <f>SUM(J793:Q793)</f>
        <v>20019</v>
      </c>
      <c r="J793" s="889"/>
      <c r="K793" s="889"/>
      <c r="L793" s="902">
        <f>SUM(L791:L792)</f>
        <v>20019</v>
      </c>
      <c r="M793" s="889"/>
      <c r="N793" s="900"/>
    </row>
    <row r="794" spans="1:16" s="840" customFormat="1" ht="22.5" customHeight="1" x14ac:dyDescent="0.3">
      <c r="A794" s="839">
        <v>786</v>
      </c>
      <c r="B794" s="897"/>
      <c r="C794" s="882">
        <v>114</v>
      </c>
      <c r="D794" s="898" t="s">
        <v>690</v>
      </c>
      <c r="E794" s="884">
        <v>5026</v>
      </c>
      <c r="F794" s="884">
        <v>15088</v>
      </c>
      <c r="G794" s="885">
        <v>3646</v>
      </c>
      <c r="H794" s="886" t="s">
        <v>106</v>
      </c>
      <c r="I794" s="887"/>
      <c r="J794" s="888"/>
      <c r="K794" s="888"/>
      <c r="L794" s="888"/>
      <c r="M794" s="888"/>
      <c r="N794" s="890"/>
      <c r="P794" s="891"/>
    </row>
    <row r="795" spans="1:16" s="918" customFormat="1" ht="18" customHeight="1" x14ac:dyDescent="0.3">
      <c r="A795" s="839">
        <v>787</v>
      </c>
      <c r="B795" s="914"/>
      <c r="C795" s="915"/>
      <c r="D795" s="883" t="s">
        <v>230</v>
      </c>
      <c r="E795" s="887"/>
      <c r="F795" s="887"/>
      <c r="G795" s="916"/>
      <c r="H795" s="917"/>
      <c r="I795" s="887">
        <f>SUM(J795:N795)</f>
        <v>23042</v>
      </c>
      <c r="J795" s="889"/>
      <c r="K795" s="889"/>
      <c r="L795" s="889">
        <f>11600+11442</f>
        <v>23042</v>
      </c>
      <c r="M795" s="889"/>
      <c r="N795" s="900"/>
    </row>
    <row r="796" spans="1:16" s="918" customFormat="1" ht="18" customHeight="1" x14ac:dyDescent="0.3">
      <c r="A796" s="839">
        <v>788</v>
      </c>
      <c r="B796" s="914"/>
      <c r="C796" s="915"/>
      <c r="D796" s="266" t="s">
        <v>231</v>
      </c>
      <c r="E796" s="887"/>
      <c r="F796" s="887"/>
      <c r="G796" s="916"/>
      <c r="H796" s="917"/>
      <c r="I796" s="878">
        <f>SUM(J796:N796)</f>
        <v>23042</v>
      </c>
      <c r="J796" s="902"/>
      <c r="K796" s="902"/>
      <c r="L796" s="902">
        <v>23042</v>
      </c>
      <c r="M796" s="889"/>
      <c r="N796" s="900"/>
    </row>
    <row r="797" spans="1:16" s="918" customFormat="1" ht="18" customHeight="1" x14ac:dyDescent="0.3">
      <c r="A797" s="839">
        <v>789</v>
      </c>
      <c r="B797" s="914"/>
      <c r="C797" s="915"/>
      <c r="D797" s="270" t="s">
        <v>245</v>
      </c>
      <c r="E797" s="887"/>
      <c r="F797" s="887"/>
      <c r="G797" s="916"/>
      <c r="H797" s="917"/>
      <c r="I797" s="272">
        <f>SUM(J797:Q797)</f>
        <v>0</v>
      </c>
      <c r="J797" s="889"/>
      <c r="K797" s="889"/>
      <c r="L797" s="889"/>
      <c r="M797" s="889"/>
      <c r="N797" s="900"/>
    </row>
    <row r="798" spans="1:16" s="918" customFormat="1" ht="18" customHeight="1" x14ac:dyDescent="0.3">
      <c r="A798" s="839">
        <v>790</v>
      </c>
      <c r="B798" s="914"/>
      <c r="C798" s="915"/>
      <c r="D798" s="266" t="s">
        <v>233</v>
      </c>
      <c r="E798" s="887"/>
      <c r="F798" s="887"/>
      <c r="G798" s="916"/>
      <c r="H798" s="917"/>
      <c r="I798" s="268">
        <f>SUM(J798:Q798)</f>
        <v>23042</v>
      </c>
      <c r="J798" s="889"/>
      <c r="K798" s="889"/>
      <c r="L798" s="902">
        <f>SUM(L796:L797)</f>
        <v>23042</v>
      </c>
      <c r="M798" s="889"/>
      <c r="N798" s="900"/>
    </row>
    <row r="799" spans="1:16" s="918" customFormat="1" ht="22.5" customHeight="1" x14ac:dyDescent="0.3">
      <c r="A799" s="839">
        <v>791</v>
      </c>
      <c r="B799" s="914"/>
      <c r="C799" s="882">
        <v>115</v>
      </c>
      <c r="D799" s="898" t="s">
        <v>691</v>
      </c>
      <c r="E799" s="884">
        <v>10913</v>
      </c>
      <c r="F799" s="884">
        <v>20000</v>
      </c>
      <c r="G799" s="885">
        <v>18042</v>
      </c>
      <c r="H799" s="886" t="s">
        <v>106</v>
      </c>
      <c r="I799" s="887"/>
      <c r="J799" s="889"/>
      <c r="K799" s="889"/>
      <c r="L799" s="889"/>
      <c r="M799" s="889"/>
      <c r="N799" s="900"/>
    </row>
    <row r="800" spans="1:16" s="918" customFormat="1" ht="18" customHeight="1" x14ac:dyDescent="0.3">
      <c r="A800" s="839">
        <v>792</v>
      </c>
      <c r="B800" s="914"/>
      <c r="C800" s="915"/>
      <c r="D800" s="883" t="s">
        <v>230</v>
      </c>
      <c r="E800" s="887"/>
      <c r="F800" s="887"/>
      <c r="G800" s="916"/>
      <c r="H800" s="917"/>
      <c r="I800" s="887">
        <f>SUM(J800:N800)</f>
        <v>20182</v>
      </c>
      <c r="J800" s="889"/>
      <c r="K800" s="889"/>
      <c r="L800" s="889">
        <f>18000+2182</f>
        <v>20182</v>
      </c>
      <c r="M800" s="889"/>
      <c r="N800" s="900"/>
    </row>
    <row r="801" spans="1:16" s="918" customFormat="1" ht="18" customHeight="1" x14ac:dyDescent="0.3">
      <c r="A801" s="839">
        <v>793</v>
      </c>
      <c r="B801" s="914"/>
      <c r="C801" s="915"/>
      <c r="D801" s="266" t="s">
        <v>231</v>
      </c>
      <c r="E801" s="887"/>
      <c r="F801" s="887"/>
      <c r="G801" s="916"/>
      <c r="H801" s="917"/>
      <c r="I801" s="878">
        <f>SUM(J801:N801)</f>
        <v>20182</v>
      </c>
      <c r="J801" s="902"/>
      <c r="K801" s="902"/>
      <c r="L801" s="902">
        <v>20182</v>
      </c>
      <c r="M801" s="889"/>
      <c r="N801" s="900"/>
    </row>
    <row r="802" spans="1:16" s="918" customFormat="1" ht="18" customHeight="1" x14ac:dyDescent="0.3">
      <c r="A802" s="839">
        <v>794</v>
      </c>
      <c r="B802" s="914"/>
      <c r="C802" s="915"/>
      <c r="D802" s="270" t="s">
        <v>245</v>
      </c>
      <c r="E802" s="887"/>
      <c r="F802" s="887"/>
      <c r="G802" s="916"/>
      <c r="H802" s="917"/>
      <c r="I802" s="272">
        <f>SUM(J802:Q802)</f>
        <v>0</v>
      </c>
      <c r="J802" s="889"/>
      <c r="K802" s="889"/>
      <c r="L802" s="889"/>
      <c r="M802" s="889"/>
      <c r="N802" s="900"/>
    </row>
    <row r="803" spans="1:16" s="918" customFormat="1" ht="18" customHeight="1" x14ac:dyDescent="0.3">
      <c r="A803" s="839">
        <v>795</v>
      </c>
      <c r="B803" s="914"/>
      <c r="C803" s="915"/>
      <c r="D803" s="266" t="s">
        <v>233</v>
      </c>
      <c r="E803" s="887"/>
      <c r="F803" s="887"/>
      <c r="G803" s="916"/>
      <c r="H803" s="917"/>
      <c r="I803" s="268">
        <f>SUM(J803:Q803)</f>
        <v>20182</v>
      </c>
      <c r="J803" s="889"/>
      <c r="K803" s="889"/>
      <c r="L803" s="902">
        <f>SUM(L801:L802)</f>
        <v>20182</v>
      </c>
      <c r="M803" s="889"/>
      <c r="N803" s="900"/>
    </row>
    <row r="804" spans="1:16" s="891" customFormat="1" ht="22.5" customHeight="1" x14ac:dyDescent="0.3">
      <c r="A804" s="839">
        <v>796</v>
      </c>
      <c r="B804" s="986"/>
      <c r="C804" s="882">
        <v>116</v>
      </c>
      <c r="D804" s="898" t="s">
        <v>21</v>
      </c>
      <c r="E804" s="884">
        <v>166583</v>
      </c>
      <c r="F804" s="884">
        <v>222689</v>
      </c>
      <c r="G804" s="885">
        <v>225831</v>
      </c>
      <c r="H804" s="886" t="s">
        <v>106</v>
      </c>
      <c r="I804" s="907"/>
      <c r="J804" s="908"/>
      <c r="K804" s="908"/>
      <c r="L804" s="908"/>
      <c r="M804" s="908"/>
      <c r="N804" s="909"/>
    </row>
    <row r="805" spans="1:16" s="918" customFormat="1" ht="18" customHeight="1" x14ac:dyDescent="0.3">
      <c r="A805" s="839">
        <v>797</v>
      </c>
      <c r="B805" s="914"/>
      <c r="C805" s="915"/>
      <c r="D805" s="883" t="s">
        <v>230</v>
      </c>
      <c r="E805" s="887"/>
      <c r="F805" s="887"/>
      <c r="G805" s="916"/>
      <c r="H805" s="917"/>
      <c r="I805" s="887">
        <f>SUM(J805:N805)</f>
        <v>249886</v>
      </c>
      <c r="J805" s="889"/>
      <c r="K805" s="889"/>
      <c r="L805" s="889">
        <v>249886</v>
      </c>
      <c r="M805" s="889"/>
      <c r="N805" s="900"/>
    </row>
    <row r="806" spans="1:16" s="918" customFormat="1" ht="18" customHeight="1" x14ac:dyDescent="0.3">
      <c r="A806" s="839">
        <v>798</v>
      </c>
      <c r="B806" s="914"/>
      <c r="C806" s="915"/>
      <c r="D806" s="266" t="s">
        <v>231</v>
      </c>
      <c r="E806" s="887"/>
      <c r="F806" s="887"/>
      <c r="G806" s="916"/>
      <c r="H806" s="917"/>
      <c r="I806" s="878">
        <f>SUM(J806:N806)</f>
        <v>249886</v>
      </c>
      <c r="J806" s="902"/>
      <c r="K806" s="902"/>
      <c r="L806" s="902">
        <v>249886</v>
      </c>
      <c r="M806" s="889"/>
      <c r="N806" s="900"/>
    </row>
    <row r="807" spans="1:16" s="918" customFormat="1" ht="18" customHeight="1" x14ac:dyDescent="0.3">
      <c r="A807" s="839">
        <v>799</v>
      </c>
      <c r="B807" s="914"/>
      <c r="C807" s="915"/>
      <c r="D807" s="270" t="s">
        <v>692</v>
      </c>
      <c r="E807" s="887"/>
      <c r="F807" s="887"/>
      <c r="G807" s="916"/>
      <c r="H807" s="917"/>
      <c r="I807" s="272">
        <f>SUM(J807:Q807)</f>
        <v>8000</v>
      </c>
      <c r="J807" s="889"/>
      <c r="K807" s="889"/>
      <c r="L807" s="904">
        <v>8000</v>
      </c>
      <c r="M807" s="889"/>
      <c r="N807" s="900"/>
    </row>
    <row r="808" spans="1:16" s="918" customFormat="1" ht="18" customHeight="1" x14ac:dyDescent="0.3">
      <c r="A808" s="839">
        <v>800</v>
      </c>
      <c r="B808" s="914"/>
      <c r="C808" s="915"/>
      <c r="D808" s="266" t="s">
        <v>233</v>
      </c>
      <c r="E808" s="887"/>
      <c r="F808" s="887"/>
      <c r="G808" s="916"/>
      <c r="H808" s="917"/>
      <c r="I808" s="268">
        <f>SUM(J808:Q808)</f>
        <v>257886</v>
      </c>
      <c r="J808" s="889"/>
      <c r="K808" s="889"/>
      <c r="L808" s="902">
        <f>SUM(L806:L807)</f>
        <v>257886</v>
      </c>
      <c r="M808" s="889"/>
      <c r="N808" s="900"/>
    </row>
    <row r="809" spans="1:16" s="840" customFormat="1" ht="22.5" customHeight="1" x14ac:dyDescent="0.3">
      <c r="A809" s="839">
        <v>801</v>
      </c>
      <c r="B809" s="897"/>
      <c r="C809" s="882">
        <v>118</v>
      </c>
      <c r="D809" s="898" t="s">
        <v>693</v>
      </c>
      <c r="E809" s="884">
        <f>E814+E819+E824+E829+E834</f>
        <v>2765</v>
      </c>
      <c r="F809" s="884">
        <f>F814+F819+F824+F829+F834</f>
        <v>2765</v>
      </c>
      <c r="G809" s="884">
        <f>G814+G819+G824+G829+G834</f>
        <v>2765</v>
      </c>
      <c r="H809" s="886" t="s">
        <v>106</v>
      </c>
      <c r="I809" s="907"/>
      <c r="J809" s="908"/>
      <c r="K809" s="908"/>
      <c r="L809" s="908"/>
      <c r="M809" s="908"/>
      <c r="N809" s="909"/>
      <c r="O809" s="891"/>
      <c r="P809" s="891"/>
    </row>
    <row r="810" spans="1:16" s="918" customFormat="1" ht="18" customHeight="1" x14ac:dyDescent="0.3">
      <c r="A810" s="839">
        <v>802</v>
      </c>
      <c r="B810" s="914"/>
      <c r="C810" s="915"/>
      <c r="D810" s="883" t="s">
        <v>230</v>
      </c>
      <c r="E810" s="887"/>
      <c r="F810" s="887"/>
      <c r="G810" s="916"/>
      <c r="H810" s="917"/>
      <c r="I810" s="887">
        <f>SUM(J810:N810)</f>
        <v>2765</v>
      </c>
      <c r="J810" s="942"/>
      <c r="K810" s="942"/>
      <c r="L810" s="942"/>
      <c r="M810" s="942"/>
      <c r="N810" s="900">
        <f>N815+N820+N825+N830+N835</f>
        <v>2765</v>
      </c>
    </row>
    <row r="811" spans="1:16" s="918" customFormat="1" ht="18" customHeight="1" x14ac:dyDescent="0.3">
      <c r="A811" s="839">
        <v>803</v>
      </c>
      <c r="B811" s="914"/>
      <c r="C811" s="915"/>
      <c r="D811" s="266" t="s">
        <v>231</v>
      </c>
      <c r="E811" s="887"/>
      <c r="F811" s="887"/>
      <c r="G811" s="916"/>
      <c r="H811" s="917"/>
      <c r="I811" s="878">
        <f>SUM(J811:N811)</f>
        <v>2765</v>
      </c>
      <c r="J811" s="905"/>
      <c r="K811" s="905"/>
      <c r="L811" s="905"/>
      <c r="M811" s="905"/>
      <c r="N811" s="903">
        <f>N816+N821+N826+N831+N836</f>
        <v>2765</v>
      </c>
    </row>
    <row r="812" spans="1:16" s="918" customFormat="1" ht="18" customHeight="1" x14ac:dyDescent="0.3">
      <c r="A812" s="839">
        <v>804</v>
      </c>
      <c r="B812" s="914"/>
      <c r="C812" s="915"/>
      <c r="D812" s="270" t="s">
        <v>245</v>
      </c>
      <c r="E812" s="887"/>
      <c r="F812" s="887"/>
      <c r="G812" s="916"/>
      <c r="H812" s="917"/>
      <c r="I812" s="272">
        <f>SUM(J812:Q812)</f>
        <v>0</v>
      </c>
      <c r="J812" s="942"/>
      <c r="K812" s="942"/>
      <c r="L812" s="942"/>
      <c r="M812" s="942"/>
      <c r="N812" s="900"/>
    </row>
    <row r="813" spans="1:16" s="918" customFormat="1" ht="18" customHeight="1" x14ac:dyDescent="0.3">
      <c r="A813" s="839">
        <v>805</v>
      </c>
      <c r="B813" s="914"/>
      <c r="C813" s="915"/>
      <c r="D813" s="266" t="s">
        <v>233</v>
      </c>
      <c r="E813" s="887"/>
      <c r="F813" s="887"/>
      <c r="G813" s="916"/>
      <c r="H813" s="917"/>
      <c r="I813" s="268">
        <f>SUM(J813:Q813)</f>
        <v>2765</v>
      </c>
      <c r="J813" s="942"/>
      <c r="K813" s="942"/>
      <c r="L813" s="942"/>
      <c r="M813" s="942"/>
      <c r="N813" s="903">
        <f>SUM(N811:N812)</f>
        <v>2765</v>
      </c>
    </row>
    <row r="814" spans="1:16" s="930" customFormat="1" ht="18" customHeight="1" x14ac:dyDescent="0.3">
      <c r="A814" s="839">
        <v>806</v>
      </c>
      <c r="B814" s="926"/>
      <c r="C814" s="882"/>
      <c r="D814" s="937" t="s">
        <v>694</v>
      </c>
      <c r="E814" s="884">
        <v>553</v>
      </c>
      <c r="F814" s="920">
        <v>553</v>
      </c>
      <c r="G814" s="921">
        <v>553</v>
      </c>
      <c r="H814" s="927"/>
      <c r="I814" s="928"/>
      <c r="J814" s="924"/>
      <c r="K814" s="924"/>
      <c r="L814" s="924"/>
      <c r="M814" s="924"/>
      <c r="N814" s="929"/>
      <c r="P814" s="891"/>
    </row>
    <row r="815" spans="1:16" s="943" customFormat="1" ht="18" customHeight="1" x14ac:dyDescent="0.3">
      <c r="A815" s="839">
        <v>807</v>
      </c>
      <c r="B815" s="940"/>
      <c r="C815" s="915"/>
      <c r="D815" s="987" t="s">
        <v>230</v>
      </c>
      <c r="E815" s="887"/>
      <c r="F815" s="928"/>
      <c r="G815" s="941"/>
      <c r="H815" s="944"/>
      <c r="I815" s="928">
        <f>SUM(J815:N815)</f>
        <v>553</v>
      </c>
      <c r="J815" s="942"/>
      <c r="K815" s="942"/>
      <c r="L815" s="942"/>
      <c r="M815" s="942"/>
      <c r="N815" s="972">
        <v>553</v>
      </c>
      <c r="P815" s="918"/>
    </row>
    <row r="816" spans="1:16" s="943" customFormat="1" ht="18" customHeight="1" x14ac:dyDescent="0.3">
      <c r="A816" s="839">
        <v>808</v>
      </c>
      <c r="B816" s="940"/>
      <c r="C816" s="915"/>
      <c r="D816" s="925" t="s">
        <v>231</v>
      </c>
      <c r="E816" s="887"/>
      <c r="F816" s="928"/>
      <c r="G816" s="941"/>
      <c r="H816" s="944"/>
      <c r="I816" s="988">
        <f>SUM(J816:N816)</f>
        <v>553</v>
      </c>
      <c r="J816" s="905"/>
      <c r="K816" s="905"/>
      <c r="L816" s="905"/>
      <c r="M816" s="905"/>
      <c r="N816" s="989">
        <v>553</v>
      </c>
      <c r="P816" s="918"/>
    </row>
    <row r="817" spans="1:16" s="943" customFormat="1" ht="18" customHeight="1" x14ac:dyDescent="0.3">
      <c r="A817" s="839">
        <v>809</v>
      </c>
      <c r="B817" s="940"/>
      <c r="C817" s="915"/>
      <c r="D817" s="925" t="s">
        <v>245</v>
      </c>
      <c r="E817" s="887"/>
      <c r="F817" s="928"/>
      <c r="G817" s="941"/>
      <c r="H817" s="944"/>
      <c r="I817" s="272">
        <f>SUM(J817:Q817)</f>
        <v>0</v>
      </c>
      <c r="J817" s="942"/>
      <c r="K817" s="942"/>
      <c r="L817" s="942"/>
      <c r="M817" s="942"/>
      <c r="N817" s="972"/>
      <c r="P817" s="918"/>
    </row>
    <row r="818" spans="1:16" s="943" customFormat="1" ht="18" customHeight="1" x14ac:dyDescent="0.3">
      <c r="A818" s="839">
        <v>810</v>
      </c>
      <c r="B818" s="940"/>
      <c r="C818" s="915"/>
      <c r="D818" s="925" t="s">
        <v>233</v>
      </c>
      <c r="E818" s="887"/>
      <c r="F818" s="928"/>
      <c r="G818" s="941"/>
      <c r="H818" s="944"/>
      <c r="I818" s="565">
        <f>SUM(J818:Q818)</f>
        <v>553</v>
      </c>
      <c r="J818" s="942"/>
      <c r="K818" s="942"/>
      <c r="L818" s="942"/>
      <c r="M818" s="942"/>
      <c r="N818" s="989">
        <f>SUM(N816:N817)</f>
        <v>553</v>
      </c>
      <c r="P818" s="918"/>
    </row>
    <row r="819" spans="1:16" s="930" customFormat="1" ht="18" customHeight="1" x14ac:dyDescent="0.3">
      <c r="A819" s="839">
        <v>811</v>
      </c>
      <c r="B819" s="926"/>
      <c r="C819" s="882"/>
      <c r="D819" s="990" t="s">
        <v>695</v>
      </c>
      <c r="E819" s="884">
        <v>553</v>
      </c>
      <c r="F819" s="920">
        <v>553</v>
      </c>
      <c r="G819" s="921">
        <v>553</v>
      </c>
      <c r="H819" s="927"/>
      <c r="I819" s="931"/>
      <c r="J819" s="932"/>
      <c r="K819" s="932"/>
      <c r="L819" s="932"/>
      <c r="M819" s="932"/>
      <c r="N819" s="933"/>
      <c r="P819" s="891"/>
    </row>
    <row r="820" spans="1:16" s="943" customFormat="1" ht="18" customHeight="1" x14ac:dyDescent="0.3">
      <c r="A820" s="839">
        <v>812</v>
      </c>
      <c r="B820" s="940"/>
      <c r="C820" s="915"/>
      <c r="D820" s="987" t="s">
        <v>230</v>
      </c>
      <c r="E820" s="887"/>
      <c r="F820" s="928"/>
      <c r="G820" s="941"/>
      <c r="H820" s="944"/>
      <c r="I820" s="928">
        <f>SUM(J820:N820)</f>
        <v>553</v>
      </c>
      <c r="J820" s="942"/>
      <c r="K820" s="942"/>
      <c r="L820" s="942"/>
      <c r="M820" s="942"/>
      <c r="N820" s="972">
        <v>553</v>
      </c>
      <c r="P820" s="918"/>
    </row>
    <row r="821" spans="1:16" s="943" customFormat="1" ht="18" customHeight="1" x14ac:dyDescent="0.3">
      <c r="A821" s="839">
        <v>813</v>
      </c>
      <c r="B821" s="940"/>
      <c r="C821" s="915"/>
      <c r="D821" s="925" t="s">
        <v>231</v>
      </c>
      <c r="E821" s="887"/>
      <c r="F821" s="928"/>
      <c r="G821" s="941"/>
      <c r="H821" s="944"/>
      <c r="I821" s="988">
        <f>SUM(J821:N821)</f>
        <v>553</v>
      </c>
      <c r="J821" s="905"/>
      <c r="K821" s="905"/>
      <c r="L821" s="905"/>
      <c r="M821" s="905"/>
      <c r="N821" s="989">
        <v>553</v>
      </c>
      <c r="P821" s="918"/>
    </row>
    <row r="822" spans="1:16" s="943" customFormat="1" ht="18" customHeight="1" x14ac:dyDescent="0.3">
      <c r="A822" s="839">
        <v>814</v>
      </c>
      <c r="B822" s="940"/>
      <c r="C822" s="915"/>
      <c r="D822" s="925" t="s">
        <v>245</v>
      </c>
      <c r="E822" s="887"/>
      <c r="F822" s="928"/>
      <c r="G822" s="941"/>
      <c r="H822" s="944"/>
      <c r="I822" s="272">
        <f>SUM(J822:Q822)</f>
        <v>0</v>
      </c>
      <c r="J822" s="942"/>
      <c r="K822" s="942"/>
      <c r="L822" s="942"/>
      <c r="M822" s="942"/>
      <c r="N822" s="972"/>
      <c r="P822" s="918"/>
    </row>
    <row r="823" spans="1:16" s="943" customFormat="1" ht="18" customHeight="1" x14ac:dyDescent="0.3">
      <c r="A823" s="839">
        <v>815</v>
      </c>
      <c r="B823" s="940"/>
      <c r="C823" s="915"/>
      <c r="D823" s="925" t="s">
        <v>233</v>
      </c>
      <c r="E823" s="887"/>
      <c r="F823" s="928"/>
      <c r="G823" s="941"/>
      <c r="H823" s="944"/>
      <c r="I823" s="565">
        <f>SUM(J823:Q823)</f>
        <v>553</v>
      </c>
      <c r="J823" s="942"/>
      <c r="K823" s="942"/>
      <c r="L823" s="942"/>
      <c r="M823" s="942"/>
      <c r="N823" s="989">
        <f>SUM(N821:N822)</f>
        <v>553</v>
      </c>
      <c r="P823" s="918"/>
    </row>
    <row r="824" spans="1:16" s="930" customFormat="1" ht="18" customHeight="1" x14ac:dyDescent="0.3">
      <c r="A824" s="839">
        <v>816</v>
      </c>
      <c r="B824" s="926"/>
      <c r="C824" s="882"/>
      <c r="D824" s="990" t="s">
        <v>696</v>
      </c>
      <c r="E824" s="884">
        <v>553</v>
      </c>
      <c r="F824" s="920">
        <v>553</v>
      </c>
      <c r="G824" s="921">
        <v>553</v>
      </c>
      <c r="H824" s="927"/>
      <c r="I824" s="931"/>
      <c r="J824" s="932"/>
      <c r="K824" s="932"/>
      <c r="L824" s="932"/>
      <c r="M824" s="932"/>
      <c r="N824" s="933"/>
      <c r="P824" s="891"/>
    </row>
    <row r="825" spans="1:16" s="943" customFormat="1" ht="18" customHeight="1" x14ac:dyDescent="0.3">
      <c r="A825" s="839">
        <v>817</v>
      </c>
      <c r="B825" s="940"/>
      <c r="C825" s="915"/>
      <c r="D825" s="987" t="s">
        <v>230</v>
      </c>
      <c r="E825" s="887"/>
      <c r="F825" s="928"/>
      <c r="G825" s="941"/>
      <c r="H825" s="944"/>
      <c r="I825" s="928">
        <f>SUM(J825:N825)</f>
        <v>553</v>
      </c>
      <c r="J825" s="942"/>
      <c r="K825" s="942"/>
      <c r="L825" s="942"/>
      <c r="M825" s="942"/>
      <c r="N825" s="972">
        <v>553</v>
      </c>
      <c r="P825" s="918"/>
    </row>
    <row r="826" spans="1:16" s="943" customFormat="1" ht="18" customHeight="1" x14ac:dyDescent="0.3">
      <c r="A826" s="839">
        <v>818</v>
      </c>
      <c r="B826" s="940"/>
      <c r="C826" s="915"/>
      <c r="D826" s="925" t="s">
        <v>231</v>
      </c>
      <c r="E826" s="887"/>
      <c r="F826" s="928"/>
      <c r="G826" s="941"/>
      <c r="H826" s="944"/>
      <c r="I826" s="988">
        <f>SUM(J826:N826)</f>
        <v>553</v>
      </c>
      <c r="J826" s="905"/>
      <c r="K826" s="905"/>
      <c r="L826" s="905"/>
      <c r="M826" s="905"/>
      <c r="N826" s="989">
        <v>553</v>
      </c>
      <c r="P826" s="918"/>
    </row>
    <row r="827" spans="1:16" s="943" customFormat="1" ht="18" customHeight="1" x14ac:dyDescent="0.3">
      <c r="A827" s="839">
        <v>819</v>
      </c>
      <c r="B827" s="940"/>
      <c r="C827" s="915"/>
      <c r="D827" s="925" t="s">
        <v>245</v>
      </c>
      <c r="E827" s="887"/>
      <c r="F827" s="928"/>
      <c r="G827" s="941"/>
      <c r="H827" s="944"/>
      <c r="I827" s="272">
        <f>SUM(J827:Q827)</f>
        <v>0</v>
      </c>
      <c r="J827" s="942"/>
      <c r="K827" s="942"/>
      <c r="L827" s="942"/>
      <c r="M827" s="942"/>
      <c r="N827" s="972"/>
      <c r="P827" s="918"/>
    </row>
    <row r="828" spans="1:16" s="943" customFormat="1" ht="18" customHeight="1" x14ac:dyDescent="0.3">
      <c r="A828" s="839">
        <v>820</v>
      </c>
      <c r="B828" s="940"/>
      <c r="C828" s="915"/>
      <c r="D828" s="925" t="s">
        <v>233</v>
      </c>
      <c r="E828" s="887"/>
      <c r="F828" s="928"/>
      <c r="G828" s="941"/>
      <c r="H828" s="944"/>
      <c r="I828" s="565">
        <f>SUM(J828:Q828)</f>
        <v>553</v>
      </c>
      <c r="J828" s="942"/>
      <c r="K828" s="942"/>
      <c r="L828" s="942"/>
      <c r="M828" s="942"/>
      <c r="N828" s="989">
        <f>SUM(N826:N827)</f>
        <v>553</v>
      </c>
      <c r="P828" s="918"/>
    </row>
    <row r="829" spans="1:16" s="930" customFormat="1" ht="18" customHeight="1" x14ac:dyDescent="0.3">
      <c r="A829" s="839">
        <v>821</v>
      </c>
      <c r="B829" s="926"/>
      <c r="C829" s="882"/>
      <c r="D829" s="990" t="s">
        <v>697</v>
      </c>
      <c r="E829" s="884">
        <v>553</v>
      </c>
      <c r="F829" s="920">
        <v>553</v>
      </c>
      <c r="G829" s="921">
        <v>553</v>
      </c>
      <c r="H829" s="927"/>
      <c r="I829" s="931"/>
      <c r="J829" s="932"/>
      <c r="K829" s="932"/>
      <c r="L829" s="932"/>
      <c r="M829" s="932"/>
      <c r="N829" s="933"/>
      <c r="P829" s="891"/>
    </row>
    <row r="830" spans="1:16" s="943" customFormat="1" ht="18" customHeight="1" x14ac:dyDescent="0.3">
      <c r="A830" s="839">
        <v>822</v>
      </c>
      <c r="B830" s="940"/>
      <c r="C830" s="915"/>
      <c r="D830" s="987" t="s">
        <v>230</v>
      </c>
      <c r="E830" s="887"/>
      <c r="F830" s="928"/>
      <c r="G830" s="941"/>
      <c r="H830" s="944"/>
      <c r="I830" s="928">
        <f>SUM(J830:N830)</f>
        <v>553</v>
      </c>
      <c r="J830" s="942"/>
      <c r="K830" s="942"/>
      <c r="L830" s="942"/>
      <c r="M830" s="942"/>
      <c r="N830" s="972">
        <v>553</v>
      </c>
      <c r="P830" s="918"/>
    </row>
    <row r="831" spans="1:16" s="943" customFormat="1" ht="18" customHeight="1" x14ac:dyDescent="0.3">
      <c r="A831" s="839">
        <v>823</v>
      </c>
      <c r="B831" s="940"/>
      <c r="C831" s="915"/>
      <c r="D831" s="925" t="s">
        <v>231</v>
      </c>
      <c r="E831" s="887"/>
      <c r="F831" s="928"/>
      <c r="G831" s="941"/>
      <c r="H831" s="944"/>
      <c r="I831" s="988">
        <f>SUM(J831:N831)</f>
        <v>553</v>
      </c>
      <c r="J831" s="905"/>
      <c r="K831" s="905"/>
      <c r="L831" s="905"/>
      <c r="M831" s="905"/>
      <c r="N831" s="989">
        <v>553</v>
      </c>
      <c r="P831" s="918"/>
    </row>
    <row r="832" spans="1:16" s="943" customFormat="1" ht="18" customHeight="1" x14ac:dyDescent="0.3">
      <c r="A832" s="839">
        <v>824</v>
      </c>
      <c r="B832" s="940"/>
      <c r="C832" s="915"/>
      <c r="D832" s="925" t="s">
        <v>245</v>
      </c>
      <c r="E832" s="887"/>
      <c r="F832" s="928"/>
      <c r="G832" s="941"/>
      <c r="H832" s="944"/>
      <c r="I832" s="272">
        <f>SUM(J832:Q832)</f>
        <v>0</v>
      </c>
      <c r="J832" s="942"/>
      <c r="K832" s="942"/>
      <c r="L832" s="942"/>
      <c r="M832" s="942"/>
      <c r="N832" s="972"/>
      <c r="P832" s="918"/>
    </row>
    <row r="833" spans="1:16" s="943" customFormat="1" ht="18" customHeight="1" x14ac:dyDescent="0.3">
      <c r="A833" s="839">
        <v>825</v>
      </c>
      <c r="B833" s="940"/>
      <c r="C833" s="915"/>
      <c r="D833" s="925" t="s">
        <v>233</v>
      </c>
      <c r="E833" s="887"/>
      <c r="F833" s="928"/>
      <c r="G833" s="941"/>
      <c r="H833" s="944"/>
      <c r="I833" s="565">
        <f>SUM(J833:Q833)</f>
        <v>553</v>
      </c>
      <c r="J833" s="942"/>
      <c r="K833" s="942"/>
      <c r="L833" s="942"/>
      <c r="M833" s="942"/>
      <c r="N833" s="989">
        <f>SUM(N831:N832)</f>
        <v>553</v>
      </c>
      <c r="P833" s="918"/>
    </row>
    <row r="834" spans="1:16" s="930" customFormat="1" ht="18" customHeight="1" x14ac:dyDescent="0.3">
      <c r="A834" s="839">
        <v>826</v>
      </c>
      <c r="B834" s="926"/>
      <c r="C834" s="882"/>
      <c r="D834" s="990" t="s">
        <v>698</v>
      </c>
      <c r="E834" s="884">
        <v>553</v>
      </c>
      <c r="F834" s="920">
        <v>553</v>
      </c>
      <c r="G834" s="921">
        <v>553</v>
      </c>
      <c r="H834" s="927"/>
      <c r="I834" s="931"/>
      <c r="J834" s="932"/>
      <c r="K834" s="932"/>
      <c r="L834" s="932"/>
      <c r="M834" s="932"/>
      <c r="N834" s="933"/>
      <c r="P834" s="891"/>
    </row>
    <row r="835" spans="1:16" s="943" customFormat="1" ht="18" customHeight="1" x14ac:dyDescent="0.3">
      <c r="A835" s="839">
        <v>827</v>
      </c>
      <c r="B835" s="940"/>
      <c r="C835" s="915"/>
      <c r="D835" s="987" t="s">
        <v>230</v>
      </c>
      <c r="E835" s="887"/>
      <c r="F835" s="928"/>
      <c r="G835" s="941"/>
      <c r="H835" s="944"/>
      <c r="I835" s="928">
        <f>SUM(J835:N835)</f>
        <v>553</v>
      </c>
      <c r="J835" s="942"/>
      <c r="K835" s="942"/>
      <c r="L835" s="942"/>
      <c r="M835" s="942"/>
      <c r="N835" s="972">
        <v>553</v>
      </c>
      <c r="P835" s="918"/>
    </row>
    <row r="836" spans="1:16" s="943" customFormat="1" ht="18" customHeight="1" x14ac:dyDescent="0.3">
      <c r="A836" s="839">
        <v>828</v>
      </c>
      <c r="B836" s="991"/>
      <c r="C836" s="915"/>
      <c r="D836" s="925" t="s">
        <v>231</v>
      </c>
      <c r="E836" s="899"/>
      <c r="F836" s="992"/>
      <c r="G836" s="993"/>
      <c r="H836" s="994"/>
      <c r="I836" s="988">
        <f>SUM(J836:N836)</f>
        <v>553</v>
      </c>
      <c r="J836" s="995"/>
      <c r="K836" s="995"/>
      <c r="L836" s="995"/>
      <c r="M836" s="995"/>
      <c r="N836" s="996">
        <v>553</v>
      </c>
      <c r="P836" s="918"/>
    </row>
    <row r="837" spans="1:16" s="943" customFormat="1" ht="18" customHeight="1" x14ac:dyDescent="0.3">
      <c r="A837" s="839">
        <v>829</v>
      </c>
      <c r="B837" s="991"/>
      <c r="C837" s="915"/>
      <c r="D837" s="925" t="s">
        <v>245</v>
      </c>
      <c r="E837" s="899"/>
      <c r="F837" s="992"/>
      <c r="G837" s="993"/>
      <c r="H837" s="994"/>
      <c r="I837" s="272">
        <f>SUM(J837:Q837)</f>
        <v>0</v>
      </c>
      <c r="J837" s="997"/>
      <c r="K837" s="997"/>
      <c r="L837" s="997"/>
      <c r="M837" s="997"/>
      <c r="N837" s="998"/>
      <c r="P837" s="918"/>
    </row>
    <row r="838" spans="1:16" s="943" customFormat="1" ht="18" customHeight="1" x14ac:dyDescent="0.3">
      <c r="A838" s="839">
        <v>830</v>
      </c>
      <c r="B838" s="991"/>
      <c r="C838" s="915"/>
      <c r="D838" s="925" t="s">
        <v>233</v>
      </c>
      <c r="E838" s="899"/>
      <c r="F838" s="992"/>
      <c r="G838" s="993"/>
      <c r="H838" s="994"/>
      <c r="I838" s="565">
        <f>SUM(J838:Q838)</f>
        <v>553</v>
      </c>
      <c r="J838" s="997"/>
      <c r="K838" s="997"/>
      <c r="L838" s="997"/>
      <c r="M838" s="997"/>
      <c r="N838" s="998">
        <f>SUM(N836:N837)</f>
        <v>553</v>
      </c>
      <c r="P838" s="918"/>
    </row>
    <row r="839" spans="1:16" s="1003" customFormat="1" ht="18" customHeight="1" x14ac:dyDescent="0.35">
      <c r="A839" s="839">
        <v>831</v>
      </c>
      <c r="B839" s="999"/>
      <c r="C839" s="882">
        <v>119</v>
      </c>
      <c r="D839" s="1000" t="s">
        <v>699</v>
      </c>
      <c r="E839" s="875">
        <v>381</v>
      </c>
      <c r="F839" s="961"/>
      <c r="G839" s="962"/>
      <c r="H839" s="877" t="s">
        <v>296</v>
      </c>
      <c r="I839" s="887"/>
      <c r="J839" s="1001"/>
      <c r="K839" s="1001"/>
      <c r="L839" s="896"/>
      <c r="M839" s="1001"/>
      <c r="N839" s="1002"/>
      <c r="P839" s="840"/>
    </row>
    <row r="840" spans="1:16" s="1003" customFormat="1" ht="18" customHeight="1" x14ac:dyDescent="0.35">
      <c r="A840" s="839">
        <v>832</v>
      </c>
      <c r="B840" s="999"/>
      <c r="C840" s="882">
        <v>120</v>
      </c>
      <c r="D840" s="1000" t="s">
        <v>700</v>
      </c>
      <c r="E840" s="875">
        <v>600</v>
      </c>
      <c r="F840" s="961"/>
      <c r="G840" s="962"/>
      <c r="H840" s="877" t="s">
        <v>296</v>
      </c>
      <c r="I840" s="887"/>
      <c r="J840" s="1001"/>
      <c r="K840" s="1001"/>
      <c r="L840" s="896"/>
      <c r="M840" s="1001"/>
      <c r="N840" s="1002"/>
      <c r="P840" s="840"/>
    </row>
    <row r="841" spans="1:16" s="930" customFormat="1" ht="21.75" customHeight="1" x14ac:dyDescent="0.3">
      <c r="A841" s="839">
        <v>833</v>
      </c>
      <c r="B841" s="1004"/>
      <c r="C841" s="1005">
        <v>121</v>
      </c>
      <c r="D841" s="898" t="s">
        <v>701</v>
      </c>
      <c r="E841" s="1006"/>
      <c r="F841" s="920"/>
      <c r="G841" s="1007"/>
      <c r="H841" s="1008" t="s">
        <v>296</v>
      </c>
      <c r="I841" s="887"/>
      <c r="J841" s="924"/>
      <c r="K841" s="924"/>
      <c r="L841" s="889"/>
      <c r="M841" s="924"/>
      <c r="N841" s="1009"/>
      <c r="P841" s="891"/>
    </row>
    <row r="842" spans="1:16" s="930" customFormat="1" ht="18" customHeight="1" x14ac:dyDescent="0.3">
      <c r="A842" s="839">
        <v>834</v>
      </c>
      <c r="B842" s="1004"/>
      <c r="C842" s="1005"/>
      <c r="D842" s="883" t="s">
        <v>230</v>
      </c>
      <c r="E842" s="1006"/>
      <c r="F842" s="920"/>
      <c r="G842" s="1007"/>
      <c r="H842" s="1010"/>
      <c r="I842" s="887">
        <f>SUM(J842:N842)</f>
        <v>3071</v>
      </c>
      <c r="J842" s="924"/>
      <c r="K842" s="924"/>
      <c r="L842" s="889">
        <f>400+2671</f>
        <v>3071</v>
      </c>
      <c r="M842" s="924"/>
      <c r="N842" s="1009"/>
      <c r="P842" s="891"/>
    </row>
    <row r="843" spans="1:16" s="930" customFormat="1" ht="18" customHeight="1" x14ac:dyDescent="0.3">
      <c r="A843" s="839">
        <v>835</v>
      </c>
      <c r="B843" s="1011"/>
      <c r="C843" s="1005"/>
      <c r="D843" s="1012" t="s">
        <v>231</v>
      </c>
      <c r="E843" s="1013"/>
      <c r="F843" s="961"/>
      <c r="G843" s="1014"/>
      <c r="H843" s="1008"/>
      <c r="I843" s="878">
        <f>SUM(J843:N843)</f>
        <v>3071</v>
      </c>
      <c r="J843" s="894"/>
      <c r="K843" s="894"/>
      <c r="L843" s="892">
        <v>3071</v>
      </c>
      <c r="M843" s="1001"/>
      <c r="N843" s="1015"/>
      <c r="P843" s="891"/>
    </row>
    <row r="844" spans="1:16" s="930" customFormat="1" ht="18" customHeight="1" x14ac:dyDescent="0.3">
      <c r="A844" s="839">
        <v>836</v>
      </c>
      <c r="B844" s="1011"/>
      <c r="C844" s="1005"/>
      <c r="D844" s="1016" t="s">
        <v>245</v>
      </c>
      <c r="E844" s="1013"/>
      <c r="F844" s="961"/>
      <c r="G844" s="1014"/>
      <c r="H844" s="1008"/>
      <c r="I844" s="272">
        <f>SUM(J844:Q844)</f>
        <v>0</v>
      </c>
      <c r="J844" s="1001"/>
      <c r="K844" s="1001"/>
      <c r="L844" s="975"/>
      <c r="M844" s="1001"/>
      <c r="N844" s="1015"/>
      <c r="P844" s="891"/>
    </row>
    <row r="845" spans="1:16" s="930" customFormat="1" ht="18" customHeight="1" x14ac:dyDescent="0.3">
      <c r="A845" s="839">
        <v>837</v>
      </c>
      <c r="B845" s="1011"/>
      <c r="C845" s="1005"/>
      <c r="D845" s="384" t="s">
        <v>233</v>
      </c>
      <c r="E845" s="1013"/>
      <c r="F845" s="961"/>
      <c r="G845" s="1014"/>
      <c r="H845" s="1008"/>
      <c r="I845" s="268">
        <f>SUM(J845:Q845)</f>
        <v>3071</v>
      </c>
      <c r="J845" s="1001"/>
      <c r="K845" s="1001"/>
      <c r="L845" s="892">
        <f>SUM(L843:L844)</f>
        <v>3071</v>
      </c>
      <c r="M845" s="1001"/>
      <c r="N845" s="1015"/>
      <c r="P845" s="891"/>
    </row>
    <row r="846" spans="1:16" s="891" customFormat="1" ht="18" customHeight="1" x14ac:dyDescent="0.3">
      <c r="A846" s="839">
        <v>838</v>
      </c>
      <c r="B846" s="958"/>
      <c r="C846" s="882">
        <v>122</v>
      </c>
      <c r="D846" s="1017" t="s">
        <v>702</v>
      </c>
      <c r="E846" s="875">
        <v>4303</v>
      </c>
      <c r="F846" s="875">
        <v>2276</v>
      </c>
      <c r="G846" s="1018"/>
      <c r="H846" s="1008" t="s">
        <v>296</v>
      </c>
      <c r="I846" s="887"/>
      <c r="J846" s="896"/>
      <c r="K846" s="896"/>
      <c r="L846" s="896"/>
      <c r="M846" s="896"/>
      <c r="N846" s="893"/>
    </row>
    <row r="847" spans="1:16" s="840" customFormat="1" ht="22.5" customHeight="1" x14ac:dyDescent="0.3">
      <c r="A847" s="839">
        <v>839</v>
      </c>
      <c r="B847" s="955"/>
      <c r="C847" s="882">
        <v>123</v>
      </c>
      <c r="D847" s="874" t="s">
        <v>703</v>
      </c>
      <c r="E847" s="875">
        <v>4994</v>
      </c>
      <c r="F847" s="875">
        <v>3653</v>
      </c>
      <c r="G847" s="1018">
        <v>7950</v>
      </c>
      <c r="H847" s="1008" t="s">
        <v>296</v>
      </c>
      <c r="I847" s="887"/>
      <c r="J847" s="896"/>
      <c r="K847" s="896"/>
      <c r="L847" s="896"/>
      <c r="M847" s="896"/>
      <c r="N847" s="893"/>
      <c r="O847" s="891"/>
      <c r="P847" s="891"/>
    </row>
    <row r="848" spans="1:16" s="1020" customFormat="1" ht="18" customHeight="1" x14ac:dyDescent="0.35">
      <c r="A848" s="839">
        <v>840</v>
      </c>
      <c r="B848" s="973"/>
      <c r="C848" s="915"/>
      <c r="D848" s="883" t="s">
        <v>230</v>
      </c>
      <c r="E848" s="875"/>
      <c r="F848" s="875"/>
      <c r="G848" s="1018"/>
      <c r="H848" s="1019"/>
      <c r="I848" s="887">
        <f>SUM(J848:N848)</f>
        <v>4752</v>
      </c>
      <c r="J848" s="975"/>
      <c r="K848" s="975"/>
      <c r="L848" s="975">
        <f>2000+2752</f>
        <v>4752</v>
      </c>
      <c r="M848" s="975"/>
      <c r="N848" s="956"/>
      <c r="O848" s="918"/>
      <c r="P848" s="918"/>
    </row>
    <row r="849" spans="1:16" s="1020" customFormat="1" ht="18" customHeight="1" x14ac:dyDescent="0.35">
      <c r="A849" s="839">
        <v>841</v>
      </c>
      <c r="B849" s="973"/>
      <c r="C849" s="915"/>
      <c r="D849" s="266" t="s">
        <v>231</v>
      </c>
      <c r="E849" s="875"/>
      <c r="F849" s="875"/>
      <c r="G849" s="1018"/>
      <c r="H849" s="1019"/>
      <c r="I849" s="878">
        <f>SUM(J849:N849)</f>
        <v>4901</v>
      </c>
      <c r="J849" s="892"/>
      <c r="K849" s="892"/>
      <c r="L849" s="892">
        <v>4901</v>
      </c>
      <c r="M849" s="975"/>
      <c r="N849" s="956"/>
      <c r="O849" s="918"/>
      <c r="P849" s="918"/>
    </row>
    <row r="850" spans="1:16" s="1020" customFormat="1" ht="18" customHeight="1" x14ac:dyDescent="0.35">
      <c r="A850" s="839">
        <v>842</v>
      </c>
      <c r="B850" s="973"/>
      <c r="C850" s="915"/>
      <c r="D850" s="270" t="s">
        <v>232</v>
      </c>
      <c r="E850" s="875"/>
      <c r="F850" s="875"/>
      <c r="G850" s="1018"/>
      <c r="H850" s="1019"/>
      <c r="I850" s="272">
        <f>SUM(J850:Q850)</f>
        <v>0</v>
      </c>
      <c r="J850" s="975"/>
      <c r="K850" s="975"/>
      <c r="L850" s="894"/>
      <c r="M850" s="975"/>
      <c r="N850" s="956"/>
      <c r="O850" s="918"/>
      <c r="P850" s="918"/>
    </row>
    <row r="851" spans="1:16" s="1020" customFormat="1" ht="18" customHeight="1" x14ac:dyDescent="0.35">
      <c r="A851" s="839">
        <v>843</v>
      </c>
      <c r="B851" s="973"/>
      <c r="C851" s="915"/>
      <c r="D851" s="266" t="s">
        <v>233</v>
      </c>
      <c r="E851" s="875"/>
      <c r="F851" s="875"/>
      <c r="G851" s="1018"/>
      <c r="H851" s="1019"/>
      <c r="I851" s="268">
        <f>SUM(J851:Q851)</f>
        <v>4901</v>
      </c>
      <c r="J851" s="975"/>
      <c r="K851" s="975"/>
      <c r="L851" s="892">
        <f>SUM(L849:L850)</f>
        <v>4901</v>
      </c>
      <c r="M851" s="975"/>
      <c r="N851" s="956"/>
      <c r="O851" s="918"/>
      <c r="P851" s="918"/>
    </row>
    <row r="852" spans="1:16" s="1020" customFormat="1" ht="22.5" customHeight="1" x14ac:dyDescent="0.35">
      <c r="A852" s="839">
        <v>844</v>
      </c>
      <c r="B852" s="973"/>
      <c r="C852" s="882">
        <v>124</v>
      </c>
      <c r="D852" s="874" t="s">
        <v>704</v>
      </c>
      <c r="E852" s="875"/>
      <c r="F852" s="875">
        <v>1200</v>
      </c>
      <c r="G852" s="1018"/>
      <c r="H852" s="1008" t="s">
        <v>296</v>
      </c>
      <c r="I852" s="887"/>
      <c r="J852" s="975"/>
      <c r="K852" s="975"/>
      <c r="L852" s="975"/>
      <c r="M852" s="975"/>
      <c r="N852" s="956"/>
      <c r="O852" s="918"/>
      <c r="P852" s="918"/>
    </row>
    <row r="853" spans="1:16" s="1020" customFormat="1" ht="18" customHeight="1" x14ac:dyDescent="0.35">
      <c r="A853" s="839">
        <v>845</v>
      </c>
      <c r="B853" s="973"/>
      <c r="C853" s="915"/>
      <c r="D853" s="883" t="s">
        <v>230</v>
      </c>
      <c r="E853" s="899"/>
      <c r="F853" s="899"/>
      <c r="G853" s="1021"/>
      <c r="H853" s="1019"/>
      <c r="I853" s="887">
        <f>SUM(J853:N853)</f>
        <v>1700</v>
      </c>
      <c r="J853" s="975"/>
      <c r="K853" s="975"/>
      <c r="L853" s="975">
        <f>500+1200</f>
        <v>1700</v>
      </c>
      <c r="M853" s="975"/>
      <c r="N853" s="956"/>
      <c r="O853" s="918"/>
      <c r="P853" s="918"/>
    </row>
    <row r="854" spans="1:16" s="1020" customFormat="1" ht="18" customHeight="1" x14ac:dyDescent="0.35">
      <c r="A854" s="839">
        <v>846</v>
      </c>
      <c r="B854" s="973"/>
      <c r="C854" s="915"/>
      <c r="D854" s="266" t="s">
        <v>231</v>
      </c>
      <c r="E854" s="899"/>
      <c r="F854" s="899"/>
      <c r="G854" s="1021"/>
      <c r="H854" s="1019"/>
      <c r="I854" s="878">
        <f>SUM(J854:N854)</f>
        <v>1700</v>
      </c>
      <c r="J854" s="892"/>
      <c r="K854" s="892"/>
      <c r="L854" s="892">
        <v>1700</v>
      </c>
      <c r="M854" s="975"/>
      <c r="N854" s="956"/>
      <c r="O854" s="918"/>
      <c r="P854" s="918"/>
    </row>
    <row r="855" spans="1:16" s="1020" customFormat="1" ht="18" customHeight="1" x14ac:dyDescent="0.35">
      <c r="A855" s="839">
        <v>847</v>
      </c>
      <c r="B855" s="973"/>
      <c r="C855" s="915"/>
      <c r="D855" s="270" t="s">
        <v>245</v>
      </c>
      <c r="E855" s="899"/>
      <c r="F855" s="899"/>
      <c r="G855" s="1021"/>
      <c r="H855" s="1019"/>
      <c r="I855" s="272">
        <f>SUM(J855:Q855)</f>
        <v>0</v>
      </c>
      <c r="J855" s="975"/>
      <c r="K855" s="975"/>
      <c r="L855" s="975"/>
      <c r="M855" s="975"/>
      <c r="N855" s="956"/>
      <c r="O855" s="918"/>
      <c r="P855" s="918"/>
    </row>
    <row r="856" spans="1:16" s="1020" customFormat="1" ht="18" customHeight="1" x14ac:dyDescent="0.35">
      <c r="A856" s="839">
        <v>848</v>
      </c>
      <c r="B856" s="973"/>
      <c r="C856" s="915"/>
      <c r="D856" s="266" t="s">
        <v>233</v>
      </c>
      <c r="E856" s="899"/>
      <c r="F856" s="899"/>
      <c r="G856" s="1021"/>
      <c r="H856" s="1019"/>
      <c r="I856" s="268">
        <f>SUM(J856:Q856)</f>
        <v>1700</v>
      </c>
      <c r="J856" s="975"/>
      <c r="K856" s="975"/>
      <c r="L856" s="892">
        <f>SUM(L854:L855)</f>
        <v>1700</v>
      </c>
      <c r="M856" s="975"/>
      <c r="N856" s="956"/>
      <c r="O856" s="918"/>
      <c r="P856" s="918"/>
    </row>
    <row r="857" spans="1:16" s="1020" customFormat="1" ht="22.5" customHeight="1" x14ac:dyDescent="0.35">
      <c r="A857" s="839">
        <v>849</v>
      </c>
      <c r="B857" s="973"/>
      <c r="C857" s="882">
        <v>125</v>
      </c>
      <c r="D857" s="874" t="s">
        <v>705</v>
      </c>
      <c r="E857" s="875">
        <v>210820</v>
      </c>
      <c r="F857" s="875">
        <v>635000</v>
      </c>
      <c r="G857" s="1018">
        <v>296210</v>
      </c>
      <c r="H857" s="1008" t="s">
        <v>296</v>
      </c>
      <c r="I857" s="887"/>
      <c r="J857" s="975"/>
      <c r="K857" s="975"/>
      <c r="L857" s="975"/>
      <c r="M857" s="975"/>
      <c r="N857" s="956"/>
      <c r="O857" s="918"/>
      <c r="P857" s="918"/>
    </row>
    <row r="858" spans="1:16" s="1020" customFormat="1" ht="18" customHeight="1" x14ac:dyDescent="0.35">
      <c r="A858" s="839">
        <v>850</v>
      </c>
      <c r="B858" s="973"/>
      <c r="C858" s="882"/>
      <c r="D858" s="883" t="s">
        <v>230</v>
      </c>
      <c r="E858" s="875"/>
      <c r="F858" s="875"/>
      <c r="G858" s="1018"/>
      <c r="H858" s="1008"/>
      <c r="I858" s="887">
        <f>SUM(J858:N858)</f>
        <v>338790</v>
      </c>
      <c r="J858" s="975"/>
      <c r="K858" s="975"/>
      <c r="L858" s="975">
        <v>338790</v>
      </c>
      <c r="M858" s="975"/>
      <c r="N858" s="956"/>
      <c r="O858" s="918"/>
      <c r="P858" s="918"/>
    </row>
    <row r="859" spans="1:16" s="1020" customFormat="1" ht="18" customHeight="1" x14ac:dyDescent="0.35">
      <c r="A859" s="839">
        <v>851</v>
      </c>
      <c r="B859" s="973"/>
      <c r="C859" s="882"/>
      <c r="D859" s="266" t="s">
        <v>231</v>
      </c>
      <c r="E859" s="875"/>
      <c r="F859" s="875"/>
      <c r="G859" s="1018"/>
      <c r="H859" s="1008"/>
      <c r="I859" s="878">
        <f>SUM(J859:N859)</f>
        <v>338790</v>
      </c>
      <c r="J859" s="892"/>
      <c r="K859" s="892"/>
      <c r="L859" s="892">
        <v>338790</v>
      </c>
      <c r="M859" s="975"/>
      <c r="N859" s="956"/>
      <c r="O859" s="918"/>
      <c r="P859" s="918"/>
    </row>
    <row r="860" spans="1:16" s="1020" customFormat="1" ht="18" customHeight="1" x14ac:dyDescent="0.35">
      <c r="A860" s="839">
        <v>852</v>
      </c>
      <c r="B860" s="973"/>
      <c r="C860" s="882"/>
      <c r="D860" s="270" t="s">
        <v>245</v>
      </c>
      <c r="E860" s="875"/>
      <c r="F860" s="875"/>
      <c r="G860" s="1018"/>
      <c r="H860" s="1008"/>
      <c r="I860" s="272">
        <f>SUM(J860:Q860)</f>
        <v>0</v>
      </c>
      <c r="J860" s="975"/>
      <c r="K860" s="975"/>
      <c r="L860" s="975"/>
      <c r="M860" s="975"/>
      <c r="N860" s="956"/>
      <c r="O860" s="918"/>
      <c r="P860" s="918"/>
    </row>
    <row r="861" spans="1:16" s="1020" customFormat="1" ht="18" customHeight="1" x14ac:dyDescent="0.35">
      <c r="A861" s="839">
        <v>853</v>
      </c>
      <c r="B861" s="973"/>
      <c r="C861" s="882"/>
      <c r="D861" s="266" t="s">
        <v>233</v>
      </c>
      <c r="E861" s="875"/>
      <c r="F861" s="875"/>
      <c r="G861" s="1018"/>
      <c r="H861" s="1008"/>
      <c r="I861" s="268">
        <f>SUM(J861:Q861)</f>
        <v>338790</v>
      </c>
      <c r="J861" s="975"/>
      <c r="K861" s="975"/>
      <c r="L861" s="892">
        <f>SUM(L859:L860)</f>
        <v>338790</v>
      </c>
      <c r="M861" s="975"/>
      <c r="N861" s="956"/>
      <c r="O861" s="918"/>
      <c r="P861" s="918"/>
    </row>
    <row r="862" spans="1:16" s="918" customFormat="1" ht="18" customHeight="1" x14ac:dyDescent="0.3">
      <c r="A862" s="839">
        <v>854</v>
      </c>
      <c r="B862" s="914"/>
      <c r="C862" s="882">
        <v>126</v>
      </c>
      <c r="D862" s="1017" t="s">
        <v>706</v>
      </c>
      <c r="E862" s="875">
        <v>6300</v>
      </c>
      <c r="F862" s="875"/>
      <c r="G862" s="1018"/>
      <c r="H862" s="1010" t="s">
        <v>296</v>
      </c>
      <c r="I862" s="887"/>
      <c r="J862" s="889"/>
      <c r="K862" s="889"/>
      <c r="L862" s="889"/>
      <c r="M862" s="889"/>
      <c r="N862" s="900"/>
    </row>
    <row r="863" spans="1:16" s="918" customFormat="1" ht="35.25" customHeight="1" x14ac:dyDescent="0.3">
      <c r="A863" s="839">
        <v>855</v>
      </c>
      <c r="B863" s="914"/>
      <c r="C863" s="976">
        <v>127</v>
      </c>
      <c r="D863" s="874" t="s">
        <v>707</v>
      </c>
      <c r="E863" s="884">
        <v>997</v>
      </c>
      <c r="F863" s="884">
        <v>1000</v>
      </c>
      <c r="G863" s="1022">
        <v>997</v>
      </c>
      <c r="H863" s="1010" t="s">
        <v>296</v>
      </c>
      <c r="I863" s="887"/>
      <c r="J863" s="889"/>
      <c r="K863" s="889"/>
      <c r="L863" s="889"/>
      <c r="M863" s="889"/>
      <c r="N863" s="900"/>
    </row>
    <row r="864" spans="1:16" s="918" customFormat="1" ht="18" customHeight="1" x14ac:dyDescent="0.3">
      <c r="A864" s="839">
        <v>856</v>
      </c>
      <c r="B864" s="914"/>
      <c r="C864" s="915"/>
      <c r="D864" s="883" t="s">
        <v>230</v>
      </c>
      <c r="E864" s="884"/>
      <c r="F864" s="884"/>
      <c r="G864" s="1022"/>
      <c r="H864" s="1010"/>
      <c r="I864" s="887">
        <f>SUM(J864:N864)</f>
        <v>1000</v>
      </c>
      <c r="J864" s="889"/>
      <c r="K864" s="889"/>
      <c r="L864" s="975">
        <v>1000</v>
      </c>
      <c r="M864" s="889"/>
      <c r="N864" s="900"/>
    </row>
    <row r="865" spans="1:16" s="918" customFormat="1" ht="18" customHeight="1" x14ac:dyDescent="0.3">
      <c r="A865" s="839">
        <v>857</v>
      </c>
      <c r="B865" s="914"/>
      <c r="C865" s="915"/>
      <c r="D865" s="266" t="s">
        <v>231</v>
      </c>
      <c r="E865" s="884"/>
      <c r="F865" s="884"/>
      <c r="G865" s="1022"/>
      <c r="H865" s="1010"/>
      <c r="I865" s="878">
        <f>SUM(J865:N865)</f>
        <v>1000</v>
      </c>
      <c r="J865" s="902"/>
      <c r="K865" s="902"/>
      <c r="L865" s="892">
        <v>1000</v>
      </c>
      <c r="M865" s="889"/>
      <c r="N865" s="900"/>
    </row>
    <row r="866" spans="1:16" s="918" customFormat="1" ht="18" customHeight="1" x14ac:dyDescent="0.3">
      <c r="A866" s="839">
        <v>858</v>
      </c>
      <c r="B866" s="914"/>
      <c r="C866" s="915"/>
      <c r="D866" s="270" t="s">
        <v>245</v>
      </c>
      <c r="E866" s="884"/>
      <c r="F866" s="884"/>
      <c r="G866" s="1022"/>
      <c r="H866" s="1010"/>
      <c r="I866" s="272">
        <f>SUM(J866:Q866)</f>
        <v>0</v>
      </c>
      <c r="J866" s="889"/>
      <c r="K866" s="889"/>
      <c r="L866" s="902"/>
      <c r="M866" s="889"/>
      <c r="N866" s="900"/>
    </row>
    <row r="867" spans="1:16" s="918" customFormat="1" ht="18" customHeight="1" x14ac:dyDescent="0.3">
      <c r="A867" s="839">
        <v>859</v>
      </c>
      <c r="B867" s="914"/>
      <c r="C867" s="915"/>
      <c r="D867" s="266" t="s">
        <v>233</v>
      </c>
      <c r="E867" s="884"/>
      <c r="F867" s="884"/>
      <c r="G867" s="1022"/>
      <c r="H867" s="1010"/>
      <c r="I867" s="268">
        <f>SUM(J867:Q867)</f>
        <v>1000</v>
      </c>
      <c r="J867" s="889"/>
      <c r="K867" s="889"/>
      <c r="L867" s="902">
        <f>SUM(L865:L866)</f>
        <v>1000</v>
      </c>
      <c r="M867" s="889"/>
      <c r="N867" s="900"/>
    </row>
    <row r="868" spans="1:16" s="840" customFormat="1" ht="22.5" customHeight="1" x14ac:dyDescent="0.3">
      <c r="A868" s="839">
        <v>860</v>
      </c>
      <c r="B868" s="881"/>
      <c r="C868" s="882">
        <v>128</v>
      </c>
      <c r="D868" s="898" t="s">
        <v>708</v>
      </c>
      <c r="E868" s="884"/>
      <c r="F868" s="884">
        <v>1210</v>
      </c>
      <c r="G868" s="1022"/>
      <c r="H868" s="1010" t="s">
        <v>296</v>
      </c>
      <c r="I868" s="907"/>
      <c r="J868" s="908"/>
      <c r="K868" s="908"/>
      <c r="L868" s="908"/>
      <c r="M868" s="908"/>
      <c r="N868" s="909"/>
      <c r="O868" s="891"/>
      <c r="P868" s="891"/>
    </row>
    <row r="869" spans="1:16" s="840" customFormat="1" ht="18" customHeight="1" x14ac:dyDescent="0.3">
      <c r="A869" s="839">
        <v>861</v>
      </c>
      <c r="B869" s="881"/>
      <c r="C869" s="882"/>
      <c r="D869" s="883" t="s">
        <v>230</v>
      </c>
      <c r="E869" s="884"/>
      <c r="F869" s="884"/>
      <c r="G869" s="1022"/>
      <c r="H869" s="1010"/>
      <c r="I869" s="887">
        <f>SUM(J869:N869)</f>
        <v>2010</v>
      </c>
      <c r="J869" s="908"/>
      <c r="K869" s="908"/>
      <c r="L869" s="949">
        <f>800+1210</f>
        <v>2010</v>
      </c>
      <c r="M869" s="908"/>
      <c r="N869" s="909"/>
      <c r="O869" s="891"/>
      <c r="P869" s="891"/>
    </row>
    <row r="870" spans="1:16" s="840" customFormat="1" ht="18" customHeight="1" x14ac:dyDescent="0.3">
      <c r="A870" s="839">
        <v>862</v>
      </c>
      <c r="B870" s="881"/>
      <c r="C870" s="882"/>
      <c r="D870" s="266" t="s">
        <v>231</v>
      </c>
      <c r="E870" s="884"/>
      <c r="F870" s="884"/>
      <c r="G870" s="1022"/>
      <c r="H870" s="1010"/>
      <c r="I870" s="878">
        <f>SUM(J870:N870)</f>
        <v>2010</v>
      </c>
      <c r="J870" s="977"/>
      <c r="K870" s="977"/>
      <c r="L870" s="951">
        <v>2010</v>
      </c>
      <c r="M870" s="908"/>
      <c r="N870" s="909"/>
      <c r="O870" s="891"/>
      <c r="P870" s="891"/>
    </row>
    <row r="871" spans="1:16" s="840" customFormat="1" ht="18" customHeight="1" x14ac:dyDescent="0.3">
      <c r="A871" s="839">
        <v>863</v>
      </c>
      <c r="B871" s="881"/>
      <c r="C871" s="882"/>
      <c r="D871" s="270" t="s">
        <v>245</v>
      </c>
      <c r="E871" s="884"/>
      <c r="F871" s="884"/>
      <c r="G871" s="1022"/>
      <c r="H871" s="1010"/>
      <c r="I871" s="272">
        <f>SUM(J871:Q871)</f>
        <v>0</v>
      </c>
      <c r="J871" s="908"/>
      <c r="K871" s="908"/>
      <c r="L871" s="949"/>
      <c r="M871" s="908"/>
      <c r="N871" s="909"/>
      <c r="O871" s="891"/>
      <c r="P871" s="891"/>
    </row>
    <row r="872" spans="1:16" s="840" customFormat="1" ht="18" customHeight="1" x14ac:dyDescent="0.3">
      <c r="A872" s="839">
        <v>864</v>
      </c>
      <c r="B872" s="881"/>
      <c r="C872" s="882"/>
      <c r="D872" s="266" t="s">
        <v>233</v>
      </c>
      <c r="E872" s="884"/>
      <c r="F872" s="884"/>
      <c r="G872" s="1022"/>
      <c r="H872" s="1010"/>
      <c r="I872" s="268">
        <f>SUM(J872:Q872)</f>
        <v>2010</v>
      </c>
      <c r="J872" s="908"/>
      <c r="K872" s="908"/>
      <c r="L872" s="951">
        <f>SUM(L870:L871)</f>
        <v>2010</v>
      </c>
      <c r="M872" s="908"/>
      <c r="N872" s="909"/>
      <c r="O872" s="891"/>
      <c r="P872" s="891"/>
    </row>
    <row r="873" spans="1:16" s="840" customFormat="1" ht="18" customHeight="1" x14ac:dyDescent="0.3">
      <c r="A873" s="839">
        <v>865</v>
      </c>
      <c r="B873" s="881"/>
      <c r="C873" s="882">
        <v>129</v>
      </c>
      <c r="D873" s="1000" t="s">
        <v>709</v>
      </c>
      <c r="E873" s="884"/>
      <c r="F873" s="884"/>
      <c r="G873" s="1022"/>
      <c r="H873" s="1010" t="s">
        <v>296</v>
      </c>
      <c r="I873" s="907"/>
      <c r="J873" s="908"/>
      <c r="K873" s="908"/>
      <c r="L873" s="908"/>
      <c r="M873" s="908"/>
      <c r="N873" s="909"/>
      <c r="O873" s="891"/>
      <c r="P873" s="891"/>
    </row>
    <row r="874" spans="1:16" ht="18" customHeight="1" x14ac:dyDescent="0.35">
      <c r="A874" s="839">
        <v>866</v>
      </c>
      <c r="B874" s="1023"/>
      <c r="C874" s="882">
        <v>130</v>
      </c>
      <c r="D874" s="1000" t="s">
        <v>710</v>
      </c>
      <c r="E874" s="884"/>
      <c r="F874" s="884"/>
      <c r="G874" s="1018"/>
      <c r="H874" s="1024" t="s">
        <v>296</v>
      </c>
      <c r="I874" s="1025"/>
      <c r="J874" s="1026"/>
      <c r="K874" s="1026"/>
      <c r="L874" s="1026"/>
      <c r="M874" s="1026"/>
      <c r="N874" s="1027"/>
    </row>
    <row r="875" spans="1:16" ht="22.5" customHeight="1" x14ac:dyDescent="0.35">
      <c r="A875" s="839">
        <v>867</v>
      </c>
      <c r="B875" s="1023"/>
      <c r="C875" s="882">
        <v>131</v>
      </c>
      <c r="D875" s="874" t="s">
        <v>12</v>
      </c>
      <c r="E875" s="884">
        <v>25929</v>
      </c>
      <c r="F875" s="884">
        <v>38265</v>
      </c>
      <c r="G875" s="1018">
        <v>19787</v>
      </c>
      <c r="H875" s="1024" t="s">
        <v>296</v>
      </c>
      <c r="I875" s="1025"/>
      <c r="J875" s="1026"/>
      <c r="K875" s="1026"/>
      <c r="L875" s="1026"/>
      <c r="M875" s="1026"/>
      <c r="N875" s="1027"/>
    </row>
    <row r="876" spans="1:16" ht="18" customHeight="1" x14ac:dyDescent="0.35">
      <c r="A876" s="839">
        <v>868</v>
      </c>
      <c r="B876" s="1023"/>
      <c r="C876" s="882"/>
      <c r="D876" s="883" t="s">
        <v>230</v>
      </c>
      <c r="E876" s="884"/>
      <c r="F876" s="884"/>
      <c r="G876" s="1018"/>
      <c r="H876" s="1024"/>
      <c r="I876" s="887">
        <f>SUM(J876:N876)</f>
        <v>76522</v>
      </c>
      <c r="J876" s="1026"/>
      <c r="K876" s="1026"/>
      <c r="L876" s="1028">
        <v>76522</v>
      </c>
      <c r="M876" s="1025"/>
      <c r="N876" s="1029"/>
    </row>
    <row r="877" spans="1:16" ht="18" customHeight="1" x14ac:dyDescent="0.35">
      <c r="A877" s="839">
        <v>869</v>
      </c>
      <c r="B877" s="1023"/>
      <c r="C877" s="882"/>
      <c r="D877" s="266" t="s">
        <v>231</v>
      </c>
      <c r="E877" s="884"/>
      <c r="F877" s="884"/>
      <c r="G877" s="1018"/>
      <c r="H877" s="1024"/>
      <c r="I877" s="878">
        <f>SUM(J877:N877)</f>
        <v>96932</v>
      </c>
      <c r="J877" s="1030"/>
      <c r="K877" s="1030"/>
      <c r="L877" s="1031">
        <v>96932</v>
      </c>
      <c r="M877" s="1025"/>
      <c r="N877" s="1029"/>
    </row>
    <row r="878" spans="1:16" ht="18" customHeight="1" x14ac:dyDescent="0.35">
      <c r="A878" s="839">
        <v>870</v>
      </c>
      <c r="B878" s="1023"/>
      <c r="C878" s="882"/>
      <c r="D878" s="270" t="s">
        <v>711</v>
      </c>
      <c r="E878" s="884"/>
      <c r="F878" s="884"/>
      <c r="G878" s="1018"/>
      <c r="H878" s="1024"/>
      <c r="I878" s="272">
        <f>SUM(J878:Q878)</f>
        <v>360</v>
      </c>
      <c r="J878" s="1026"/>
      <c r="K878" s="1026"/>
      <c r="L878" s="1032">
        <v>360</v>
      </c>
      <c r="M878" s="1025"/>
      <c r="N878" s="1029"/>
    </row>
    <row r="879" spans="1:16" ht="18" customHeight="1" x14ac:dyDescent="0.35">
      <c r="A879" s="839">
        <v>871</v>
      </c>
      <c r="B879" s="1023"/>
      <c r="C879" s="882"/>
      <c r="D879" s="266" t="s">
        <v>233</v>
      </c>
      <c r="E879" s="884"/>
      <c r="F879" s="884"/>
      <c r="G879" s="1018"/>
      <c r="H879" s="1024"/>
      <c r="I879" s="268">
        <f>SUM(J879:Q879)</f>
        <v>97292</v>
      </c>
      <c r="J879" s="1026"/>
      <c r="K879" s="1026"/>
      <c r="L879" s="1031">
        <f>SUM(L877:L878)</f>
        <v>97292</v>
      </c>
      <c r="M879" s="1025"/>
      <c r="N879" s="1029"/>
    </row>
    <row r="880" spans="1:16" ht="18" customHeight="1" x14ac:dyDescent="0.35">
      <c r="A880" s="839">
        <v>872</v>
      </c>
      <c r="B880" s="1023"/>
      <c r="C880" s="882">
        <v>132</v>
      </c>
      <c r="D880" s="1033" t="s">
        <v>712</v>
      </c>
      <c r="E880" s="884">
        <v>994</v>
      </c>
      <c r="F880" s="884"/>
      <c r="G880" s="1018"/>
      <c r="H880" s="1024" t="s">
        <v>296</v>
      </c>
      <c r="I880" s="1025"/>
      <c r="J880" s="1026"/>
      <c r="K880" s="1026"/>
      <c r="L880" s="1026"/>
      <c r="M880" s="1026"/>
      <c r="N880" s="1027"/>
    </row>
    <row r="881" spans="1:16" ht="18" customHeight="1" x14ac:dyDescent="0.35">
      <c r="A881" s="839">
        <v>873</v>
      </c>
      <c r="B881" s="1023"/>
      <c r="C881" s="882">
        <v>133</v>
      </c>
      <c r="D881" s="1000" t="s">
        <v>713</v>
      </c>
      <c r="E881" s="884">
        <v>318</v>
      </c>
      <c r="F881" s="884"/>
      <c r="G881" s="1018"/>
      <c r="H881" s="1024" t="s">
        <v>106</v>
      </c>
      <c r="I881" s="1025"/>
      <c r="J881" s="1026"/>
      <c r="K881" s="1026"/>
      <c r="L881" s="1026"/>
      <c r="M881" s="1026"/>
      <c r="N881" s="1027"/>
    </row>
    <row r="882" spans="1:16" s="1020" customFormat="1" ht="22.5" customHeight="1" x14ac:dyDescent="0.35">
      <c r="A882" s="839">
        <v>874</v>
      </c>
      <c r="B882" s="973"/>
      <c r="C882" s="882">
        <v>134</v>
      </c>
      <c r="D882" s="898" t="s">
        <v>714</v>
      </c>
      <c r="E882" s="875">
        <v>2500</v>
      </c>
      <c r="F882" s="875">
        <v>2000</v>
      </c>
      <c r="G882" s="1018">
        <v>2000</v>
      </c>
      <c r="H882" s="1008" t="s">
        <v>296</v>
      </c>
      <c r="I882" s="887"/>
      <c r="J882" s="975"/>
      <c r="K882" s="975"/>
      <c r="L882" s="975"/>
      <c r="M882" s="975"/>
      <c r="N882" s="956"/>
      <c r="O882" s="918"/>
      <c r="P882" s="918"/>
    </row>
    <row r="883" spans="1:16" s="1020" customFormat="1" ht="18" customHeight="1" x14ac:dyDescent="0.35">
      <c r="A883" s="839">
        <v>875</v>
      </c>
      <c r="B883" s="973"/>
      <c r="C883" s="882"/>
      <c r="D883" s="883" t="s">
        <v>230</v>
      </c>
      <c r="E883" s="875"/>
      <c r="F883" s="875"/>
      <c r="G883" s="1018"/>
      <c r="H883" s="1008"/>
      <c r="I883" s="887">
        <f>SUM(J883:N883)</f>
        <v>2000</v>
      </c>
      <c r="J883" s="975"/>
      <c r="K883" s="975"/>
      <c r="L883" s="975">
        <v>2000</v>
      </c>
      <c r="M883" s="975"/>
      <c r="N883" s="956"/>
      <c r="O883" s="918"/>
      <c r="P883" s="918"/>
    </row>
    <row r="884" spans="1:16" s="1020" customFormat="1" ht="18" customHeight="1" x14ac:dyDescent="0.35">
      <c r="A884" s="839">
        <v>876</v>
      </c>
      <c r="B884" s="973"/>
      <c r="C884" s="882"/>
      <c r="D884" s="266" t="s">
        <v>231</v>
      </c>
      <c r="E884" s="875"/>
      <c r="F884" s="875"/>
      <c r="G884" s="1018"/>
      <c r="H884" s="1008"/>
      <c r="I884" s="878">
        <f>SUM(J884:N884)</f>
        <v>2000</v>
      </c>
      <c r="J884" s="892"/>
      <c r="K884" s="892"/>
      <c r="L884" s="892">
        <v>0</v>
      </c>
      <c r="M884" s="892"/>
      <c r="N884" s="957">
        <v>2000</v>
      </c>
      <c r="O884" s="918"/>
      <c r="P884" s="918"/>
    </row>
    <row r="885" spans="1:16" s="1020" customFormat="1" ht="18" customHeight="1" x14ac:dyDescent="0.35">
      <c r="A885" s="839">
        <v>877</v>
      </c>
      <c r="B885" s="973"/>
      <c r="C885" s="882"/>
      <c r="D885" s="270" t="s">
        <v>232</v>
      </c>
      <c r="E885" s="875"/>
      <c r="F885" s="875"/>
      <c r="G885" s="1018"/>
      <c r="H885" s="1008"/>
      <c r="I885" s="272">
        <f>SUM(J885:Q885)</f>
        <v>0</v>
      </c>
      <c r="J885" s="975"/>
      <c r="K885" s="975"/>
      <c r="L885" s="894"/>
      <c r="M885" s="894"/>
      <c r="N885" s="895"/>
      <c r="O885" s="918"/>
      <c r="P885" s="918"/>
    </row>
    <row r="886" spans="1:16" s="1020" customFormat="1" ht="18" customHeight="1" x14ac:dyDescent="0.35">
      <c r="A886" s="839">
        <v>878</v>
      </c>
      <c r="B886" s="973"/>
      <c r="C886" s="882"/>
      <c r="D886" s="266" t="s">
        <v>233</v>
      </c>
      <c r="E886" s="875"/>
      <c r="F886" s="875"/>
      <c r="G886" s="1018"/>
      <c r="H886" s="1008"/>
      <c r="I886" s="268">
        <f>SUM(J886:Q886)</f>
        <v>2000</v>
      </c>
      <c r="J886" s="975"/>
      <c r="K886" s="975"/>
      <c r="L886" s="892">
        <f>SUM(L884:L885)</f>
        <v>0</v>
      </c>
      <c r="M886" s="892"/>
      <c r="N886" s="957">
        <f>SUM(N884:N885)</f>
        <v>2000</v>
      </c>
      <c r="O886" s="918"/>
      <c r="P886" s="918"/>
    </row>
    <row r="887" spans="1:16" s="891" customFormat="1" ht="22.5" customHeight="1" x14ac:dyDescent="0.3">
      <c r="A887" s="839">
        <v>879</v>
      </c>
      <c r="B887" s="881"/>
      <c r="C887" s="882">
        <v>135</v>
      </c>
      <c r="D887" s="898" t="s">
        <v>715</v>
      </c>
      <c r="E887" s="884"/>
      <c r="F887" s="884"/>
      <c r="G887" s="1022"/>
      <c r="H887" s="1010" t="s">
        <v>296</v>
      </c>
      <c r="I887" s="887"/>
      <c r="J887" s="888"/>
      <c r="K887" s="888"/>
      <c r="L887" s="888"/>
      <c r="M887" s="888"/>
      <c r="N887" s="890"/>
    </row>
    <row r="888" spans="1:16" s="891" customFormat="1" ht="18" customHeight="1" x14ac:dyDescent="0.3">
      <c r="A888" s="839">
        <v>880</v>
      </c>
      <c r="B888" s="881"/>
      <c r="C888" s="882"/>
      <c r="D888" s="883" t="s">
        <v>230</v>
      </c>
      <c r="E888" s="884">
        <v>3291</v>
      </c>
      <c r="F888" s="884">
        <v>5949</v>
      </c>
      <c r="G888" s="1022">
        <v>10581</v>
      </c>
      <c r="H888" s="1010"/>
      <c r="I888" s="887">
        <f>SUM(J888:N888)</f>
        <v>17713</v>
      </c>
      <c r="J888" s="888"/>
      <c r="K888" s="888"/>
      <c r="L888" s="889">
        <v>17713</v>
      </c>
      <c r="M888" s="889"/>
      <c r="N888" s="900"/>
    </row>
    <row r="889" spans="1:16" s="891" customFormat="1" ht="18" customHeight="1" x14ac:dyDescent="0.3">
      <c r="A889" s="839">
        <v>881</v>
      </c>
      <c r="B889" s="881"/>
      <c r="C889" s="882"/>
      <c r="D889" s="266" t="s">
        <v>231</v>
      </c>
      <c r="E889" s="884"/>
      <c r="F889" s="884"/>
      <c r="G889" s="1022"/>
      <c r="H889" s="1010"/>
      <c r="I889" s="878">
        <f>SUM(J889:N889)</f>
        <v>37838</v>
      </c>
      <c r="J889" s="902">
        <v>694</v>
      </c>
      <c r="K889" s="902">
        <v>299</v>
      </c>
      <c r="L889" s="902">
        <v>22727</v>
      </c>
      <c r="M889" s="902"/>
      <c r="N889" s="903">
        <v>14118</v>
      </c>
    </row>
    <row r="890" spans="1:16" s="891" customFormat="1" ht="18" customHeight="1" x14ac:dyDescent="0.3">
      <c r="A890" s="839">
        <v>882</v>
      </c>
      <c r="B890" s="1034"/>
      <c r="C890" s="882"/>
      <c r="D890" s="270" t="s">
        <v>232</v>
      </c>
      <c r="E890" s="884"/>
      <c r="F890" s="884"/>
      <c r="G890" s="1022"/>
      <c r="H890" s="1010"/>
      <c r="I890" s="272">
        <f>SUM(J890:Q890)</f>
        <v>0</v>
      </c>
      <c r="J890" s="904"/>
      <c r="K890" s="904"/>
      <c r="L890" s="904"/>
      <c r="M890" s="889"/>
      <c r="N890" s="906"/>
    </row>
    <row r="891" spans="1:16" s="891" customFormat="1" ht="18" customHeight="1" x14ac:dyDescent="0.3">
      <c r="A891" s="839">
        <v>883</v>
      </c>
      <c r="B891" s="1034"/>
      <c r="C891" s="882"/>
      <c r="D891" s="266" t="s">
        <v>233</v>
      </c>
      <c r="E891" s="884"/>
      <c r="F891" s="884"/>
      <c r="G891" s="1022"/>
      <c r="H891" s="1010"/>
      <c r="I891" s="268">
        <f>SUM(J891:Q891)</f>
        <v>37838</v>
      </c>
      <c r="J891" s="902">
        <f>SUM(J889:J890)</f>
        <v>694</v>
      </c>
      <c r="K891" s="902">
        <f>SUM(K889:K890)</f>
        <v>299</v>
      </c>
      <c r="L891" s="902">
        <f>SUM(L889:L890)</f>
        <v>22727</v>
      </c>
      <c r="M891" s="902"/>
      <c r="N891" s="903">
        <f>SUM(N888:N890)</f>
        <v>14118</v>
      </c>
    </row>
    <row r="892" spans="1:16" s="891" customFormat="1" ht="18" customHeight="1" x14ac:dyDescent="0.3">
      <c r="A892" s="839">
        <v>884</v>
      </c>
      <c r="B892" s="1034"/>
      <c r="C892" s="882">
        <v>136</v>
      </c>
      <c r="D892" s="1033" t="s">
        <v>716</v>
      </c>
      <c r="E892" s="884">
        <v>8090</v>
      </c>
      <c r="F892" s="884"/>
      <c r="G892" s="1022">
        <v>5864</v>
      </c>
      <c r="H892" s="1010" t="s">
        <v>106</v>
      </c>
      <c r="I892" s="887"/>
      <c r="J892" s="888"/>
      <c r="K892" s="888"/>
      <c r="L892" s="888"/>
      <c r="M892" s="888"/>
      <c r="N892" s="890"/>
    </row>
    <row r="893" spans="1:16" s="960" customFormat="1" ht="18" customHeight="1" x14ac:dyDescent="0.3">
      <c r="A893" s="839">
        <v>885</v>
      </c>
      <c r="B893" s="1035"/>
      <c r="C893" s="882">
        <v>137</v>
      </c>
      <c r="D893" s="1000" t="s">
        <v>717</v>
      </c>
      <c r="E893" s="875"/>
      <c r="F893" s="875"/>
      <c r="G893" s="1018"/>
      <c r="H893" s="1008" t="s">
        <v>106</v>
      </c>
      <c r="I893" s="887"/>
      <c r="J893" s="896"/>
      <c r="K893" s="896"/>
      <c r="L893" s="896"/>
      <c r="M893" s="896"/>
      <c r="N893" s="893"/>
      <c r="O893" s="959"/>
      <c r="P893" s="891"/>
    </row>
    <row r="894" spans="1:16" s="840" customFormat="1" ht="22.5" customHeight="1" x14ac:dyDescent="0.35">
      <c r="A894" s="839">
        <v>886</v>
      </c>
      <c r="B894" s="1036"/>
      <c r="C894" s="882">
        <v>138</v>
      </c>
      <c r="D894" s="1037" t="s">
        <v>718</v>
      </c>
      <c r="E894" s="884"/>
      <c r="F894" s="884"/>
      <c r="G894" s="1022"/>
      <c r="H894" s="1010" t="s">
        <v>296</v>
      </c>
      <c r="I894" s="887"/>
      <c r="J894" s="888"/>
      <c r="K894" s="888"/>
      <c r="L894" s="888"/>
      <c r="M894" s="888"/>
      <c r="N894" s="890"/>
      <c r="P894" s="891"/>
    </row>
    <row r="895" spans="1:16" s="840" customFormat="1" ht="18" customHeight="1" x14ac:dyDescent="0.3">
      <c r="A895" s="839">
        <v>887</v>
      </c>
      <c r="B895" s="1038"/>
      <c r="C895" s="882"/>
      <c r="D895" s="883" t="s">
        <v>230</v>
      </c>
      <c r="E895" s="884"/>
      <c r="F895" s="884">
        <v>70000</v>
      </c>
      <c r="G895" s="1018">
        <v>105000</v>
      </c>
      <c r="H895" s="1008"/>
      <c r="I895" s="887">
        <f>SUM(J895:N895)</f>
        <v>105000</v>
      </c>
      <c r="J895" s="896"/>
      <c r="K895" s="896"/>
      <c r="L895" s="975">
        <f>70000+35000</f>
        <v>105000</v>
      </c>
      <c r="M895" s="896"/>
      <c r="N895" s="893"/>
      <c r="P895" s="891"/>
    </row>
    <row r="896" spans="1:16" s="840" customFormat="1" ht="18" customHeight="1" x14ac:dyDescent="0.3">
      <c r="A896" s="839">
        <v>888</v>
      </c>
      <c r="B896" s="1038"/>
      <c r="C896" s="882"/>
      <c r="D896" s="266" t="s">
        <v>231</v>
      </c>
      <c r="E896" s="884"/>
      <c r="F896" s="884"/>
      <c r="G896" s="1018"/>
      <c r="H896" s="1008"/>
      <c r="I896" s="878">
        <f>SUM(J896:N896)</f>
        <v>75281</v>
      </c>
      <c r="J896" s="879"/>
      <c r="K896" s="879"/>
      <c r="L896" s="892">
        <v>75281</v>
      </c>
      <c r="M896" s="896"/>
      <c r="N896" s="893"/>
      <c r="P896" s="891"/>
    </row>
    <row r="897" spans="1:16" s="840" customFormat="1" ht="18" customHeight="1" x14ac:dyDescent="0.3">
      <c r="A897" s="839">
        <v>889</v>
      </c>
      <c r="B897" s="1038"/>
      <c r="C897" s="882"/>
      <c r="D897" s="270" t="s">
        <v>232</v>
      </c>
      <c r="E897" s="884"/>
      <c r="F897" s="884"/>
      <c r="G897" s="1018"/>
      <c r="H897" s="1008"/>
      <c r="I897" s="272">
        <f>SUM(J897:Q897)</f>
        <v>0</v>
      </c>
      <c r="J897" s="896"/>
      <c r="K897" s="896"/>
      <c r="L897" s="894"/>
      <c r="M897" s="896"/>
      <c r="N897" s="893"/>
      <c r="P897" s="891"/>
    </row>
    <row r="898" spans="1:16" s="840" customFormat="1" ht="18" customHeight="1" x14ac:dyDescent="0.3">
      <c r="A898" s="839">
        <v>890</v>
      </c>
      <c r="B898" s="1038"/>
      <c r="C898" s="882"/>
      <c r="D898" s="266" t="s">
        <v>233</v>
      </c>
      <c r="E898" s="884"/>
      <c r="F898" s="884"/>
      <c r="G898" s="1018"/>
      <c r="H898" s="1008"/>
      <c r="I898" s="268">
        <f>SUM(J898:Q898)</f>
        <v>75281</v>
      </c>
      <c r="J898" s="896"/>
      <c r="K898" s="896"/>
      <c r="L898" s="892">
        <f>SUM(L896:L897)</f>
        <v>75281</v>
      </c>
      <c r="M898" s="896"/>
      <c r="N898" s="893"/>
      <c r="P898" s="891"/>
    </row>
    <row r="899" spans="1:16" s="891" customFormat="1" ht="18" customHeight="1" x14ac:dyDescent="0.3">
      <c r="A899" s="839">
        <v>891</v>
      </c>
      <c r="B899" s="1035"/>
      <c r="C899" s="882">
        <v>139</v>
      </c>
      <c r="D899" s="1017" t="s">
        <v>719</v>
      </c>
      <c r="E899" s="884"/>
      <c r="F899" s="884"/>
      <c r="G899" s="1018">
        <v>2400</v>
      </c>
      <c r="H899" s="1008" t="s">
        <v>296</v>
      </c>
      <c r="I899" s="887"/>
      <c r="J899" s="896"/>
      <c r="K899" s="896"/>
      <c r="L899" s="896"/>
      <c r="M899" s="896"/>
      <c r="N899" s="893"/>
    </row>
    <row r="900" spans="1:16" s="930" customFormat="1" ht="18" customHeight="1" x14ac:dyDescent="0.3">
      <c r="A900" s="839">
        <v>892</v>
      </c>
      <c r="B900" s="1011"/>
      <c r="C900" s="882">
        <v>140</v>
      </c>
      <c r="D900" s="1000" t="s">
        <v>720</v>
      </c>
      <c r="E900" s="875"/>
      <c r="F900" s="961"/>
      <c r="G900" s="1014"/>
      <c r="H900" s="1008" t="s">
        <v>296</v>
      </c>
      <c r="I900" s="887"/>
      <c r="J900" s="1001"/>
      <c r="K900" s="1001"/>
      <c r="L900" s="896"/>
      <c r="M900" s="1001"/>
      <c r="N900" s="1002"/>
      <c r="P900" s="891"/>
    </row>
    <row r="901" spans="1:16" s="930" customFormat="1" ht="22.5" customHeight="1" x14ac:dyDescent="0.3">
      <c r="A901" s="839">
        <v>893</v>
      </c>
      <c r="B901" s="1011"/>
      <c r="C901" s="882">
        <v>141</v>
      </c>
      <c r="D901" s="898" t="s">
        <v>721</v>
      </c>
      <c r="E901" s="875"/>
      <c r="F901" s="961"/>
      <c r="G901" s="1014"/>
      <c r="H901" s="1008" t="s">
        <v>296</v>
      </c>
      <c r="I901" s="887"/>
      <c r="J901" s="1001"/>
      <c r="K901" s="1001"/>
      <c r="L901" s="896"/>
      <c r="M901" s="1001"/>
      <c r="N901" s="1002"/>
      <c r="P901" s="891"/>
    </row>
    <row r="902" spans="1:16" s="930" customFormat="1" ht="18" customHeight="1" x14ac:dyDescent="0.3">
      <c r="A902" s="839">
        <v>894</v>
      </c>
      <c r="B902" s="1011"/>
      <c r="C902" s="882"/>
      <c r="D902" s="883" t="s">
        <v>230</v>
      </c>
      <c r="E902" s="875"/>
      <c r="F902" s="961">
        <v>25000</v>
      </c>
      <c r="G902" s="1014">
        <v>19455</v>
      </c>
      <c r="H902" s="1008"/>
      <c r="I902" s="887">
        <f>SUM(J902:N902)</f>
        <v>20000</v>
      </c>
      <c r="J902" s="1001"/>
      <c r="K902" s="1001"/>
      <c r="L902" s="975"/>
      <c r="M902" s="1001"/>
      <c r="N902" s="956">
        <v>20000</v>
      </c>
      <c r="P902" s="891"/>
    </row>
    <row r="903" spans="1:16" s="930" customFormat="1" ht="18" customHeight="1" x14ac:dyDescent="0.3">
      <c r="A903" s="839">
        <v>895</v>
      </c>
      <c r="B903" s="1011"/>
      <c r="C903" s="882"/>
      <c r="D903" s="266" t="s">
        <v>231</v>
      </c>
      <c r="E903" s="875"/>
      <c r="F903" s="961"/>
      <c r="G903" s="1014"/>
      <c r="H903" s="1008"/>
      <c r="I903" s="878">
        <f>SUM(J903:N903)</f>
        <v>20000</v>
      </c>
      <c r="J903" s="894"/>
      <c r="K903" s="894"/>
      <c r="L903" s="892"/>
      <c r="M903" s="894"/>
      <c r="N903" s="1039">
        <v>20000</v>
      </c>
      <c r="P903" s="891"/>
    </row>
    <row r="904" spans="1:16" s="930" customFormat="1" ht="18" customHeight="1" x14ac:dyDescent="0.3">
      <c r="A904" s="839">
        <v>896</v>
      </c>
      <c r="B904" s="1011"/>
      <c r="C904" s="882"/>
      <c r="D904" s="270" t="s">
        <v>245</v>
      </c>
      <c r="E904" s="875"/>
      <c r="F904" s="961"/>
      <c r="G904" s="1014"/>
      <c r="H904" s="1008"/>
      <c r="I904" s="272">
        <f>SUM(J904:Q904)</f>
        <v>0</v>
      </c>
      <c r="J904" s="1001"/>
      <c r="K904" s="1001"/>
      <c r="L904" s="975"/>
      <c r="M904" s="1001"/>
      <c r="N904" s="1015"/>
      <c r="P904" s="891"/>
    </row>
    <row r="905" spans="1:16" s="930" customFormat="1" ht="18" customHeight="1" x14ac:dyDescent="0.3">
      <c r="A905" s="839">
        <v>897</v>
      </c>
      <c r="B905" s="1011"/>
      <c r="C905" s="882"/>
      <c r="D905" s="266" t="s">
        <v>233</v>
      </c>
      <c r="E905" s="875"/>
      <c r="F905" s="961"/>
      <c r="G905" s="1014"/>
      <c r="H905" s="1008"/>
      <c r="I905" s="268">
        <f>SUM(J905:Q905)</f>
        <v>20000</v>
      </c>
      <c r="J905" s="1001"/>
      <c r="K905" s="1001"/>
      <c r="L905" s="975"/>
      <c r="M905" s="1001"/>
      <c r="N905" s="1039">
        <f>SUM(N903:N904)</f>
        <v>20000</v>
      </c>
      <c r="P905" s="891"/>
    </row>
    <row r="906" spans="1:16" s="930" customFormat="1" ht="18" customHeight="1" x14ac:dyDescent="0.3">
      <c r="A906" s="839">
        <v>898</v>
      </c>
      <c r="B906" s="1004"/>
      <c r="C906" s="882">
        <v>142</v>
      </c>
      <c r="D906" s="1000" t="s">
        <v>722</v>
      </c>
      <c r="E906" s="884"/>
      <c r="F906" s="920"/>
      <c r="G906" s="1022">
        <v>1000</v>
      </c>
      <c r="H906" s="1008" t="s">
        <v>296</v>
      </c>
      <c r="I906" s="887"/>
      <c r="J906" s="924"/>
      <c r="K906" s="924"/>
      <c r="L906" s="889"/>
      <c r="M906" s="924"/>
      <c r="N906" s="1009"/>
      <c r="P906" s="891"/>
    </row>
    <row r="907" spans="1:16" s="930" customFormat="1" ht="18" customHeight="1" x14ac:dyDescent="0.3">
      <c r="A907" s="839">
        <v>899</v>
      </c>
      <c r="B907" s="1004"/>
      <c r="C907" s="882">
        <v>143</v>
      </c>
      <c r="D907" s="1040" t="s">
        <v>723</v>
      </c>
      <c r="E907" s="1006"/>
      <c r="F907" s="920"/>
      <c r="G907" s="1022">
        <v>1500</v>
      </c>
      <c r="H907" s="1008" t="s">
        <v>296</v>
      </c>
      <c r="I907" s="887"/>
      <c r="J907" s="924"/>
      <c r="K907" s="924"/>
      <c r="L907" s="889"/>
      <c r="M907" s="924"/>
      <c r="N907" s="1009"/>
      <c r="P907" s="891"/>
    </row>
    <row r="908" spans="1:16" s="930" customFormat="1" ht="18" customHeight="1" x14ac:dyDescent="0.3">
      <c r="A908" s="839">
        <v>900</v>
      </c>
      <c r="B908" s="1004"/>
      <c r="C908" s="882">
        <v>144</v>
      </c>
      <c r="D908" s="1000" t="s">
        <v>724</v>
      </c>
      <c r="E908" s="1006"/>
      <c r="F908" s="920"/>
      <c r="G908" s="1022">
        <v>15000</v>
      </c>
      <c r="H908" s="1008" t="s">
        <v>296</v>
      </c>
      <c r="I908" s="887"/>
      <c r="J908" s="924"/>
      <c r="K908" s="924"/>
      <c r="L908" s="889"/>
      <c r="M908" s="924"/>
      <c r="N908" s="1009"/>
      <c r="P908" s="891"/>
    </row>
    <row r="909" spans="1:16" s="930" customFormat="1" ht="21.75" customHeight="1" x14ac:dyDescent="0.3">
      <c r="A909" s="839">
        <v>901</v>
      </c>
      <c r="B909" s="1004"/>
      <c r="C909" s="882">
        <v>145</v>
      </c>
      <c r="D909" s="898" t="s">
        <v>725</v>
      </c>
      <c r="E909" s="1006"/>
      <c r="F909" s="920"/>
      <c r="G909" s="1022">
        <v>6000</v>
      </c>
      <c r="H909" s="1008" t="s">
        <v>296</v>
      </c>
      <c r="I909" s="887"/>
      <c r="J909" s="924"/>
      <c r="K909" s="924"/>
      <c r="L909" s="889"/>
      <c r="M909" s="924"/>
      <c r="N909" s="1009"/>
      <c r="P909" s="891"/>
    </row>
    <row r="910" spans="1:16" s="930" customFormat="1" ht="18" customHeight="1" x14ac:dyDescent="0.3">
      <c r="A910" s="839">
        <v>902</v>
      </c>
      <c r="B910" s="1004"/>
      <c r="C910" s="882"/>
      <c r="D910" s="1041" t="s">
        <v>230</v>
      </c>
      <c r="E910" s="884"/>
      <c r="F910" s="920"/>
      <c r="G910" s="1022"/>
      <c r="H910" s="1008"/>
      <c r="I910" s="887">
        <f>SUM(J910:N910)</f>
        <v>10000</v>
      </c>
      <c r="J910" s="924"/>
      <c r="K910" s="924"/>
      <c r="L910" s="889"/>
      <c r="M910" s="924"/>
      <c r="N910" s="1042">
        <v>10000</v>
      </c>
      <c r="P910" s="891"/>
    </row>
    <row r="911" spans="1:16" s="930" customFormat="1" ht="18" customHeight="1" x14ac:dyDescent="0.3">
      <c r="A911" s="839">
        <v>903</v>
      </c>
      <c r="B911" s="1004"/>
      <c r="C911" s="882"/>
      <c r="D911" s="266" t="s">
        <v>231</v>
      </c>
      <c r="E911" s="884"/>
      <c r="F911" s="920"/>
      <c r="G911" s="1022"/>
      <c r="H911" s="1008"/>
      <c r="I911" s="878">
        <f>SUM(J911:N911)</f>
        <v>6400</v>
      </c>
      <c r="J911" s="904"/>
      <c r="K911" s="904"/>
      <c r="L911" s="902"/>
      <c r="M911" s="904"/>
      <c r="N911" s="1043">
        <v>6400</v>
      </c>
      <c r="P911" s="891"/>
    </row>
    <row r="912" spans="1:16" s="930" customFormat="1" ht="18" customHeight="1" x14ac:dyDescent="0.3">
      <c r="A912" s="839">
        <v>904</v>
      </c>
      <c r="B912" s="1004"/>
      <c r="C912" s="882"/>
      <c r="D912" s="270" t="s">
        <v>232</v>
      </c>
      <c r="E912" s="884"/>
      <c r="F912" s="920"/>
      <c r="G912" s="1022"/>
      <c r="H912" s="1008"/>
      <c r="I912" s="272">
        <f>SUM(J912:Q912)</f>
        <v>0</v>
      </c>
      <c r="J912" s="924"/>
      <c r="K912" s="924"/>
      <c r="L912" s="889"/>
      <c r="M912" s="924"/>
      <c r="N912" s="1044"/>
      <c r="P912" s="891"/>
    </row>
    <row r="913" spans="1:16" s="930" customFormat="1" ht="18" customHeight="1" x14ac:dyDescent="0.3">
      <c r="A913" s="839">
        <v>905</v>
      </c>
      <c r="B913" s="1004"/>
      <c r="C913" s="882"/>
      <c r="D913" s="266" t="s">
        <v>233</v>
      </c>
      <c r="E913" s="884"/>
      <c r="F913" s="920"/>
      <c r="G913" s="1022"/>
      <c r="H913" s="1008"/>
      <c r="I913" s="268">
        <f>SUM(J913:Q913)</f>
        <v>6400</v>
      </c>
      <c r="J913" s="924"/>
      <c r="K913" s="924"/>
      <c r="L913" s="889"/>
      <c r="M913" s="924"/>
      <c r="N913" s="1043">
        <f>SUM(N911:N912)</f>
        <v>6400</v>
      </c>
      <c r="P913" s="891"/>
    </row>
    <row r="914" spans="1:16" s="930" customFormat="1" ht="21.75" customHeight="1" x14ac:dyDescent="0.3">
      <c r="A914" s="839">
        <v>906</v>
      </c>
      <c r="B914" s="1004"/>
      <c r="C914" s="882">
        <v>146</v>
      </c>
      <c r="D914" s="1045" t="s">
        <v>726</v>
      </c>
      <c r="E914" s="884"/>
      <c r="F914" s="920"/>
      <c r="G914" s="1022">
        <v>1650</v>
      </c>
      <c r="H914" s="1008" t="s">
        <v>296</v>
      </c>
      <c r="I914" s="887"/>
      <c r="J914" s="924"/>
      <c r="K914" s="924"/>
      <c r="L914" s="889"/>
      <c r="M914" s="924"/>
      <c r="N914" s="1009"/>
      <c r="P914" s="891"/>
    </row>
    <row r="915" spans="1:16" s="930" customFormat="1" ht="18" customHeight="1" x14ac:dyDescent="0.3">
      <c r="A915" s="839">
        <v>907</v>
      </c>
      <c r="B915" s="1004"/>
      <c r="C915" s="882"/>
      <c r="D915" s="1041" t="s">
        <v>230</v>
      </c>
      <c r="E915" s="884"/>
      <c r="F915" s="920"/>
      <c r="G915" s="1007"/>
      <c r="H915" s="1008"/>
      <c r="I915" s="887">
        <f>SUM(J915:N915)</f>
        <v>1650</v>
      </c>
      <c r="J915" s="924"/>
      <c r="K915" s="924"/>
      <c r="L915" s="889"/>
      <c r="M915" s="924"/>
      <c r="N915" s="1042">
        <v>1650</v>
      </c>
      <c r="P915" s="891"/>
    </row>
    <row r="916" spans="1:16" s="930" customFormat="1" ht="18" customHeight="1" x14ac:dyDescent="0.3">
      <c r="A916" s="839">
        <v>908</v>
      </c>
      <c r="B916" s="1004"/>
      <c r="C916" s="882"/>
      <c r="D916" s="266" t="s">
        <v>231</v>
      </c>
      <c r="E916" s="884"/>
      <c r="F916" s="920"/>
      <c r="G916" s="1007"/>
      <c r="H916" s="1008"/>
      <c r="I916" s="878">
        <f>SUM(J916:N916)</f>
        <v>1650</v>
      </c>
      <c r="J916" s="904"/>
      <c r="K916" s="904"/>
      <c r="L916" s="902"/>
      <c r="M916" s="904"/>
      <c r="N916" s="1043">
        <v>1650</v>
      </c>
      <c r="P916" s="891"/>
    </row>
    <row r="917" spans="1:16" s="930" customFormat="1" ht="18" customHeight="1" x14ac:dyDescent="0.3">
      <c r="A917" s="839">
        <v>909</v>
      </c>
      <c r="B917" s="1004"/>
      <c r="C917" s="882"/>
      <c r="D917" s="270" t="s">
        <v>245</v>
      </c>
      <c r="E917" s="884"/>
      <c r="F917" s="920"/>
      <c r="G917" s="1007"/>
      <c r="H917" s="1008"/>
      <c r="I917" s="272">
        <f>SUM(J917:Q917)</f>
        <v>0</v>
      </c>
      <c r="J917" s="924"/>
      <c r="K917" s="924"/>
      <c r="L917" s="889"/>
      <c r="M917" s="924"/>
      <c r="N917" s="1042"/>
      <c r="P917" s="891"/>
    </row>
    <row r="918" spans="1:16" s="930" customFormat="1" ht="18" customHeight="1" x14ac:dyDescent="0.3">
      <c r="A918" s="839">
        <v>910</v>
      </c>
      <c r="B918" s="1004"/>
      <c r="C918" s="882"/>
      <c r="D918" s="266" t="s">
        <v>233</v>
      </c>
      <c r="E918" s="884"/>
      <c r="F918" s="920"/>
      <c r="G918" s="1007"/>
      <c r="H918" s="1008"/>
      <c r="I918" s="268">
        <f>SUM(J918:Q918)</f>
        <v>1650</v>
      </c>
      <c r="J918" s="924"/>
      <c r="K918" s="924"/>
      <c r="L918" s="889"/>
      <c r="M918" s="924"/>
      <c r="N918" s="1043">
        <f>SUM(N916:N917)</f>
        <v>1650</v>
      </c>
      <c r="P918" s="891"/>
    </row>
    <row r="919" spans="1:16" s="930" customFormat="1" ht="21.75" customHeight="1" x14ac:dyDescent="0.3">
      <c r="A919" s="839">
        <v>911</v>
      </c>
      <c r="B919" s="1004"/>
      <c r="C919" s="882">
        <v>147</v>
      </c>
      <c r="D919" s="1045" t="s">
        <v>727</v>
      </c>
      <c r="E919" s="884"/>
      <c r="F919" s="920"/>
      <c r="G919" s="1007"/>
      <c r="H919" s="1008" t="s">
        <v>106</v>
      </c>
      <c r="I919" s="887"/>
      <c r="J919" s="924"/>
      <c r="K919" s="924"/>
      <c r="L919" s="889"/>
      <c r="M919" s="924"/>
      <c r="N919" s="1009"/>
      <c r="P919" s="891"/>
    </row>
    <row r="920" spans="1:16" s="930" customFormat="1" ht="18" customHeight="1" x14ac:dyDescent="0.3">
      <c r="A920" s="839">
        <v>912</v>
      </c>
      <c r="B920" s="1004"/>
      <c r="C920" s="882"/>
      <c r="D920" s="1041" t="s">
        <v>230</v>
      </c>
      <c r="E920" s="884"/>
      <c r="F920" s="920"/>
      <c r="G920" s="1007"/>
      <c r="H920" s="1008"/>
      <c r="I920" s="887">
        <f>SUM(J920:N920)</f>
        <v>43000</v>
      </c>
      <c r="J920" s="924"/>
      <c r="K920" s="924"/>
      <c r="L920" s="889">
        <f>30000+13000</f>
        <v>43000</v>
      </c>
      <c r="M920" s="1046"/>
      <c r="N920" s="1009"/>
      <c r="P920" s="891"/>
    </row>
    <row r="921" spans="1:16" s="930" customFormat="1" ht="18" customHeight="1" x14ac:dyDescent="0.3">
      <c r="A921" s="839">
        <v>913</v>
      </c>
      <c r="B921" s="1004"/>
      <c r="C921" s="882"/>
      <c r="D921" s="266" t="s">
        <v>231</v>
      </c>
      <c r="E921" s="884"/>
      <c r="F921" s="920"/>
      <c r="G921" s="1007"/>
      <c r="H921" s="1008"/>
      <c r="I921" s="878">
        <f>SUM(J921:N921)</f>
        <v>43000</v>
      </c>
      <c r="J921" s="904"/>
      <c r="K921" s="904"/>
      <c r="L921" s="902">
        <v>43000</v>
      </c>
      <c r="M921" s="1046"/>
      <c r="N921" s="1009"/>
      <c r="P921" s="891"/>
    </row>
    <row r="922" spans="1:16" s="930" customFormat="1" ht="18" customHeight="1" x14ac:dyDescent="0.3">
      <c r="A922" s="839">
        <v>914</v>
      </c>
      <c r="B922" s="1004"/>
      <c r="C922" s="882"/>
      <c r="D922" s="270" t="s">
        <v>728</v>
      </c>
      <c r="E922" s="884"/>
      <c r="F922" s="920"/>
      <c r="G922" s="1007"/>
      <c r="H922" s="1008"/>
      <c r="I922" s="272">
        <f>SUM(J922:Q922)</f>
        <v>52676</v>
      </c>
      <c r="J922" s="924"/>
      <c r="K922" s="924"/>
      <c r="L922" s="904">
        <v>52676</v>
      </c>
      <c r="M922" s="1046"/>
      <c r="N922" s="1009"/>
      <c r="P922" s="891"/>
    </row>
    <row r="923" spans="1:16" s="930" customFormat="1" ht="18" customHeight="1" x14ac:dyDescent="0.3">
      <c r="A923" s="839">
        <v>915</v>
      </c>
      <c r="B923" s="1004"/>
      <c r="C923" s="882"/>
      <c r="D923" s="266" t="s">
        <v>233</v>
      </c>
      <c r="E923" s="884"/>
      <c r="F923" s="920"/>
      <c r="G923" s="1007"/>
      <c r="H923" s="1008"/>
      <c r="I923" s="268">
        <f>SUM(J923:Q923)</f>
        <v>95676</v>
      </c>
      <c r="J923" s="924"/>
      <c r="K923" s="924"/>
      <c r="L923" s="902">
        <f>SUM(L921:L922)</f>
        <v>95676</v>
      </c>
      <c r="M923" s="1046"/>
      <c r="N923" s="1009"/>
      <c r="P923" s="891"/>
    </row>
    <row r="924" spans="1:16" s="930" customFormat="1" ht="21.75" customHeight="1" x14ac:dyDescent="0.3">
      <c r="A924" s="839">
        <v>916</v>
      </c>
      <c r="B924" s="1004"/>
      <c r="C924" s="882">
        <v>148</v>
      </c>
      <c r="D924" s="1045" t="s">
        <v>729</v>
      </c>
      <c r="E924" s="884"/>
      <c r="F924" s="920"/>
      <c r="G924" s="1007"/>
      <c r="H924" s="1008" t="s">
        <v>296</v>
      </c>
      <c r="I924" s="887"/>
      <c r="J924" s="924"/>
      <c r="K924" s="924"/>
      <c r="L924" s="889"/>
      <c r="M924" s="924"/>
      <c r="N924" s="1009"/>
      <c r="P924" s="891"/>
    </row>
    <row r="925" spans="1:16" s="930" customFormat="1" ht="18" customHeight="1" x14ac:dyDescent="0.3">
      <c r="A925" s="839">
        <v>917</v>
      </c>
      <c r="B925" s="1004"/>
      <c r="C925" s="882"/>
      <c r="D925" s="1041" t="s">
        <v>230</v>
      </c>
      <c r="E925" s="884"/>
      <c r="F925" s="920"/>
      <c r="G925" s="1007"/>
      <c r="H925" s="1008"/>
      <c r="I925" s="887">
        <f>SUM(J925:N925)</f>
        <v>20500</v>
      </c>
      <c r="J925" s="924"/>
      <c r="K925" s="924"/>
      <c r="L925" s="889">
        <f>10000+10500</f>
        <v>20500</v>
      </c>
      <c r="M925" s="924"/>
      <c r="N925" s="1009"/>
      <c r="P925" s="891"/>
    </row>
    <row r="926" spans="1:16" s="930" customFormat="1" ht="18" customHeight="1" x14ac:dyDescent="0.3">
      <c r="A926" s="839">
        <v>918</v>
      </c>
      <c r="B926" s="1004"/>
      <c r="C926" s="882"/>
      <c r="D926" s="266" t="s">
        <v>231</v>
      </c>
      <c r="E926" s="884"/>
      <c r="F926" s="920"/>
      <c r="G926" s="1007"/>
      <c r="H926" s="1008"/>
      <c r="I926" s="878">
        <f>SUM(J926:N926)</f>
        <v>20500</v>
      </c>
      <c r="J926" s="904"/>
      <c r="K926" s="904"/>
      <c r="L926" s="902">
        <v>20500</v>
      </c>
      <c r="M926" s="924"/>
      <c r="N926" s="1009"/>
      <c r="P926" s="891"/>
    </row>
    <row r="927" spans="1:16" s="930" customFormat="1" ht="18" customHeight="1" x14ac:dyDescent="0.3">
      <c r="A927" s="839">
        <v>919</v>
      </c>
      <c r="B927" s="1004"/>
      <c r="C927" s="882"/>
      <c r="D927" s="270" t="s">
        <v>245</v>
      </c>
      <c r="E927" s="884"/>
      <c r="F927" s="920"/>
      <c r="G927" s="1007"/>
      <c r="H927" s="1008"/>
      <c r="I927" s="272">
        <f>SUM(J927:Q927)</f>
        <v>0</v>
      </c>
      <c r="J927" s="924"/>
      <c r="K927" s="924"/>
      <c r="L927" s="889"/>
      <c r="M927" s="924"/>
      <c r="N927" s="1009"/>
      <c r="P927" s="891"/>
    </row>
    <row r="928" spans="1:16" s="930" customFormat="1" ht="18" customHeight="1" x14ac:dyDescent="0.3">
      <c r="A928" s="839">
        <v>920</v>
      </c>
      <c r="B928" s="1004"/>
      <c r="C928" s="882"/>
      <c r="D928" s="266" t="s">
        <v>233</v>
      </c>
      <c r="E928" s="884"/>
      <c r="F928" s="920"/>
      <c r="G928" s="1007"/>
      <c r="H928" s="1008"/>
      <c r="I928" s="268">
        <f>SUM(J928:Q928)</f>
        <v>20500</v>
      </c>
      <c r="J928" s="924"/>
      <c r="K928" s="924"/>
      <c r="L928" s="902">
        <f>SUM(L926:L927)</f>
        <v>20500</v>
      </c>
      <c r="M928" s="924"/>
      <c r="N928" s="1009"/>
      <c r="P928" s="891"/>
    </row>
    <row r="929" spans="1:16" s="930" customFormat="1" ht="21.75" customHeight="1" x14ac:dyDescent="0.3">
      <c r="A929" s="839">
        <v>921</v>
      </c>
      <c r="B929" s="1004"/>
      <c r="C929" s="882">
        <v>149</v>
      </c>
      <c r="D929" s="1045" t="s">
        <v>730</v>
      </c>
      <c r="E929" s="884"/>
      <c r="F929" s="920"/>
      <c r="G929" s="1007"/>
      <c r="H929" s="1008" t="s">
        <v>296</v>
      </c>
      <c r="I929" s="887"/>
      <c r="J929" s="924"/>
      <c r="K929" s="924"/>
      <c r="L929" s="889"/>
      <c r="M929" s="924"/>
      <c r="N929" s="1009"/>
      <c r="P929" s="891"/>
    </row>
    <row r="930" spans="1:16" s="930" customFormat="1" ht="18" customHeight="1" x14ac:dyDescent="0.3">
      <c r="A930" s="839">
        <v>922</v>
      </c>
      <c r="B930" s="1004"/>
      <c r="C930" s="882"/>
      <c r="D930" s="1041" t="s">
        <v>230</v>
      </c>
      <c r="E930" s="884"/>
      <c r="F930" s="920"/>
      <c r="G930" s="1007"/>
      <c r="H930" s="1008"/>
      <c r="I930" s="887">
        <f>SUM(J930:N930)</f>
        <v>5000</v>
      </c>
      <c r="J930" s="924"/>
      <c r="K930" s="924"/>
      <c r="L930" s="889">
        <v>5000</v>
      </c>
      <c r="M930" s="924"/>
      <c r="N930" s="1009"/>
      <c r="P930" s="891"/>
    </row>
    <row r="931" spans="1:16" s="930" customFormat="1" ht="18" customHeight="1" x14ac:dyDescent="0.3">
      <c r="A931" s="839">
        <v>923</v>
      </c>
      <c r="B931" s="1004"/>
      <c r="C931" s="882"/>
      <c r="D931" s="266" t="s">
        <v>231</v>
      </c>
      <c r="E931" s="884"/>
      <c r="F931" s="920"/>
      <c r="G931" s="1007"/>
      <c r="H931" s="1008"/>
      <c r="I931" s="878">
        <f>SUM(J931:N931)</f>
        <v>10000</v>
      </c>
      <c r="J931" s="904"/>
      <c r="K931" s="904"/>
      <c r="L931" s="902">
        <v>10000</v>
      </c>
      <c r="M931" s="924"/>
      <c r="N931" s="1009"/>
      <c r="P931" s="891"/>
    </row>
    <row r="932" spans="1:16" s="930" customFormat="1" ht="18" customHeight="1" x14ac:dyDescent="0.3">
      <c r="A932" s="839">
        <v>924</v>
      </c>
      <c r="B932" s="1004"/>
      <c r="C932" s="882"/>
      <c r="D932" s="270" t="s">
        <v>232</v>
      </c>
      <c r="E932" s="884"/>
      <c r="F932" s="920"/>
      <c r="G932" s="1007"/>
      <c r="H932" s="1008"/>
      <c r="I932" s="272">
        <f>SUM(J932:Q932)</f>
        <v>0</v>
      </c>
      <c r="J932" s="924"/>
      <c r="K932" s="924"/>
      <c r="L932" s="904"/>
      <c r="M932" s="924"/>
      <c r="N932" s="1009"/>
      <c r="P932" s="891"/>
    </row>
    <row r="933" spans="1:16" s="930" customFormat="1" ht="18" customHeight="1" x14ac:dyDescent="0.3">
      <c r="A933" s="839">
        <v>925</v>
      </c>
      <c r="B933" s="1004"/>
      <c r="C933" s="882"/>
      <c r="D933" s="266" t="s">
        <v>233</v>
      </c>
      <c r="E933" s="884"/>
      <c r="F933" s="920"/>
      <c r="G933" s="1007"/>
      <c r="H933" s="1008"/>
      <c r="I933" s="268">
        <f>SUM(J933:Q933)</f>
        <v>10000</v>
      </c>
      <c r="J933" s="924"/>
      <c r="K933" s="924"/>
      <c r="L933" s="902">
        <f>SUM(L931:L932)</f>
        <v>10000</v>
      </c>
      <c r="M933" s="924"/>
      <c r="N933" s="1009"/>
      <c r="P933" s="891"/>
    </row>
    <row r="934" spans="1:16" s="930" customFormat="1" ht="21.75" customHeight="1" x14ac:dyDescent="0.3">
      <c r="A934" s="839">
        <v>926</v>
      </c>
      <c r="B934" s="1004"/>
      <c r="C934" s="882">
        <v>150</v>
      </c>
      <c r="D934" s="1045" t="s">
        <v>731</v>
      </c>
      <c r="E934" s="884"/>
      <c r="F934" s="920"/>
      <c r="G934" s="1022">
        <v>1500</v>
      </c>
      <c r="H934" s="1008" t="s">
        <v>296</v>
      </c>
      <c r="I934" s="887"/>
      <c r="J934" s="924"/>
      <c r="K934" s="924"/>
      <c r="L934" s="889"/>
      <c r="M934" s="924"/>
      <c r="N934" s="1009"/>
      <c r="P934" s="891"/>
    </row>
    <row r="935" spans="1:16" s="930" customFormat="1" ht="18" customHeight="1" x14ac:dyDescent="0.3">
      <c r="A935" s="839">
        <v>927</v>
      </c>
      <c r="B935" s="1004"/>
      <c r="C935" s="882"/>
      <c r="D935" s="1041" t="s">
        <v>230</v>
      </c>
      <c r="E935" s="884"/>
      <c r="F935" s="920"/>
      <c r="G935" s="1007"/>
      <c r="H935" s="1008"/>
      <c r="I935" s="887">
        <f>SUM(J935:N935)</f>
        <v>3000</v>
      </c>
      <c r="J935" s="924"/>
      <c r="K935" s="924"/>
      <c r="L935" s="889"/>
      <c r="M935" s="924"/>
      <c r="N935" s="1042">
        <v>3000</v>
      </c>
      <c r="P935" s="891"/>
    </row>
    <row r="936" spans="1:16" s="930" customFormat="1" ht="18" customHeight="1" x14ac:dyDescent="0.3">
      <c r="A936" s="839">
        <v>928</v>
      </c>
      <c r="B936" s="1004"/>
      <c r="C936" s="882"/>
      <c r="D936" s="266" t="s">
        <v>231</v>
      </c>
      <c r="E936" s="884"/>
      <c r="F936" s="920"/>
      <c r="G936" s="1007"/>
      <c r="H936" s="1008"/>
      <c r="I936" s="878">
        <f>SUM(J936:N936)</f>
        <v>3000</v>
      </c>
      <c r="J936" s="904"/>
      <c r="K936" s="904"/>
      <c r="L936" s="902"/>
      <c r="M936" s="904"/>
      <c r="N936" s="1043">
        <v>3000</v>
      </c>
      <c r="P936" s="891"/>
    </row>
    <row r="937" spans="1:16" s="930" customFormat="1" ht="18" customHeight="1" x14ac:dyDescent="0.3">
      <c r="A937" s="839">
        <v>929</v>
      </c>
      <c r="B937" s="1004"/>
      <c r="C937" s="882"/>
      <c r="D937" s="270" t="s">
        <v>245</v>
      </c>
      <c r="E937" s="884"/>
      <c r="F937" s="920"/>
      <c r="G937" s="1007"/>
      <c r="H937" s="1008"/>
      <c r="I937" s="272">
        <f>SUM(J937:Q937)</f>
        <v>0</v>
      </c>
      <c r="J937" s="924"/>
      <c r="K937" s="924"/>
      <c r="L937" s="889"/>
      <c r="M937" s="924"/>
      <c r="N937" s="1042"/>
      <c r="P937" s="891"/>
    </row>
    <row r="938" spans="1:16" s="930" customFormat="1" ht="18" customHeight="1" x14ac:dyDescent="0.3">
      <c r="A938" s="839">
        <v>930</v>
      </c>
      <c r="B938" s="1004"/>
      <c r="C938" s="882"/>
      <c r="D938" s="266" t="s">
        <v>233</v>
      </c>
      <c r="E938" s="884"/>
      <c r="F938" s="920"/>
      <c r="G938" s="1007"/>
      <c r="H938" s="1008"/>
      <c r="I938" s="268">
        <f>SUM(J938:Q938)</f>
        <v>3000</v>
      </c>
      <c r="J938" s="924"/>
      <c r="K938" s="924"/>
      <c r="L938" s="889"/>
      <c r="M938" s="924"/>
      <c r="N938" s="1043">
        <f>SUM(N936:N937)</f>
        <v>3000</v>
      </c>
      <c r="P938" s="891"/>
    </row>
    <row r="939" spans="1:16" s="930" customFormat="1" ht="21.75" customHeight="1" x14ac:dyDescent="0.3">
      <c r="A939" s="839">
        <v>931</v>
      </c>
      <c r="B939" s="1004"/>
      <c r="C939" s="882">
        <v>151</v>
      </c>
      <c r="D939" s="1045" t="s">
        <v>17</v>
      </c>
      <c r="E939" s="884"/>
      <c r="F939" s="920"/>
      <c r="G939" s="1007"/>
      <c r="H939" s="1008" t="s">
        <v>296</v>
      </c>
      <c r="I939" s="887"/>
      <c r="J939" s="924"/>
      <c r="K939" s="924"/>
      <c r="L939" s="889"/>
      <c r="M939" s="924"/>
      <c r="N939" s="1009"/>
      <c r="P939" s="891"/>
    </row>
    <row r="940" spans="1:16" s="930" customFormat="1" ht="18" customHeight="1" x14ac:dyDescent="0.3">
      <c r="A940" s="839">
        <v>932</v>
      </c>
      <c r="B940" s="1004"/>
      <c r="C940" s="882"/>
      <c r="D940" s="1041" t="s">
        <v>230</v>
      </c>
      <c r="E940" s="884"/>
      <c r="F940" s="920"/>
      <c r="G940" s="1007"/>
      <c r="H940" s="1010"/>
      <c r="I940" s="887">
        <f>SUM(J940:N940)</f>
        <v>14705</v>
      </c>
      <c r="J940" s="924"/>
      <c r="K940" s="924"/>
      <c r="L940" s="889">
        <v>14705</v>
      </c>
      <c r="M940" s="924"/>
      <c r="N940" s="1009"/>
      <c r="P940" s="891"/>
    </row>
    <row r="941" spans="1:16" s="930" customFormat="1" ht="18" customHeight="1" x14ac:dyDescent="0.3">
      <c r="A941" s="839">
        <v>933</v>
      </c>
      <c r="B941" s="1004"/>
      <c r="C941" s="882"/>
      <c r="D941" s="266" t="s">
        <v>231</v>
      </c>
      <c r="E941" s="884"/>
      <c r="F941" s="920"/>
      <c r="G941" s="1007"/>
      <c r="H941" s="1008"/>
      <c r="I941" s="878">
        <f>SUM(J941:N941)</f>
        <v>14705</v>
      </c>
      <c r="J941" s="904"/>
      <c r="K941" s="904"/>
      <c r="L941" s="902">
        <v>14705</v>
      </c>
      <c r="M941" s="924"/>
      <c r="N941" s="1009"/>
      <c r="P941" s="891"/>
    </row>
    <row r="942" spans="1:16" s="930" customFormat="1" ht="18" customHeight="1" x14ac:dyDescent="0.3">
      <c r="A942" s="839">
        <v>934</v>
      </c>
      <c r="B942" s="1004"/>
      <c r="C942" s="882"/>
      <c r="D942" s="270" t="s">
        <v>287</v>
      </c>
      <c r="E942" s="884"/>
      <c r="F942" s="920"/>
      <c r="G942" s="1007"/>
      <c r="H942" s="1008"/>
      <c r="I942" s="272">
        <f>SUM(J942:Q942)</f>
        <v>-14705</v>
      </c>
      <c r="J942" s="924"/>
      <c r="K942" s="924"/>
      <c r="L942" s="904">
        <v>-14705</v>
      </c>
      <c r="M942" s="924"/>
      <c r="N942" s="1009"/>
      <c r="P942" s="891"/>
    </row>
    <row r="943" spans="1:16" s="930" customFormat="1" ht="18" customHeight="1" x14ac:dyDescent="0.3">
      <c r="A943" s="839">
        <v>935</v>
      </c>
      <c r="B943" s="1004"/>
      <c r="C943" s="882"/>
      <c r="D943" s="266" t="s">
        <v>233</v>
      </c>
      <c r="E943" s="884"/>
      <c r="F943" s="920"/>
      <c r="G943" s="1007"/>
      <c r="H943" s="1008"/>
      <c r="I943" s="268">
        <f>SUM(J943:Q943)</f>
        <v>0</v>
      </c>
      <c r="J943" s="924"/>
      <c r="K943" s="924"/>
      <c r="L943" s="902">
        <f>SUM(L941:L942)</f>
        <v>0</v>
      </c>
      <c r="M943" s="924"/>
      <c r="N943" s="1009"/>
      <c r="P943" s="891"/>
    </row>
    <row r="944" spans="1:16" s="930" customFormat="1" ht="21.75" customHeight="1" x14ac:dyDescent="0.3">
      <c r="A944" s="839">
        <v>936</v>
      </c>
      <c r="B944" s="1004"/>
      <c r="C944" s="882">
        <v>152</v>
      </c>
      <c r="D944" s="1045" t="s">
        <v>732</v>
      </c>
      <c r="E944" s="884"/>
      <c r="F944" s="920"/>
      <c r="G944" s="1007"/>
      <c r="H944" s="1008" t="s">
        <v>296</v>
      </c>
      <c r="I944" s="887"/>
      <c r="J944" s="924"/>
      <c r="K944" s="924"/>
      <c r="L944" s="889"/>
      <c r="M944" s="924"/>
      <c r="N944" s="1009"/>
      <c r="P944" s="891"/>
    </row>
    <row r="945" spans="1:16" s="930" customFormat="1" ht="18" customHeight="1" x14ac:dyDescent="0.3">
      <c r="A945" s="839">
        <v>937</v>
      </c>
      <c r="B945" s="1004"/>
      <c r="C945" s="882"/>
      <c r="D945" s="1041" t="s">
        <v>230</v>
      </c>
      <c r="E945" s="884"/>
      <c r="F945" s="920"/>
      <c r="G945" s="1007"/>
      <c r="H945" s="1010"/>
      <c r="I945" s="887">
        <f>SUM(J945:N945)</f>
        <v>11695</v>
      </c>
      <c r="J945" s="924"/>
      <c r="K945" s="924"/>
      <c r="L945" s="889"/>
      <c r="M945" s="924"/>
      <c r="N945" s="1042">
        <v>11695</v>
      </c>
      <c r="P945" s="891"/>
    </row>
    <row r="946" spans="1:16" s="930" customFormat="1" ht="18" customHeight="1" x14ac:dyDescent="0.3">
      <c r="A946" s="839">
        <v>938</v>
      </c>
      <c r="B946" s="1004"/>
      <c r="C946" s="882"/>
      <c r="D946" s="266" t="s">
        <v>231</v>
      </c>
      <c r="E946" s="884"/>
      <c r="F946" s="920"/>
      <c r="G946" s="1007"/>
      <c r="H946" s="1008"/>
      <c r="I946" s="878">
        <f>SUM(J946:N946)</f>
        <v>11695</v>
      </c>
      <c r="J946" s="904"/>
      <c r="K946" s="904"/>
      <c r="L946" s="902"/>
      <c r="M946" s="904"/>
      <c r="N946" s="1043">
        <v>11695</v>
      </c>
      <c r="P946" s="891"/>
    </row>
    <row r="947" spans="1:16" s="930" customFormat="1" ht="18" customHeight="1" x14ac:dyDescent="0.3">
      <c r="A947" s="839">
        <v>939</v>
      </c>
      <c r="B947" s="1004"/>
      <c r="C947" s="882"/>
      <c r="D947" s="270" t="s">
        <v>245</v>
      </c>
      <c r="E947" s="884"/>
      <c r="F947" s="920"/>
      <c r="G947" s="1007"/>
      <c r="H947" s="1008"/>
      <c r="I947" s="272">
        <f>SUM(J947:Q947)</f>
        <v>0</v>
      </c>
      <c r="J947" s="924"/>
      <c r="K947" s="924"/>
      <c r="L947" s="889"/>
      <c r="M947" s="924"/>
      <c r="N947" s="1042"/>
      <c r="P947" s="891"/>
    </row>
    <row r="948" spans="1:16" s="930" customFormat="1" ht="18" customHeight="1" x14ac:dyDescent="0.3">
      <c r="A948" s="839">
        <v>940</v>
      </c>
      <c r="B948" s="1004"/>
      <c r="C948" s="882"/>
      <c r="D948" s="266" t="s">
        <v>233</v>
      </c>
      <c r="E948" s="884"/>
      <c r="F948" s="920"/>
      <c r="G948" s="1007"/>
      <c r="H948" s="1008"/>
      <c r="I948" s="268">
        <f>SUM(J948:Q948)</f>
        <v>11695</v>
      </c>
      <c r="J948" s="924"/>
      <c r="K948" s="924"/>
      <c r="L948" s="889"/>
      <c r="M948" s="924"/>
      <c r="N948" s="1043">
        <f>SUM(N946:N947)</f>
        <v>11695</v>
      </c>
      <c r="P948" s="891"/>
    </row>
    <row r="949" spans="1:16" s="930" customFormat="1" ht="21.75" customHeight="1" x14ac:dyDescent="0.3">
      <c r="A949" s="839">
        <v>941</v>
      </c>
      <c r="B949" s="1004"/>
      <c r="C949" s="882">
        <v>153</v>
      </c>
      <c r="D949" s="1045" t="s">
        <v>733</v>
      </c>
      <c r="E949" s="884"/>
      <c r="F949" s="920"/>
      <c r="G949" s="1007"/>
      <c r="H949" s="1008" t="s">
        <v>296</v>
      </c>
      <c r="I949" s="887"/>
      <c r="J949" s="924"/>
      <c r="K949" s="924"/>
      <c r="L949" s="889"/>
      <c r="M949" s="924"/>
      <c r="N949" s="1009"/>
      <c r="P949" s="891"/>
    </row>
    <row r="950" spans="1:16" s="930" customFormat="1" ht="18" customHeight="1" x14ac:dyDescent="0.3">
      <c r="A950" s="839">
        <v>942</v>
      </c>
      <c r="B950" s="1004"/>
      <c r="C950" s="882"/>
      <c r="D950" s="1041" t="s">
        <v>230</v>
      </c>
      <c r="E950" s="884"/>
      <c r="F950" s="920"/>
      <c r="G950" s="1007"/>
      <c r="H950" s="1010"/>
      <c r="I950" s="887">
        <f>SUM(J950:N950)</f>
        <v>10000</v>
      </c>
      <c r="J950" s="924"/>
      <c r="K950" s="924"/>
      <c r="L950" s="889">
        <v>10000</v>
      </c>
      <c r="M950" s="924"/>
      <c r="N950" s="1009"/>
      <c r="P950" s="891"/>
    </row>
    <row r="951" spans="1:16" s="930" customFormat="1" ht="18" customHeight="1" x14ac:dyDescent="0.3">
      <c r="A951" s="839">
        <v>943</v>
      </c>
      <c r="B951" s="1004"/>
      <c r="C951" s="882"/>
      <c r="D951" s="266" t="s">
        <v>231</v>
      </c>
      <c r="E951" s="884"/>
      <c r="F951" s="920"/>
      <c r="G951" s="1007"/>
      <c r="H951" s="1008"/>
      <c r="I951" s="878">
        <f>SUM(J951:N951)</f>
        <v>5215</v>
      </c>
      <c r="J951" s="904"/>
      <c r="K951" s="904"/>
      <c r="L951" s="902">
        <v>5215</v>
      </c>
      <c r="M951" s="924"/>
      <c r="N951" s="1009"/>
      <c r="P951" s="891"/>
    </row>
    <row r="952" spans="1:16" s="930" customFormat="1" ht="18" customHeight="1" x14ac:dyDescent="0.3">
      <c r="A952" s="839">
        <v>944</v>
      </c>
      <c r="B952" s="1004"/>
      <c r="C952" s="882"/>
      <c r="D952" s="270" t="s">
        <v>232</v>
      </c>
      <c r="E952" s="884"/>
      <c r="F952" s="920"/>
      <c r="G952" s="1007"/>
      <c r="H952" s="1008"/>
      <c r="I952" s="272">
        <f>SUM(J952:Q952)</f>
        <v>0</v>
      </c>
      <c r="J952" s="924"/>
      <c r="K952" s="924"/>
      <c r="L952" s="904"/>
      <c r="M952" s="924"/>
      <c r="N952" s="1009"/>
      <c r="P952" s="891"/>
    </row>
    <row r="953" spans="1:16" s="930" customFormat="1" ht="18" customHeight="1" x14ac:dyDescent="0.3">
      <c r="A953" s="839">
        <v>945</v>
      </c>
      <c r="B953" s="1004"/>
      <c r="C953" s="882"/>
      <c r="D953" s="266" t="s">
        <v>233</v>
      </c>
      <c r="E953" s="884"/>
      <c r="F953" s="920"/>
      <c r="G953" s="1007"/>
      <c r="H953" s="1008"/>
      <c r="I953" s="268">
        <f>SUM(J953:Q953)</f>
        <v>5215</v>
      </c>
      <c r="J953" s="924"/>
      <c r="K953" s="924"/>
      <c r="L953" s="902">
        <f>SUM(L951:L952)</f>
        <v>5215</v>
      </c>
      <c r="M953" s="924"/>
      <c r="N953" s="1009"/>
      <c r="P953" s="891"/>
    </row>
    <row r="954" spans="1:16" s="930" customFormat="1" ht="21.75" customHeight="1" x14ac:dyDescent="0.3">
      <c r="A954" s="839">
        <v>946</v>
      </c>
      <c r="B954" s="1004"/>
      <c r="C954" s="882">
        <v>154</v>
      </c>
      <c r="D954" s="1045" t="s">
        <v>734</v>
      </c>
      <c r="E954" s="884"/>
      <c r="F954" s="920"/>
      <c r="G954" s="1007"/>
      <c r="H954" s="1008" t="s">
        <v>296</v>
      </c>
      <c r="I954" s="887"/>
      <c r="J954" s="924"/>
      <c r="K954" s="924"/>
      <c r="L954" s="889"/>
      <c r="M954" s="924"/>
      <c r="N954" s="1009"/>
      <c r="P954" s="891"/>
    </row>
    <row r="955" spans="1:16" s="930" customFormat="1" ht="18" customHeight="1" x14ac:dyDescent="0.3">
      <c r="A955" s="839">
        <v>947</v>
      </c>
      <c r="B955" s="1004"/>
      <c r="C955" s="882"/>
      <c r="D955" s="1041" t="s">
        <v>230</v>
      </c>
      <c r="E955" s="884"/>
      <c r="F955" s="920"/>
      <c r="G955" s="1007"/>
      <c r="H955" s="1010"/>
      <c r="I955" s="887">
        <f>SUM(J955:N955)</f>
        <v>1700</v>
      </c>
      <c r="J955" s="924"/>
      <c r="K955" s="924"/>
      <c r="L955" s="889">
        <v>1700</v>
      </c>
      <c r="M955" s="924"/>
      <c r="N955" s="1009"/>
      <c r="P955" s="891"/>
    </row>
    <row r="956" spans="1:16" s="930" customFormat="1" ht="18" customHeight="1" x14ac:dyDescent="0.3">
      <c r="A956" s="839">
        <v>948</v>
      </c>
      <c r="B956" s="1004"/>
      <c r="C956" s="882"/>
      <c r="D956" s="266" t="s">
        <v>231</v>
      </c>
      <c r="E956" s="884"/>
      <c r="F956" s="920"/>
      <c r="G956" s="1007"/>
      <c r="H956" s="1008"/>
      <c r="I956" s="878">
        <f>SUM(J956:N956)</f>
        <v>0</v>
      </c>
      <c r="J956" s="904"/>
      <c r="K956" s="904"/>
      <c r="L956" s="902">
        <v>0</v>
      </c>
      <c r="M956" s="904"/>
      <c r="N956" s="1043">
        <v>0</v>
      </c>
      <c r="P956" s="891"/>
    </row>
    <row r="957" spans="1:16" s="930" customFormat="1" ht="18" customHeight="1" x14ac:dyDescent="0.3">
      <c r="A957" s="839">
        <v>949</v>
      </c>
      <c r="B957" s="1004"/>
      <c r="C957" s="882"/>
      <c r="D957" s="270" t="s">
        <v>232</v>
      </c>
      <c r="E957" s="884"/>
      <c r="F957" s="920"/>
      <c r="G957" s="1007"/>
      <c r="H957" s="1008"/>
      <c r="I957" s="272">
        <f>SUM(J957:Q957)</f>
        <v>0</v>
      </c>
      <c r="J957" s="924"/>
      <c r="K957" s="924"/>
      <c r="L957" s="901"/>
      <c r="M957" s="904"/>
      <c r="N957" s="1044"/>
      <c r="P957" s="891"/>
    </row>
    <row r="958" spans="1:16" s="930" customFormat="1" ht="18" customHeight="1" x14ac:dyDescent="0.3">
      <c r="A958" s="839">
        <v>950</v>
      </c>
      <c r="B958" s="1004"/>
      <c r="C958" s="882"/>
      <c r="D958" s="266" t="s">
        <v>233</v>
      </c>
      <c r="E958" s="884"/>
      <c r="F958" s="920"/>
      <c r="G958" s="1007"/>
      <c r="H958" s="1008"/>
      <c r="I958" s="268">
        <f>SUM(J958:Q958)</f>
        <v>0</v>
      </c>
      <c r="J958" s="924"/>
      <c r="K958" s="924"/>
      <c r="L958" s="902">
        <f>SUM(L956:L957)</f>
        <v>0</v>
      </c>
      <c r="M958" s="902"/>
      <c r="N958" s="903">
        <f>SUM(N956:N957)</f>
        <v>0</v>
      </c>
      <c r="P958" s="891"/>
    </row>
    <row r="959" spans="1:16" s="930" customFormat="1" ht="21.75" customHeight="1" x14ac:dyDescent="0.3">
      <c r="A959" s="839">
        <v>951</v>
      </c>
      <c r="B959" s="1004"/>
      <c r="C959" s="882">
        <v>155</v>
      </c>
      <c r="D959" s="1045" t="s">
        <v>735</v>
      </c>
      <c r="E959" s="884"/>
      <c r="F959" s="920"/>
      <c r="G959" s="1007"/>
      <c r="H959" s="1008" t="s">
        <v>296</v>
      </c>
      <c r="I959" s="887"/>
      <c r="J959" s="924"/>
      <c r="K959" s="924"/>
      <c r="L959" s="889"/>
      <c r="M959" s="924"/>
      <c r="N959" s="1009"/>
      <c r="P959" s="891"/>
    </row>
    <row r="960" spans="1:16" s="930" customFormat="1" ht="18" customHeight="1" x14ac:dyDescent="0.3">
      <c r="A960" s="839">
        <v>952</v>
      </c>
      <c r="B960" s="1004"/>
      <c r="C960" s="882"/>
      <c r="D960" s="1041" t="s">
        <v>230</v>
      </c>
      <c r="E960" s="884"/>
      <c r="F960" s="920"/>
      <c r="G960" s="1007"/>
      <c r="H960" s="1010"/>
      <c r="I960" s="887">
        <f>SUM(J960:N960)</f>
        <v>500</v>
      </c>
      <c r="J960" s="924"/>
      <c r="K960" s="924"/>
      <c r="L960" s="889">
        <v>500</v>
      </c>
      <c r="M960" s="924"/>
      <c r="N960" s="1009"/>
      <c r="P960" s="891"/>
    </row>
    <row r="961" spans="1:16" s="930" customFormat="1" ht="18" customHeight="1" x14ac:dyDescent="0.3">
      <c r="A961" s="839">
        <v>953</v>
      </c>
      <c r="B961" s="1004"/>
      <c r="C961" s="882"/>
      <c r="D961" s="266" t="s">
        <v>231</v>
      </c>
      <c r="E961" s="884"/>
      <c r="F961" s="920"/>
      <c r="G961" s="1007"/>
      <c r="H961" s="1010"/>
      <c r="I961" s="878">
        <f>SUM(J961:N961)</f>
        <v>500</v>
      </c>
      <c r="J961" s="905">
        <v>95</v>
      </c>
      <c r="K961" s="905">
        <v>40</v>
      </c>
      <c r="L961" s="902">
        <v>365</v>
      </c>
      <c r="M961" s="924"/>
      <c r="N961" s="1009"/>
      <c r="P961" s="891"/>
    </row>
    <row r="962" spans="1:16" s="930" customFormat="1" ht="18" customHeight="1" x14ac:dyDescent="0.3">
      <c r="A962" s="839">
        <v>954</v>
      </c>
      <c r="B962" s="1004"/>
      <c r="C962" s="882"/>
      <c r="D962" s="270" t="s">
        <v>232</v>
      </c>
      <c r="E962" s="884"/>
      <c r="F962" s="920"/>
      <c r="G962" s="1007"/>
      <c r="H962" s="1010"/>
      <c r="I962" s="272">
        <f>SUM(J962:Q962)</f>
        <v>0</v>
      </c>
      <c r="J962" s="904"/>
      <c r="K962" s="904"/>
      <c r="L962" s="904"/>
      <c r="M962" s="924"/>
      <c r="N962" s="1009"/>
      <c r="P962" s="891"/>
    </row>
    <row r="963" spans="1:16" s="930" customFormat="1" ht="18" customHeight="1" x14ac:dyDescent="0.3">
      <c r="A963" s="839">
        <v>955</v>
      </c>
      <c r="B963" s="1004"/>
      <c r="C963" s="882"/>
      <c r="D963" s="266" t="s">
        <v>233</v>
      </c>
      <c r="E963" s="884"/>
      <c r="F963" s="920"/>
      <c r="G963" s="1007"/>
      <c r="H963" s="1010"/>
      <c r="I963" s="268">
        <f>SUM(J963:Q963)</f>
        <v>500</v>
      </c>
      <c r="J963" s="902">
        <f>SUM(J961:J962)</f>
        <v>95</v>
      </c>
      <c r="K963" s="902">
        <f>SUM(K961:K962)</f>
        <v>40</v>
      </c>
      <c r="L963" s="902">
        <f>SUM(L961:L962)</f>
        <v>365</v>
      </c>
      <c r="M963" s="924"/>
      <c r="N963" s="1009"/>
      <c r="P963" s="891"/>
    </row>
    <row r="964" spans="1:16" s="930" customFormat="1" ht="33.75" customHeight="1" x14ac:dyDescent="0.3">
      <c r="A964" s="839">
        <v>956</v>
      </c>
      <c r="B964" s="1004"/>
      <c r="C964" s="976">
        <v>156</v>
      </c>
      <c r="D964" s="1047" t="s">
        <v>736</v>
      </c>
      <c r="E964" s="884"/>
      <c r="F964" s="920"/>
      <c r="G964" s="1007"/>
      <c r="H964" s="1048" t="s">
        <v>296</v>
      </c>
      <c r="I964" s="887"/>
      <c r="J964" s="924"/>
      <c r="K964" s="924"/>
      <c r="L964" s="889"/>
      <c r="M964" s="924"/>
      <c r="N964" s="1009"/>
      <c r="P964" s="891"/>
    </row>
    <row r="965" spans="1:16" s="930" customFormat="1" ht="18" customHeight="1" x14ac:dyDescent="0.3">
      <c r="A965" s="839">
        <v>957</v>
      </c>
      <c r="B965" s="1004"/>
      <c r="C965" s="882"/>
      <c r="D965" s="1049" t="s">
        <v>230</v>
      </c>
      <c r="E965" s="884"/>
      <c r="F965" s="920"/>
      <c r="G965" s="1007"/>
      <c r="H965" s="1010"/>
      <c r="I965" s="887">
        <f>SUM(J965:N965)</f>
        <v>22300</v>
      </c>
      <c r="J965" s="924"/>
      <c r="K965" s="924"/>
      <c r="L965" s="889">
        <v>22300</v>
      </c>
      <c r="M965" s="924"/>
      <c r="N965" s="1009"/>
      <c r="P965" s="891"/>
    </row>
    <row r="966" spans="1:16" s="930" customFormat="1" ht="18" customHeight="1" x14ac:dyDescent="0.3">
      <c r="A966" s="839">
        <v>958</v>
      </c>
      <c r="B966" s="1004"/>
      <c r="C966" s="882"/>
      <c r="D966" s="266" t="s">
        <v>231</v>
      </c>
      <c r="E966" s="884"/>
      <c r="F966" s="920"/>
      <c r="G966" s="1007"/>
      <c r="H966" s="1008"/>
      <c r="I966" s="878">
        <f>SUM(J966:N966)</f>
        <v>22300</v>
      </c>
      <c r="J966" s="904"/>
      <c r="K966" s="904"/>
      <c r="L966" s="902">
        <v>22300</v>
      </c>
      <c r="M966" s="924"/>
      <c r="N966" s="1009"/>
      <c r="P966" s="891"/>
    </row>
    <row r="967" spans="1:16" s="930" customFormat="1" ht="18" customHeight="1" x14ac:dyDescent="0.3">
      <c r="A967" s="839">
        <v>959</v>
      </c>
      <c r="B967" s="1004"/>
      <c r="C967" s="882"/>
      <c r="D967" s="270" t="s">
        <v>245</v>
      </c>
      <c r="E967" s="884"/>
      <c r="F967" s="920"/>
      <c r="G967" s="1007"/>
      <c r="H967" s="1008"/>
      <c r="I967" s="272">
        <f>SUM(J967:Q967)</f>
        <v>0</v>
      </c>
      <c r="J967" s="924"/>
      <c r="K967" s="924"/>
      <c r="L967" s="889"/>
      <c r="M967" s="924"/>
      <c r="N967" s="1009"/>
      <c r="P967" s="891"/>
    </row>
    <row r="968" spans="1:16" s="930" customFormat="1" ht="18" customHeight="1" x14ac:dyDescent="0.3">
      <c r="A968" s="839">
        <v>960</v>
      </c>
      <c r="B968" s="1004"/>
      <c r="C968" s="882"/>
      <c r="D968" s="266" t="s">
        <v>233</v>
      </c>
      <c r="E968" s="884"/>
      <c r="F968" s="920"/>
      <c r="G968" s="1007"/>
      <c r="H968" s="1008"/>
      <c r="I968" s="268">
        <f>SUM(J968:Q968)</f>
        <v>22300</v>
      </c>
      <c r="J968" s="924"/>
      <c r="K968" s="924"/>
      <c r="L968" s="902">
        <f>SUM(L966:L967)</f>
        <v>22300</v>
      </c>
      <c r="M968" s="924"/>
      <c r="N968" s="1009"/>
      <c r="P968" s="891"/>
    </row>
    <row r="969" spans="1:16" s="930" customFormat="1" ht="21.75" customHeight="1" x14ac:dyDescent="0.3">
      <c r="A969" s="839">
        <v>961</v>
      </c>
      <c r="B969" s="1004"/>
      <c r="C969" s="882">
        <v>157</v>
      </c>
      <c r="D969" s="1047" t="s">
        <v>737</v>
      </c>
      <c r="E969" s="884"/>
      <c r="F969" s="920"/>
      <c r="G969" s="1007"/>
      <c r="H969" s="1008" t="s">
        <v>296</v>
      </c>
      <c r="I969" s="887"/>
      <c r="J969" s="924"/>
      <c r="K969" s="924"/>
      <c r="L969" s="889"/>
      <c r="M969" s="924"/>
      <c r="N969" s="1009"/>
      <c r="P969" s="891"/>
    </row>
    <row r="970" spans="1:16" s="930" customFormat="1" ht="18" customHeight="1" x14ac:dyDescent="0.3">
      <c r="A970" s="839">
        <v>962</v>
      </c>
      <c r="B970" s="1004"/>
      <c r="C970" s="882"/>
      <c r="D970" s="1049" t="s">
        <v>230</v>
      </c>
      <c r="E970" s="884"/>
      <c r="F970" s="920"/>
      <c r="G970" s="1007"/>
      <c r="H970" s="1010"/>
      <c r="I970" s="887">
        <f>SUM(J970:N970)</f>
        <v>500</v>
      </c>
      <c r="J970" s="924"/>
      <c r="K970" s="924"/>
      <c r="L970" s="889"/>
      <c r="M970" s="924"/>
      <c r="N970" s="1042">
        <v>500</v>
      </c>
      <c r="P970" s="891"/>
    </row>
    <row r="971" spans="1:16" s="930" customFormat="1" ht="18" customHeight="1" x14ac:dyDescent="0.3">
      <c r="A971" s="839">
        <v>963</v>
      </c>
      <c r="B971" s="1004"/>
      <c r="C971" s="882"/>
      <c r="D971" s="266" t="s">
        <v>231</v>
      </c>
      <c r="E971" s="884"/>
      <c r="F971" s="920"/>
      <c r="G971" s="1007"/>
      <c r="H971" s="1008"/>
      <c r="I971" s="878">
        <f>SUM(J971:N971)</f>
        <v>900</v>
      </c>
      <c r="J971" s="904"/>
      <c r="K971" s="904"/>
      <c r="L971" s="902"/>
      <c r="M971" s="904"/>
      <c r="N971" s="1043">
        <v>900</v>
      </c>
      <c r="P971" s="891"/>
    </row>
    <row r="972" spans="1:16" s="930" customFormat="1" ht="18" customHeight="1" x14ac:dyDescent="0.3">
      <c r="A972" s="839">
        <v>964</v>
      </c>
      <c r="B972" s="1004"/>
      <c r="C972" s="882"/>
      <c r="D972" s="270" t="s">
        <v>232</v>
      </c>
      <c r="E972" s="884"/>
      <c r="F972" s="920"/>
      <c r="G972" s="1007"/>
      <c r="H972" s="1008"/>
      <c r="I972" s="272">
        <f>SUM(J972:Q972)</f>
        <v>0</v>
      </c>
      <c r="J972" s="924"/>
      <c r="K972" s="924"/>
      <c r="L972" s="889"/>
      <c r="M972" s="924"/>
      <c r="N972" s="1044"/>
      <c r="P972" s="891"/>
    </row>
    <row r="973" spans="1:16" s="930" customFormat="1" ht="18" customHeight="1" x14ac:dyDescent="0.3">
      <c r="A973" s="839">
        <v>965</v>
      </c>
      <c r="B973" s="1004"/>
      <c r="C973" s="882"/>
      <c r="D973" s="266" t="s">
        <v>233</v>
      </c>
      <c r="E973" s="884"/>
      <c r="F973" s="920"/>
      <c r="G973" s="1007"/>
      <c r="H973" s="1008"/>
      <c r="I973" s="268">
        <f>SUM(J973:Q973)</f>
        <v>900</v>
      </c>
      <c r="J973" s="924"/>
      <c r="K973" s="924"/>
      <c r="L973" s="889"/>
      <c r="M973" s="924"/>
      <c r="N973" s="1043">
        <f>SUM(N971:N972)</f>
        <v>900</v>
      </c>
      <c r="P973" s="891"/>
    </row>
    <row r="974" spans="1:16" s="930" customFormat="1" ht="21.75" customHeight="1" x14ac:dyDescent="0.3">
      <c r="A974" s="839">
        <v>966</v>
      </c>
      <c r="B974" s="1004"/>
      <c r="C974" s="882">
        <v>158</v>
      </c>
      <c r="D974" s="1047" t="s">
        <v>738</v>
      </c>
      <c r="E974" s="884"/>
      <c r="F974" s="920"/>
      <c r="G974" s="1007"/>
      <c r="H974" s="1008" t="s">
        <v>296</v>
      </c>
      <c r="I974" s="887"/>
      <c r="J974" s="924"/>
      <c r="K974" s="924"/>
      <c r="L974" s="889"/>
      <c r="M974" s="924"/>
      <c r="N974" s="1042"/>
      <c r="P974" s="891"/>
    </row>
    <row r="975" spans="1:16" s="930" customFormat="1" ht="18" customHeight="1" x14ac:dyDescent="0.3">
      <c r="A975" s="839">
        <v>967</v>
      </c>
      <c r="B975" s="1004"/>
      <c r="C975" s="882"/>
      <c r="D975" s="1049" t="s">
        <v>230</v>
      </c>
      <c r="E975" s="884"/>
      <c r="F975" s="920"/>
      <c r="G975" s="1007"/>
      <c r="H975" s="1010"/>
      <c r="I975" s="887">
        <f>SUM(J975:N975)</f>
        <v>20000</v>
      </c>
      <c r="J975" s="924"/>
      <c r="K975" s="924"/>
      <c r="L975" s="889"/>
      <c r="M975" s="924"/>
      <c r="N975" s="1042">
        <v>20000</v>
      </c>
      <c r="P975" s="891"/>
    </row>
    <row r="976" spans="1:16" s="930" customFormat="1" ht="18" customHeight="1" x14ac:dyDescent="0.3">
      <c r="A976" s="839">
        <v>968</v>
      </c>
      <c r="B976" s="1004"/>
      <c r="C976" s="882"/>
      <c r="D976" s="266" t="s">
        <v>231</v>
      </c>
      <c r="E976" s="884"/>
      <c r="F976" s="920"/>
      <c r="G976" s="1007"/>
      <c r="H976" s="1008"/>
      <c r="I976" s="878">
        <f>SUM(J976:N976)</f>
        <v>20000</v>
      </c>
      <c r="J976" s="904"/>
      <c r="K976" s="904"/>
      <c r="L976" s="902"/>
      <c r="M976" s="904"/>
      <c r="N976" s="1043">
        <v>20000</v>
      </c>
      <c r="P976" s="891"/>
    </row>
    <row r="977" spans="1:16" s="930" customFormat="1" ht="18" customHeight="1" x14ac:dyDescent="0.3">
      <c r="A977" s="839">
        <v>969</v>
      </c>
      <c r="B977" s="1004"/>
      <c r="C977" s="882"/>
      <c r="D977" s="270" t="s">
        <v>245</v>
      </c>
      <c r="E977" s="884"/>
      <c r="F977" s="920"/>
      <c r="G977" s="1007"/>
      <c r="H977" s="1008"/>
      <c r="I977" s="272">
        <f>SUM(J977:Q977)</f>
        <v>0</v>
      </c>
      <c r="J977" s="924"/>
      <c r="K977" s="924"/>
      <c r="L977" s="889"/>
      <c r="M977" s="924"/>
      <c r="N977" s="1042"/>
      <c r="P977" s="891"/>
    </row>
    <row r="978" spans="1:16" s="930" customFormat="1" ht="18" customHeight="1" x14ac:dyDescent="0.3">
      <c r="A978" s="839">
        <v>970</v>
      </c>
      <c r="B978" s="1004"/>
      <c r="C978" s="882"/>
      <c r="D978" s="266" t="s">
        <v>233</v>
      </c>
      <c r="E978" s="884"/>
      <c r="F978" s="920"/>
      <c r="G978" s="1007"/>
      <c r="H978" s="1008"/>
      <c r="I978" s="268">
        <f>SUM(J978:Q978)</f>
        <v>20000</v>
      </c>
      <c r="J978" s="924"/>
      <c r="K978" s="924"/>
      <c r="L978" s="889"/>
      <c r="M978" s="924"/>
      <c r="N978" s="1043">
        <f>SUM(N976:N977)</f>
        <v>20000</v>
      </c>
      <c r="P978" s="891"/>
    </row>
    <row r="979" spans="1:16" s="930" customFormat="1" ht="21.75" customHeight="1" x14ac:dyDescent="0.3">
      <c r="A979" s="839">
        <v>971</v>
      </c>
      <c r="B979" s="1004"/>
      <c r="C979" s="882">
        <v>159</v>
      </c>
      <c r="D979" s="1047" t="s">
        <v>739</v>
      </c>
      <c r="E979" s="884"/>
      <c r="F979" s="920"/>
      <c r="G979" s="1007"/>
      <c r="H979" s="1008" t="s">
        <v>296</v>
      </c>
      <c r="I979" s="887"/>
      <c r="J979" s="924"/>
      <c r="K979" s="924"/>
      <c r="L979" s="889"/>
      <c r="M979" s="924"/>
      <c r="N979" s="1042"/>
      <c r="P979" s="891"/>
    </row>
    <row r="980" spans="1:16" s="930" customFormat="1" ht="18" customHeight="1" x14ac:dyDescent="0.3">
      <c r="A980" s="839">
        <v>972</v>
      </c>
      <c r="B980" s="1004"/>
      <c r="C980" s="882"/>
      <c r="D980" s="1049" t="s">
        <v>230</v>
      </c>
      <c r="E980" s="884"/>
      <c r="F980" s="920"/>
      <c r="G980" s="1007"/>
      <c r="H980" s="1010"/>
      <c r="I980" s="887">
        <f>SUM(J980:N980)</f>
        <v>1000</v>
      </c>
      <c r="J980" s="924"/>
      <c r="K980" s="924"/>
      <c r="L980" s="889"/>
      <c r="M980" s="924"/>
      <c r="N980" s="1042">
        <v>1000</v>
      </c>
      <c r="P980" s="891"/>
    </row>
    <row r="981" spans="1:16" s="930" customFormat="1" ht="18" customHeight="1" x14ac:dyDescent="0.3">
      <c r="A981" s="839">
        <v>973</v>
      </c>
      <c r="B981" s="1004"/>
      <c r="C981" s="882"/>
      <c r="D981" s="266" t="s">
        <v>231</v>
      </c>
      <c r="E981" s="884"/>
      <c r="F981" s="920"/>
      <c r="G981" s="1007"/>
      <c r="H981" s="1008"/>
      <c r="I981" s="878">
        <f>SUM(J981:N981)</f>
        <v>1000</v>
      </c>
      <c r="J981" s="904"/>
      <c r="K981" s="904"/>
      <c r="L981" s="902"/>
      <c r="M981" s="904"/>
      <c r="N981" s="1043">
        <v>1000</v>
      </c>
      <c r="P981" s="891"/>
    </row>
    <row r="982" spans="1:16" s="930" customFormat="1" ht="18" customHeight="1" x14ac:dyDescent="0.3">
      <c r="A982" s="839">
        <v>974</v>
      </c>
      <c r="B982" s="1004"/>
      <c r="C982" s="882"/>
      <c r="D982" s="270" t="s">
        <v>245</v>
      </c>
      <c r="E982" s="884"/>
      <c r="F982" s="920"/>
      <c r="G982" s="1007"/>
      <c r="H982" s="1008"/>
      <c r="I982" s="272">
        <f>SUM(J982:Q982)</f>
        <v>0</v>
      </c>
      <c r="J982" s="924"/>
      <c r="K982" s="924"/>
      <c r="L982" s="889"/>
      <c r="M982" s="924"/>
      <c r="N982" s="1042"/>
      <c r="P982" s="891"/>
    </row>
    <row r="983" spans="1:16" s="930" customFormat="1" ht="18" customHeight="1" x14ac:dyDescent="0.3">
      <c r="A983" s="839">
        <v>975</v>
      </c>
      <c r="B983" s="1004"/>
      <c r="C983" s="882"/>
      <c r="D983" s="266" t="s">
        <v>233</v>
      </c>
      <c r="E983" s="884"/>
      <c r="F983" s="920"/>
      <c r="G983" s="1007"/>
      <c r="H983" s="1008"/>
      <c r="I983" s="268">
        <f>SUM(J983:Q983)</f>
        <v>1000</v>
      </c>
      <c r="J983" s="924"/>
      <c r="K983" s="924"/>
      <c r="L983" s="889"/>
      <c r="M983" s="924"/>
      <c r="N983" s="1043">
        <f>SUM(N981:N982)</f>
        <v>1000</v>
      </c>
      <c r="P983" s="891"/>
    </row>
    <row r="984" spans="1:16" s="930" customFormat="1" ht="21.75" customHeight="1" x14ac:dyDescent="0.3">
      <c r="A984" s="839">
        <v>976</v>
      </c>
      <c r="B984" s="1004"/>
      <c r="C984" s="882">
        <v>160</v>
      </c>
      <c r="D984" s="1047" t="s">
        <v>740</v>
      </c>
      <c r="E984" s="884"/>
      <c r="F984" s="920"/>
      <c r="G984" s="1007"/>
      <c r="H984" s="1008" t="s">
        <v>296</v>
      </c>
      <c r="I984" s="268"/>
      <c r="J984" s="924"/>
      <c r="K984" s="924"/>
      <c r="L984" s="889"/>
      <c r="M984" s="924"/>
      <c r="N984" s="1042"/>
      <c r="P984" s="891"/>
    </row>
    <row r="985" spans="1:16" s="930" customFormat="1" ht="18" customHeight="1" x14ac:dyDescent="0.3">
      <c r="A985" s="839">
        <v>977</v>
      </c>
      <c r="B985" s="1004"/>
      <c r="C985" s="882"/>
      <c r="D985" s="1049" t="s">
        <v>230</v>
      </c>
      <c r="E985" s="884"/>
      <c r="F985" s="920"/>
      <c r="G985" s="1007"/>
      <c r="H985" s="1010"/>
      <c r="I985" s="887">
        <f>SUM(J985:N985)</f>
        <v>350</v>
      </c>
      <c r="J985" s="924"/>
      <c r="K985" s="924"/>
      <c r="L985" s="889"/>
      <c r="M985" s="924"/>
      <c r="N985" s="1042">
        <v>350</v>
      </c>
      <c r="P985" s="891"/>
    </row>
    <row r="986" spans="1:16" s="930" customFormat="1" ht="18" customHeight="1" x14ac:dyDescent="0.3">
      <c r="A986" s="839">
        <v>978</v>
      </c>
      <c r="B986" s="1004"/>
      <c r="C986" s="882"/>
      <c r="D986" s="266" t="s">
        <v>231</v>
      </c>
      <c r="E986" s="884"/>
      <c r="F986" s="920"/>
      <c r="G986" s="1007"/>
      <c r="H986" s="1010"/>
      <c r="I986" s="878">
        <f>SUM(J986:N986)</f>
        <v>0</v>
      </c>
      <c r="J986" s="905"/>
      <c r="K986" s="905"/>
      <c r="L986" s="902"/>
      <c r="M986" s="905"/>
      <c r="N986" s="1043">
        <v>0</v>
      </c>
      <c r="P986" s="891"/>
    </row>
    <row r="987" spans="1:16" s="930" customFormat="1" ht="18" customHeight="1" x14ac:dyDescent="0.3">
      <c r="A987" s="839">
        <v>979</v>
      </c>
      <c r="B987" s="1004"/>
      <c r="C987" s="882"/>
      <c r="D987" s="270" t="s">
        <v>232</v>
      </c>
      <c r="E987" s="884"/>
      <c r="F987" s="920"/>
      <c r="G987" s="1007"/>
      <c r="H987" s="1010"/>
      <c r="I987" s="272">
        <f>SUM(J987:Q987)</f>
        <v>0</v>
      </c>
      <c r="J987" s="924"/>
      <c r="K987" s="924"/>
      <c r="L987" s="889"/>
      <c r="M987" s="924"/>
      <c r="N987" s="906"/>
      <c r="P987" s="891"/>
    </row>
    <row r="988" spans="1:16" s="930" customFormat="1" ht="18" customHeight="1" x14ac:dyDescent="0.3">
      <c r="A988" s="839">
        <v>980</v>
      </c>
      <c r="B988" s="1004"/>
      <c r="C988" s="882"/>
      <c r="D988" s="1050" t="s">
        <v>233</v>
      </c>
      <c r="E988" s="884"/>
      <c r="F988" s="920"/>
      <c r="G988" s="1007"/>
      <c r="H988" s="1010"/>
      <c r="I988" s="268">
        <f>SUM(J988:Q988)</f>
        <v>0</v>
      </c>
      <c r="J988" s="924"/>
      <c r="K988" s="924"/>
      <c r="L988" s="889"/>
      <c r="M988" s="924"/>
      <c r="N988" s="903">
        <f>SUM(N986:N987)</f>
        <v>0</v>
      </c>
      <c r="P988" s="891"/>
    </row>
    <row r="989" spans="1:16" s="930" customFormat="1" ht="21.75" customHeight="1" x14ac:dyDescent="0.3">
      <c r="A989" s="839">
        <v>981</v>
      </c>
      <c r="B989" s="1004"/>
      <c r="C989" s="882">
        <v>161</v>
      </c>
      <c r="D989" s="1045" t="s">
        <v>741</v>
      </c>
      <c r="E989" s="884"/>
      <c r="F989" s="920"/>
      <c r="G989" s="1007"/>
      <c r="H989" s="1010" t="s">
        <v>296</v>
      </c>
      <c r="I989" s="887"/>
      <c r="J989" s="924"/>
      <c r="K989" s="924"/>
      <c r="L989" s="889"/>
      <c r="M989" s="924"/>
      <c r="N989" s="900"/>
      <c r="P989" s="891"/>
    </row>
    <row r="990" spans="1:16" s="930" customFormat="1" ht="18" customHeight="1" x14ac:dyDescent="0.3">
      <c r="A990" s="839">
        <v>982</v>
      </c>
      <c r="B990" s="1051"/>
      <c r="C990" s="1052"/>
      <c r="D990" s="1053" t="s">
        <v>230</v>
      </c>
      <c r="E990" s="884"/>
      <c r="F990" s="1054"/>
      <c r="G990" s="1055"/>
      <c r="H990" s="1056"/>
      <c r="I990" s="1057">
        <f>SUM(J990:N990)</f>
        <v>5000</v>
      </c>
      <c r="J990" s="1058"/>
      <c r="K990" s="1058"/>
      <c r="L990" s="1059">
        <v>5000</v>
      </c>
      <c r="M990" s="1058"/>
      <c r="N990" s="1060"/>
      <c r="P990" s="891"/>
    </row>
    <row r="991" spans="1:16" s="930" customFormat="1" ht="18" customHeight="1" x14ac:dyDescent="0.3">
      <c r="A991" s="839">
        <v>983</v>
      </c>
      <c r="B991" s="1051"/>
      <c r="C991" s="1052"/>
      <c r="D991" s="266" t="s">
        <v>231</v>
      </c>
      <c r="E991" s="884"/>
      <c r="F991" s="1054"/>
      <c r="G991" s="1055"/>
      <c r="H991" s="1056"/>
      <c r="I991" s="1061">
        <f>SUM(J991:N991)</f>
        <v>5000</v>
      </c>
      <c r="J991" s="1062"/>
      <c r="K991" s="1062"/>
      <c r="L991" s="1063">
        <v>0</v>
      </c>
      <c r="M991" s="1062"/>
      <c r="N991" s="1064">
        <v>5000</v>
      </c>
      <c r="P991" s="891"/>
    </row>
    <row r="992" spans="1:16" s="930" customFormat="1" ht="18" customHeight="1" x14ac:dyDescent="0.3">
      <c r="A992" s="839">
        <v>984</v>
      </c>
      <c r="B992" s="1004"/>
      <c r="C992" s="882"/>
      <c r="D992" s="1016" t="s">
        <v>232</v>
      </c>
      <c r="E992" s="884"/>
      <c r="F992" s="920"/>
      <c r="G992" s="1007"/>
      <c r="H992" s="1010"/>
      <c r="I992" s="272">
        <f>SUM(J992:Q992)</f>
        <v>0</v>
      </c>
      <c r="J992" s="904"/>
      <c r="K992" s="904"/>
      <c r="L992" s="904"/>
      <c r="M992" s="904"/>
      <c r="N992" s="906"/>
      <c r="P992" s="891"/>
    </row>
    <row r="993" spans="1:16" s="930" customFormat="1" ht="18" customHeight="1" x14ac:dyDescent="0.3">
      <c r="A993" s="839">
        <v>985</v>
      </c>
      <c r="B993" s="1051"/>
      <c r="C993" s="1052"/>
      <c r="D993" s="1065" t="s">
        <v>233</v>
      </c>
      <c r="E993" s="1066"/>
      <c r="F993" s="1054"/>
      <c r="G993" s="1055"/>
      <c r="H993" s="1056"/>
      <c r="I993" s="311">
        <f>SUM(J993:Q993)</f>
        <v>5000</v>
      </c>
      <c r="J993" s="1067"/>
      <c r="K993" s="1067"/>
      <c r="L993" s="1068">
        <f>SUM(L991:L992)</f>
        <v>0</v>
      </c>
      <c r="M993" s="1067"/>
      <c r="N993" s="1069">
        <f>SUM(N991:N992)</f>
        <v>5000</v>
      </c>
      <c r="P993" s="891"/>
    </row>
    <row r="994" spans="1:16" s="930" customFormat="1" ht="22.5" customHeight="1" x14ac:dyDescent="0.3">
      <c r="A994" s="839">
        <v>986</v>
      </c>
      <c r="B994" s="1051"/>
      <c r="C994" s="882">
        <v>163</v>
      </c>
      <c r="D994" s="1045" t="s">
        <v>742</v>
      </c>
      <c r="E994" s="1066"/>
      <c r="F994" s="1054"/>
      <c r="G994" s="1055"/>
      <c r="H994" s="1056" t="s">
        <v>296</v>
      </c>
      <c r="I994" s="311"/>
      <c r="J994" s="1067"/>
      <c r="K994" s="1067"/>
      <c r="L994" s="1063"/>
      <c r="M994" s="1058"/>
      <c r="N994" s="1060"/>
      <c r="P994" s="891"/>
    </row>
    <row r="995" spans="1:16" s="930" customFormat="1" ht="18" customHeight="1" x14ac:dyDescent="0.3">
      <c r="A995" s="839">
        <v>987</v>
      </c>
      <c r="B995" s="1051"/>
      <c r="C995" s="882"/>
      <c r="D995" s="266" t="s">
        <v>231</v>
      </c>
      <c r="E995" s="1066"/>
      <c r="F995" s="1054"/>
      <c r="G995" s="1055"/>
      <c r="H995" s="1056"/>
      <c r="I995" s="311">
        <f>SUM(J995:Q995)</f>
        <v>1500</v>
      </c>
      <c r="J995" s="1067"/>
      <c r="K995" s="1067"/>
      <c r="L995" s="1063">
        <v>1500</v>
      </c>
      <c r="M995" s="1058"/>
      <c r="N995" s="1060"/>
      <c r="P995" s="891"/>
    </row>
    <row r="996" spans="1:16" s="930" customFormat="1" ht="18" customHeight="1" x14ac:dyDescent="0.3">
      <c r="A996" s="839">
        <v>988</v>
      </c>
      <c r="B996" s="1051"/>
      <c r="C996" s="882"/>
      <c r="D996" s="1016" t="s">
        <v>232</v>
      </c>
      <c r="E996" s="1066"/>
      <c r="F996" s="1054"/>
      <c r="G996" s="1055"/>
      <c r="H996" s="1056"/>
      <c r="I996" s="272">
        <f>SUM(J996:Q996)</f>
        <v>0</v>
      </c>
      <c r="J996" s="1067"/>
      <c r="K996" s="1067"/>
      <c r="L996" s="1062"/>
      <c r="M996" s="1058"/>
      <c r="N996" s="1060"/>
      <c r="P996" s="891"/>
    </row>
    <row r="997" spans="1:16" s="930" customFormat="1" ht="18" customHeight="1" x14ac:dyDescent="0.3">
      <c r="A997" s="839">
        <v>989</v>
      </c>
      <c r="B997" s="1051"/>
      <c r="C997" s="1052"/>
      <c r="D997" s="1065" t="s">
        <v>233</v>
      </c>
      <c r="E997" s="1066"/>
      <c r="F997" s="1054"/>
      <c r="G997" s="1055"/>
      <c r="H997" s="1056"/>
      <c r="I997" s="311">
        <f>SUM(J997:Q997)</f>
        <v>1500</v>
      </c>
      <c r="J997" s="1067"/>
      <c r="K997" s="1067"/>
      <c r="L997" s="1063">
        <f>SUM(L995:L996)</f>
        <v>1500</v>
      </c>
      <c r="M997" s="1058"/>
      <c r="N997" s="1060"/>
      <c r="P997" s="891"/>
    </row>
    <row r="998" spans="1:16" s="930" customFormat="1" ht="22.5" customHeight="1" x14ac:dyDescent="0.3">
      <c r="A998" s="839">
        <v>990</v>
      </c>
      <c r="B998" s="1051"/>
      <c r="C998" s="882">
        <v>164</v>
      </c>
      <c r="D998" s="1045" t="s">
        <v>743</v>
      </c>
      <c r="E998" s="1066"/>
      <c r="F998" s="1054"/>
      <c r="G998" s="1055"/>
      <c r="H998" s="1056" t="s">
        <v>296</v>
      </c>
      <c r="I998" s="311"/>
      <c r="J998" s="1067"/>
      <c r="K998" s="1067"/>
      <c r="L998" s="1063"/>
      <c r="M998" s="1058"/>
      <c r="N998" s="1060"/>
      <c r="P998" s="891"/>
    </row>
    <row r="999" spans="1:16" s="930" customFormat="1" ht="18" customHeight="1" x14ac:dyDescent="0.3">
      <c r="A999" s="839">
        <v>991</v>
      </c>
      <c r="B999" s="1051"/>
      <c r="C999" s="882"/>
      <c r="D999" s="266" t="s">
        <v>231</v>
      </c>
      <c r="E999" s="1066"/>
      <c r="F999" s="1054"/>
      <c r="G999" s="1055"/>
      <c r="H999" s="1056"/>
      <c r="I999" s="311">
        <f>SUM(J999:Q999)</f>
        <v>19100</v>
      </c>
      <c r="J999" s="1067"/>
      <c r="K999" s="1067"/>
      <c r="L999" s="1063">
        <v>19100</v>
      </c>
      <c r="M999" s="1058"/>
      <c r="N999" s="1060"/>
      <c r="P999" s="891"/>
    </row>
    <row r="1000" spans="1:16" s="930" customFormat="1" ht="18" customHeight="1" x14ac:dyDescent="0.3">
      <c r="A1000" s="839">
        <v>992</v>
      </c>
      <c r="B1000" s="1051"/>
      <c r="C1000" s="882"/>
      <c r="D1000" s="1016" t="s">
        <v>232</v>
      </c>
      <c r="E1000" s="1066"/>
      <c r="F1000" s="1054"/>
      <c r="G1000" s="1055"/>
      <c r="H1000" s="1056"/>
      <c r="I1000" s="272">
        <f>SUM(J1000:Q1000)</f>
        <v>0</v>
      </c>
      <c r="J1000" s="1067"/>
      <c r="K1000" s="1067"/>
      <c r="L1000" s="1062"/>
      <c r="M1000" s="1058"/>
      <c r="N1000" s="1060"/>
      <c r="P1000" s="891"/>
    </row>
    <row r="1001" spans="1:16" s="930" customFormat="1" ht="18" customHeight="1" x14ac:dyDescent="0.3">
      <c r="A1001" s="839">
        <v>993</v>
      </c>
      <c r="B1001" s="1051"/>
      <c r="C1001" s="1052"/>
      <c r="D1001" s="1065" t="s">
        <v>233</v>
      </c>
      <c r="E1001" s="1066"/>
      <c r="F1001" s="1054"/>
      <c r="G1001" s="1055"/>
      <c r="H1001" s="1056"/>
      <c r="I1001" s="311">
        <f>SUM(J1001:Q1001)</f>
        <v>19100</v>
      </c>
      <c r="J1001" s="1067"/>
      <c r="K1001" s="1067"/>
      <c r="L1001" s="1063">
        <f>SUM(L999:L1000)</f>
        <v>19100</v>
      </c>
      <c r="M1001" s="1058"/>
      <c r="N1001" s="1060"/>
      <c r="P1001" s="891"/>
    </row>
    <row r="1002" spans="1:16" s="930" customFormat="1" ht="21.75" customHeight="1" x14ac:dyDescent="0.3">
      <c r="A1002" s="839">
        <v>994</v>
      </c>
      <c r="B1002" s="1051"/>
      <c r="C1002" s="882">
        <v>165</v>
      </c>
      <c r="D1002" s="1045" t="s">
        <v>744</v>
      </c>
      <c r="E1002" s="1066"/>
      <c r="F1002" s="1054"/>
      <c r="G1002" s="1055"/>
      <c r="H1002" s="1056" t="s">
        <v>296</v>
      </c>
      <c r="I1002" s="311"/>
      <c r="J1002" s="1067"/>
      <c r="K1002" s="1067"/>
      <c r="L1002" s="1063"/>
      <c r="M1002" s="1058"/>
      <c r="N1002" s="1060"/>
      <c r="P1002" s="891"/>
    </row>
    <row r="1003" spans="1:16" s="930" customFormat="1" ht="18" customHeight="1" x14ac:dyDescent="0.3">
      <c r="A1003" s="839">
        <v>995</v>
      </c>
      <c r="B1003" s="1051"/>
      <c r="C1003" s="882"/>
      <c r="D1003" s="266" t="s">
        <v>231</v>
      </c>
      <c r="E1003" s="1066"/>
      <c r="F1003" s="1054"/>
      <c r="G1003" s="1055"/>
      <c r="H1003" s="1056"/>
      <c r="I1003" s="311">
        <f>SUM(J1003:Q1003)</f>
        <v>2500</v>
      </c>
      <c r="J1003" s="1067"/>
      <c r="K1003" s="1067"/>
      <c r="L1003" s="1063"/>
      <c r="M1003" s="1058"/>
      <c r="N1003" s="1060">
        <v>2500</v>
      </c>
      <c r="P1003" s="891"/>
    </row>
    <row r="1004" spans="1:16" s="930" customFormat="1" ht="18" customHeight="1" x14ac:dyDescent="0.3">
      <c r="A1004" s="839">
        <v>996</v>
      </c>
      <c r="B1004" s="1051"/>
      <c r="C1004" s="882"/>
      <c r="D1004" s="1016" t="s">
        <v>232</v>
      </c>
      <c r="E1004" s="1066"/>
      <c r="F1004" s="1054"/>
      <c r="G1004" s="1055"/>
      <c r="H1004" s="1056"/>
      <c r="I1004" s="272">
        <f>SUM(J1004:Q1004)</f>
        <v>0</v>
      </c>
      <c r="J1004" s="1067"/>
      <c r="K1004" s="1067"/>
      <c r="L1004" s="1063"/>
      <c r="M1004" s="1058"/>
      <c r="N1004" s="1070"/>
      <c r="P1004" s="891"/>
    </row>
    <row r="1005" spans="1:16" s="930" customFormat="1" ht="18" customHeight="1" x14ac:dyDescent="0.3">
      <c r="A1005" s="839">
        <v>997</v>
      </c>
      <c r="B1005" s="1051"/>
      <c r="C1005" s="1052"/>
      <c r="D1005" s="1065" t="s">
        <v>233</v>
      </c>
      <c r="E1005" s="1066"/>
      <c r="F1005" s="1054"/>
      <c r="G1005" s="1055"/>
      <c r="H1005" s="1056"/>
      <c r="I1005" s="311">
        <f>SUM(J1005:Q1005)</f>
        <v>2500</v>
      </c>
      <c r="J1005" s="1067"/>
      <c r="K1005" s="1067"/>
      <c r="L1005" s="1063"/>
      <c r="M1005" s="1058"/>
      <c r="N1005" s="1064">
        <f>SUM(N1003:N1004)</f>
        <v>2500</v>
      </c>
      <c r="P1005" s="891"/>
    </row>
    <row r="1006" spans="1:16" s="930" customFormat="1" ht="22.5" customHeight="1" x14ac:dyDescent="0.3">
      <c r="A1006" s="839">
        <v>998</v>
      </c>
      <c r="B1006" s="1051"/>
      <c r="C1006" s="882">
        <v>166</v>
      </c>
      <c r="D1006" s="1045" t="s">
        <v>745</v>
      </c>
      <c r="E1006" s="1066"/>
      <c r="F1006" s="1054"/>
      <c r="G1006" s="1055"/>
      <c r="H1006" s="1056" t="s">
        <v>296</v>
      </c>
      <c r="I1006" s="311"/>
      <c r="J1006" s="1067"/>
      <c r="K1006" s="1067"/>
      <c r="L1006" s="1063"/>
      <c r="M1006" s="1058"/>
      <c r="N1006" s="1060"/>
      <c r="P1006" s="891"/>
    </row>
    <row r="1007" spans="1:16" s="930" customFormat="1" ht="18" customHeight="1" x14ac:dyDescent="0.3">
      <c r="A1007" s="839">
        <v>999</v>
      </c>
      <c r="B1007" s="1051"/>
      <c r="C1007" s="882"/>
      <c r="D1007" s="266" t="s">
        <v>231</v>
      </c>
      <c r="E1007" s="1066"/>
      <c r="F1007" s="1054"/>
      <c r="G1007" s="1055"/>
      <c r="H1007" s="1056"/>
      <c r="I1007" s="311">
        <f>SUM(J1007:Q1007)</f>
        <v>2000</v>
      </c>
      <c r="J1007" s="1067"/>
      <c r="K1007" s="1067"/>
      <c r="L1007" s="1063"/>
      <c r="M1007" s="1058"/>
      <c r="N1007" s="1064">
        <v>2000</v>
      </c>
      <c r="P1007" s="891"/>
    </row>
    <row r="1008" spans="1:16" s="930" customFormat="1" ht="18" customHeight="1" x14ac:dyDescent="0.3">
      <c r="A1008" s="839">
        <v>1000</v>
      </c>
      <c r="B1008" s="1051"/>
      <c r="C1008" s="882"/>
      <c r="D1008" s="1016" t="s">
        <v>232</v>
      </c>
      <c r="E1008" s="1066"/>
      <c r="F1008" s="1054"/>
      <c r="G1008" s="1055"/>
      <c r="H1008" s="1056"/>
      <c r="I1008" s="272">
        <f>SUM(J1008:Q1008)</f>
        <v>0</v>
      </c>
      <c r="J1008" s="1067"/>
      <c r="K1008" s="1067"/>
      <c r="L1008" s="1063"/>
      <c r="M1008" s="1058"/>
      <c r="N1008" s="1070"/>
      <c r="P1008" s="891"/>
    </row>
    <row r="1009" spans="1:16" s="930" customFormat="1" ht="18" customHeight="1" x14ac:dyDescent="0.3">
      <c r="A1009" s="839">
        <v>1001</v>
      </c>
      <c r="B1009" s="1051"/>
      <c r="C1009" s="1052"/>
      <c r="D1009" s="1065" t="s">
        <v>233</v>
      </c>
      <c r="E1009" s="1066"/>
      <c r="F1009" s="1054"/>
      <c r="G1009" s="1055"/>
      <c r="H1009" s="1056"/>
      <c r="I1009" s="311">
        <f>SUM(J1009:Q1009)</f>
        <v>2000</v>
      </c>
      <c r="J1009" s="1067"/>
      <c r="K1009" s="1067"/>
      <c r="L1009" s="1063"/>
      <c r="M1009" s="1058"/>
      <c r="N1009" s="1064">
        <f>SUM(N1007:N1008)</f>
        <v>2000</v>
      </c>
      <c r="P1009" s="891"/>
    </row>
    <row r="1010" spans="1:16" s="930" customFormat="1" ht="22.5" customHeight="1" x14ac:dyDescent="0.3">
      <c r="A1010" s="839">
        <v>1002</v>
      </c>
      <c r="B1010" s="1051"/>
      <c r="C1010" s="882">
        <v>167</v>
      </c>
      <c r="D1010" s="1045" t="s">
        <v>746</v>
      </c>
      <c r="E1010" s="1066"/>
      <c r="F1010" s="1054"/>
      <c r="G1010" s="1055"/>
      <c r="H1010" s="1056" t="s">
        <v>296</v>
      </c>
      <c r="I1010" s="311"/>
      <c r="J1010" s="1067"/>
      <c r="K1010" s="1067"/>
      <c r="L1010" s="1063"/>
      <c r="M1010" s="1058"/>
      <c r="N1010" s="1060"/>
      <c r="P1010" s="891"/>
    </row>
    <row r="1011" spans="1:16" s="930" customFormat="1" ht="18" customHeight="1" x14ac:dyDescent="0.3">
      <c r="A1011" s="839">
        <v>1003</v>
      </c>
      <c r="B1011" s="1051"/>
      <c r="C1011" s="882"/>
      <c r="D1011" s="266" t="s">
        <v>231</v>
      </c>
      <c r="E1011" s="1066"/>
      <c r="F1011" s="1054"/>
      <c r="G1011" s="1055"/>
      <c r="H1011" s="1056"/>
      <c r="I1011" s="311">
        <f>SUM(J1011:Q1011)</f>
        <v>4000</v>
      </c>
      <c r="J1011" s="1067"/>
      <c r="K1011" s="1067"/>
      <c r="L1011" s="1063"/>
      <c r="M1011" s="1058"/>
      <c r="N1011" s="1064">
        <v>4000</v>
      </c>
      <c r="P1011" s="891"/>
    </row>
    <row r="1012" spans="1:16" s="930" customFormat="1" ht="18" customHeight="1" x14ac:dyDescent="0.3">
      <c r="A1012" s="839">
        <v>1004</v>
      </c>
      <c r="B1012" s="1051"/>
      <c r="C1012" s="882"/>
      <c r="D1012" s="1016" t="s">
        <v>232</v>
      </c>
      <c r="E1012" s="1066"/>
      <c r="F1012" s="1054"/>
      <c r="G1012" s="1055"/>
      <c r="H1012" s="1056"/>
      <c r="I1012" s="272">
        <f>SUM(J1012:Q1012)</f>
        <v>0</v>
      </c>
      <c r="J1012" s="1067"/>
      <c r="K1012" s="1067"/>
      <c r="L1012" s="1063"/>
      <c r="M1012" s="1058"/>
      <c r="N1012" s="1070"/>
      <c r="P1012" s="891"/>
    </row>
    <row r="1013" spans="1:16" s="930" customFormat="1" ht="18" customHeight="1" x14ac:dyDescent="0.3">
      <c r="A1013" s="839">
        <v>1005</v>
      </c>
      <c r="B1013" s="1051"/>
      <c r="C1013" s="1052"/>
      <c r="D1013" s="1065" t="s">
        <v>233</v>
      </c>
      <c r="E1013" s="1066"/>
      <c r="F1013" s="1054"/>
      <c r="G1013" s="1055"/>
      <c r="H1013" s="1056"/>
      <c r="I1013" s="311">
        <f>SUM(J1013:Q1013)</f>
        <v>4000</v>
      </c>
      <c r="J1013" s="1067"/>
      <c r="K1013" s="1067"/>
      <c r="L1013" s="1063"/>
      <c r="M1013" s="1058"/>
      <c r="N1013" s="1064">
        <f>SUM(N1011:N1012)</f>
        <v>4000</v>
      </c>
      <c r="P1013" s="891"/>
    </row>
    <row r="1014" spans="1:16" s="930" customFormat="1" ht="22.5" customHeight="1" x14ac:dyDescent="0.3">
      <c r="A1014" s="839">
        <v>1006</v>
      </c>
      <c r="B1014" s="1004"/>
      <c r="C1014" s="882">
        <v>168</v>
      </c>
      <c r="D1014" s="1045" t="s">
        <v>747</v>
      </c>
      <c r="E1014" s="884"/>
      <c r="F1014" s="920"/>
      <c r="G1014" s="1071"/>
      <c r="H1014" s="1010" t="s">
        <v>296</v>
      </c>
      <c r="I1014" s="268"/>
      <c r="J1014" s="1046"/>
      <c r="K1014" s="1046"/>
      <c r="L1014" s="1072"/>
      <c r="M1014" s="1046"/>
      <c r="N1014" s="1043"/>
      <c r="P1014" s="891"/>
    </row>
    <row r="1015" spans="1:16" s="930" customFormat="1" ht="18" customHeight="1" x14ac:dyDescent="0.3">
      <c r="A1015" s="839">
        <v>1007</v>
      </c>
      <c r="B1015" s="1004"/>
      <c r="C1015" s="882"/>
      <c r="D1015" s="266" t="s">
        <v>231</v>
      </c>
      <c r="E1015" s="884"/>
      <c r="F1015" s="920"/>
      <c r="G1015" s="1071"/>
      <c r="H1015" s="1010"/>
      <c r="I1015" s="311">
        <f>SUM(J1015:Q1015)</f>
        <v>6000</v>
      </c>
      <c r="J1015" s="1046"/>
      <c r="K1015" s="1046"/>
      <c r="L1015" s="1072">
        <v>6000</v>
      </c>
      <c r="M1015" s="1046"/>
      <c r="N1015" s="1064"/>
      <c r="P1015" s="891"/>
    </row>
    <row r="1016" spans="1:16" s="930" customFormat="1" ht="18" customHeight="1" x14ac:dyDescent="0.3">
      <c r="A1016" s="839">
        <v>1008</v>
      </c>
      <c r="B1016" s="1004"/>
      <c r="C1016" s="882"/>
      <c r="D1016" s="270" t="s">
        <v>232</v>
      </c>
      <c r="E1016" s="884"/>
      <c r="F1016" s="920"/>
      <c r="G1016" s="1071"/>
      <c r="H1016" s="1010"/>
      <c r="I1016" s="272">
        <f>SUM(J1016:Q1016)</f>
        <v>0</v>
      </c>
      <c r="J1016" s="1046"/>
      <c r="K1016" s="1046"/>
      <c r="L1016" s="1073"/>
      <c r="M1016" s="1046"/>
      <c r="N1016" s="1070"/>
      <c r="P1016" s="891"/>
    </row>
    <row r="1017" spans="1:16" s="930" customFormat="1" ht="18" customHeight="1" x14ac:dyDescent="0.3">
      <c r="A1017" s="839">
        <v>1009</v>
      </c>
      <c r="B1017" s="1004"/>
      <c r="C1017" s="882"/>
      <c r="D1017" s="1074" t="s">
        <v>233</v>
      </c>
      <c r="E1017" s="884"/>
      <c r="F1017" s="920"/>
      <c r="G1017" s="1071"/>
      <c r="H1017" s="1010"/>
      <c r="I1017" s="311">
        <f>SUM(J1017:Q1017)</f>
        <v>6000</v>
      </c>
      <c r="J1017" s="1046"/>
      <c r="K1017" s="1046"/>
      <c r="L1017" s="1072">
        <f>SUM(L1015:L1016)</f>
        <v>6000</v>
      </c>
      <c r="M1017" s="1046"/>
      <c r="N1017" s="1064"/>
      <c r="P1017" s="891"/>
    </row>
    <row r="1018" spans="1:16" s="930" customFormat="1" ht="22.5" customHeight="1" x14ac:dyDescent="0.3">
      <c r="A1018" s="839">
        <v>1010</v>
      </c>
      <c r="B1018" s="1004"/>
      <c r="C1018" s="882">
        <v>169</v>
      </c>
      <c r="D1018" s="1045" t="s">
        <v>748</v>
      </c>
      <c r="E1018" s="884"/>
      <c r="F1018" s="920"/>
      <c r="G1018" s="1071"/>
      <c r="H1018" s="1010" t="s">
        <v>296</v>
      </c>
      <c r="I1018" s="311"/>
      <c r="J1018" s="1046"/>
      <c r="K1018" s="1046"/>
      <c r="L1018" s="1072"/>
      <c r="M1018" s="1046"/>
      <c r="N1018" s="1064"/>
      <c r="P1018" s="891"/>
    </row>
    <row r="1019" spans="1:16" s="930" customFormat="1" ht="18" customHeight="1" x14ac:dyDescent="0.3">
      <c r="A1019" s="839">
        <v>1011</v>
      </c>
      <c r="B1019" s="1004"/>
      <c r="C1019" s="882"/>
      <c r="D1019" s="266" t="s">
        <v>231</v>
      </c>
      <c r="E1019" s="884"/>
      <c r="F1019" s="920"/>
      <c r="G1019" s="1071"/>
      <c r="H1019" s="1010"/>
      <c r="I1019" s="311">
        <f>SUM(J1019:Q1019)</f>
        <v>248</v>
      </c>
      <c r="J1019" s="1046"/>
      <c r="K1019" s="1046"/>
      <c r="L1019" s="1072">
        <v>248</v>
      </c>
      <c r="M1019" s="1046"/>
      <c r="N1019" s="1064"/>
      <c r="P1019" s="891"/>
    </row>
    <row r="1020" spans="1:16" s="930" customFormat="1" ht="18" customHeight="1" x14ac:dyDescent="0.3">
      <c r="A1020" s="839">
        <v>1012</v>
      </c>
      <c r="B1020" s="1004"/>
      <c r="C1020" s="882"/>
      <c r="D1020" s="270" t="s">
        <v>232</v>
      </c>
      <c r="E1020" s="884"/>
      <c r="F1020" s="920"/>
      <c r="G1020" s="1071"/>
      <c r="H1020" s="1010"/>
      <c r="I1020" s="272">
        <f>SUM(J1020:Q1020)</f>
        <v>0</v>
      </c>
      <c r="J1020" s="1046"/>
      <c r="K1020" s="1046"/>
      <c r="L1020" s="1073"/>
      <c r="M1020" s="1046"/>
      <c r="N1020" s="1043"/>
      <c r="P1020" s="891"/>
    </row>
    <row r="1021" spans="1:16" s="930" customFormat="1" ht="18" customHeight="1" x14ac:dyDescent="0.3">
      <c r="A1021" s="839">
        <v>1013</v>
      </c>
      <c r="B1021" s="1004"/>
      <c r="C1021" s="882"/>
      <c r="D1021" s="1074" t="s">
        <v>233</v>
      </c>
      <c r="E1021" s="884"/>
      <c r="F1021" s="920"/>
      <c r="G1021" s="1071"/>
      <c r="H1021" s="1010"/>
      <c r="I1021" s="311">
        <f>SUM(J1021:Q1021)</f>
        <v>248</v>
      </c>
      <c r="J1021" s="1046"/>
      <c r="K1021" s="1046"/>
      <c r="L1021" s="1072">
        <f>SUM(L1019:L1020)</f>
        <v>248</v>
      </c>
      <c r="M1021" s="1046"/>
      <c r="N1021" s="1043"/>
      <c r="P1021" s="891"/>
    </row>
    <row r="1022" spans="1:16" s="930" customFormat="1" ht="22.5" customHeight="1" x14ac:dyDescent="0.3">
      <c r="A1022" s="839">
        <v>1014</v>
      </c>
      <c r="B1022" s="1051"/>
      <c r="C1022" s="882">
        <v>170</v>
      </c>
      <c r="D1022" s="1045" t="s">
        <v>749</v>
      </c>
      <c r="E1022" s="1066"/>
      <c r="F1022" s="1054"/>
      <c r="G1022" s="1075"/>
      <c r="H1022" s="1056" t="s">
        <v>296</v>
      </c>
      <c r="I1022" s="311"/>
      <c r="J1022" s="1058"/>
      <c r="K1022" s="1058"/>
      <c r="L1022" s="1063"/>
      <c r="M1022" s="1058"/>
      <c r="N1022" s="1064"/>
      <c r="P1022" s="891"/>
    </row>
    <row r="1023" spans="1:16" s="930" customFormat="1" ht="18" customHeight="1" x14ac:dyDescent="0.3">
      <c r="A1023" s="839">
        <v>1015</v>
      </c>
      <c r="B1023" s="1051"/>
      <c r="C1023" s="882"/>
      <c r="D1023" s="266" t="s">
        <v>231</v>
      </c>
      <c r="E1023" s="1066"/>
      <c r="F1023" s="1054"/>
      <c r="G1023" s="1075"/>
      <c r="H1023" s="1056"/>
      <c r="I1023" s="311">
        <f>SUM(J1023:Q1023)</f>
        <v>1000</v>
      </c>
      <c r="J1023" s="1058"/>
      <c r="K1023" s="1058"/>
      <c r="L1023" s="1063"/>
      <c r="M1023" s="1058"/>
      <c r="N1023" s="1064">
        <v>1000</v>
      </c>
      <c r="P1023" s="891"/>
    </row>
    <row r="1024" spans="1:16" s="930" customFormat="1" ht="18" customHeight="1" x14ac:dyDescent="0.3">
      <c r="A1024" s="839">
        <v>1016</v>
      </c>
      <c r="B1024" s="1051"/>
      <c r="C1024" s="882"/>
      <c r="D1024" s="270" t="s">
        <v>232</v>
      </c>
      <c r="E1024" s="1066"/>
      <c r="F1024" s="1054"/>
      <c r="G1024" s="1075"/>
      <c r="H1024" s="1056"/>
      <c r="I1024" s="272">
        <f>SUM(J1024:Q1024)</f>
        <v>0</v>
      </c>
      <c r="J1024" s="1058"/>
      <c r="K1024" s="1058"/>
      <c r="L1024" s="1063"/>
      <c r="M1024" s="1058"/>
      <c r="N1024" s="1070"/>
      <c r="P1024" s="891"/>
    </row>
    <row r="1025" spans="1:16" s="930" customFormat="1" ht="18" customHeight="1" x14ac:dyDescent="0.3">
      <c r="A1025" s="839">
        <v>1017</v>
      </c>
      <c r="B1025" s="1051"/>
      <c r="C1025" s="882"/>
      <c r="D1025" s="1074" t="s">
        <v>233</v>
      </c>
      <c r="E1025" s="1066"/>
      <c r="F1025" s="1054"/>
      <c r="G1025" s="1075"/>
      <c r="H1025" s="1056"/>
      <c r="I1025" s="311">
        <f>SUM(J1025:Q1025)</f>
        <v>1000</v>
      </c>
      <c r="J1025" s="1058"/>
      <c r="K1025" s="1058"/>
      <c r="L1025" s="1063"/>
      <c r="M1025" s="1058"/>
      <c r="N1025" s="1064">
        <f>SUM(N1023:N1024)</f>
        <v>1000</v>
      </c>
      <c r="P1025" s="891"/>
    </row>
    <row r="1026" spans="1:16" s="930" customFormat="1" ht="22.5" customHeight="1" x14ac:dyDescent="0.3">
      <c r="A1026" s="839">
        <v>1018</v>
      </c>
      <c r="B1026" s="1051"/>
      <c r="C1026" s="882">
        <v>171</v>
      </c>
      <c r="D1026" s="1045" t="s">
        <v>750</v>
      </c>
      <c r="E1026" s="1066"/>
      <c r="F1026" s="1054"/>
      <c r="G1026" s="1075"/>
      <c r="H1026" s="1056" t="s">
        <v>296</v>
      </c>
      <c r="I1026" s="311"/>
      <c r="J1026" s="1058"/>
      <c r="K1026" s="1058"/>
      <c r="L1026" s="1063"/>
      <c r="M1026" s="1058"/>
      <c r="N1026" s="1064"/>
      <c r="P1026" s="891"/>
    </row>
    <row r="1027" spans="1:16" s="930" customFormat="1" ht="18" customHeight="1" x14ac:dyDescent="0.3">
      <c r="A1027" s="839">
        <v>1019</v>
      </c>
      <c r="B1027" s="1051"/>
      <c r="C1027" s="882"/>
      <c r="D1027" s="266" t="s">
        <v>231</v>
      </c>
      <c r="E1027" s="1066"/>
      <c r="F1027" s="1054"/>
      <c r="G1027" s="1075"/>
      <c r="H1027" s="1056"/>
      <c r="I1027" s="311">
        <f>SUM(J1027:Q1027)</f>
        <v>1500</v>
      </c>
      <c r="J1027" s="1058"/>
      <c r="K1027" s="1058"/>
      <c r="L1027" s="1063"/>
      <c r="M1027" s="1058"/>
      <c r="N1027" s="1064">
        <v>1500</v>
      </c>
      <c r="P1027" s="891"/>
    </row>
    <row r="1028" spans="1:16" s="930" customFormat="1" ht="18" customHeight="1" x14ac:dyDescent="0.3">
      <c r="A1028" s="839">
        <v>1020</v>
      </c>
      <c r="B1028" s="1051"/>
      <c r="C1028" s="882"/>
      <c r="D1028" s="270" t="s">
        <v>232</v>
      </c>
      <c r="E1028" s="1066"/>
      <c r="F1028" s="1054"/>
      <c r="G1028" s="1075"/>
      <c r="H1028" s="1056"/>
      <c r="I1028" s="272">
        <f>SUM(J1028:Q1028)</f>
        <v>0</v>
      </c>
      <c r="J1028" s="1058"/>
      <c r="K1028" s="1058"/>
      <c r="L1028" s="1063"/>
      <c r="M1028" s="1058"/>
      <c r="N1028" s="1070"/>
      <c r="P1028" s="891"/>
    </row>
    <row r="1029" spans="1:16" s="930" customFormat="1" ht="18" customHeight="1" x14ac:dyDescent="0.3">
      <c r="A1029" s="839">
        <v>1021</v>
      </c>
      <c r="B1029" s="1051"/>
      <c r="C1029" s="1052"/>
      <c r="D1029" s="1074" t="s">
        <v>233</v>
      </c>
      <c r="E1029" s="1066"/>
      <c r="F1029" s="1054"/>
      <c r="G1029" s="1075"/>
      <c r="H1029" s="1056"/>
      <c r="I1029" s="311">
        <f>SUM(J1029:Q1029)</f>
        <v>1500</v>
      </c>
      <c r="J1029" s="1058"/>
      <c r="K1029" s="1058"/>
      <c r="L1029" s="1063"/>
      <c r="M1029" s="1058"/>
      <c r="N1029" s="1064">
        <f>SUM(N1027:N1028)</f>
        <v>1500</v>
      </c>
      <c r="P1029" s="891"/>
    </row>
    <row r="1030" spans="1:16" s="930" customFormat="1" ht="22.5" customHeight="1" x14ac:dyDescent="0.3">
      <c r="A1030" s="839">
        <v>1022</v>
      </c>
      <c r="B1030" s="1004"/>
      <c r="C1030" s="882">
        <v>172</v>
      </c>
      <c r="D1030" s="1050" t="s">
        <v>751</v>
      </c>
      <c r="E1030" s="884"/>
      <c r="F1030" s="920"/>
      <c r="G1030" s="1071"/>
      <c r="H1030" s="1010" t="s">
        <v>296</v>
      </c>
      <c r="I1030" s="268"/>
      <c r="J1030" s="1046"/>
      <c r="K1030" s="1046"/>
      <c r="L1030" s="1072"/>
      <c r="M1030" s="1046"/>
      <c r="N1030" s="1043"/>
      <c r="P1030" s="891"/>
    </row>
    <row r="1031" spans="1:16" s="930" customFormat="1" ht="18" customHeight="1" x14ac:dyDescent="0.3">
      <c r="A1031" s="839">
        <v>1023</v>
      </c>
      <c r="B1031" s="1004"/>
      <c r="C1031" s="882"/>
      <c r="D1031" s="266" t="s">
        <v>231</v>
      </c>
      <c r="E1031" s="884"/>
      <c r="F1031" s="920"/>
      <c r="G1031" s="1071"/>
      <c r="H1031" s="1010"/>
      <c r="I1031" s="311">
        <f>SUM(J1031:Q1031)</f>
        <v>4000</v>
      </c>
      <c r="J1031" s="1046"/>
      <c r="K1031" s="1046"/>
      <c r="L1031" s="1072">
        <v>4000</v>
      </c>
      <c r="M1031" s="1046"/>
      <c r="N1031" s="1043"/>
      <c r="P1031" s="891"/>
    </row>
    <row r="1032" spans="1:16" s="930" customFormat="1" ht="18" customHeight="1" x14ac:dyDescent="0.3">
      <c r="A1032" s="839">
        <v>1024</v>
      </c>
      <c r="B1032" s="1004"/>
      <c r="C1032" s="882"/>
      <c r="D1032" s="270" t="s">
        <v>232</v>
      </c>
      <c r="E1032" s="884"/>
      <c r="F1032" s="920"/>
      <c r="G1032" s="1071"/>
      <c r="H1032" s="1010"/>
      <c r="I1032" s="272">
        <f>SUM(J1032:Q1032)</f>
        <v>0</v>
      </c>
      <c r="J1032" s="1046"/>
      <c r="K1032" s="1046"/>
      <c r="L1032" s="1073"/>
      <c r="M1032" s="1046"/>
      <c r="N1032" s="1043"/>
      <c r="P1032" s="891"/>
    </row>
    <row r="1033" spans="1:16" s="930" customFormat="1" ht="18" customHeight="1" x14ac:dyDescent="0.3">
      <c r="A1033" s="839">
        <v>1025</v>
      </c>
      <c r="B1033" s="1004"/>
      <c r="C1033" s="882"/>
      <c r="D1033" s="1074" t="s">
        <v>233</v>
      </c>
      <c r="E1033" s="884"/>
      <c r="F1033" s="920"/>
      <c r="G1033" s="1071"/>
      <c r="H1033" s="1010"/>
      <c r="I1033" s="311">
        <f>SUM(J1033:Q1033)</f>
        <v>4000</v>
      </c>
      <c r="J1033" s="1046"/>
      <c r="K1033" s="1046"/>
      <c r="L1033" s="1072">
        <f>SUM(L1031:L1032)</f>
        <v>4000</v>
      </c>
      <c r="M1033" s="1046"/>
      <c r="N1033" s="1043"/>
      <c r="P1033" s="891"/>
    </row>
    <row r="1034" spans="1:16" s="930" customFormat="1" ht="22.5" customHeight="1" x14ac:dyDescent="0.3">
      <c r="A1034" s="839">
        <v>1026</v>
      </c>
      <c r="B1034" s="1051"/>
      <c r="C1034" s="1052">
        <v>173</v>
      </c>
      <c r="D1034" s="1050" t="s">
        <v>752</v>
      </c>
      <c r="E1034" s="1066"/>
      <c r="F1034" s="1054"/>
      <c r="G1034" s="1075"/>
      <c r="H1034" s="1056" t="s">
        <v>296</v>
      </c>
      <c r="I1034" s="311"/>
      <c r="J1034" s="1058"/>
      <c r="K1034" s="1058"/>
      <c r="L1034" s="1063"/>
      <c r="M1034" s="1058"/>
      <c r="N1034" s="1064"/>
      <c r="P1034" s="891"/>
    </row>
    <row r="1035" spans="1:16" s="930" customFormat="1" ht="18" customHeight="1" x14ac:dyDescent="0.3">
      <c r="A1035" s="839">
        <v>1027</v>
      </c>
      <c r="B1035" s="1051"/>
      <c r="C1035" s="1052"/>
      <c r="D1035" s="266" t="s">
        <v>231</v>
      </c>
      <c r="E1035" s="1066"/>
      <c r="F1035" s="1054"/>
      <c r="G1035" s="1075"/>
      <c r="H1035" s="1056"/>
      <c r="I1035" s="311">
        <f>SUM(J1035:Q1035)</f>
        <v>2500</v>
      </c>
      <c r="J1035" s="1058"/>
      <c r="K1035" s="1058"/>
      <c r="L1035" s="1063">
        <v>2500</v>
      </c>
      <c r="M1035" s="1058"/>
      <c r="N1035" s="1064"/>
      <c r="P1035" s="891"/>
    </row>
    <row r="1036" spans="1:16" s="930" customFormat="1" ht="18" customHeight="1" x14ac:dyDescent="0.3">
      <c r="A1036" s="839">
        <v>1028</v>
      </c>
      <c r="B1036" s="1051"/>
      <c r="C1036" s="1052"/>
      <c r="D1036" s="270" t="s">
        <v>232</v>
      </c>
      <c r="E1036" s="1066"/>
      <c r="F1036" s="1054"/>
      <c r="G1036" s="1075"/>
      <c r="H1036" s="1056"/>
      <c r="I1036" s="272">
        <f>SUM(J1036:Q1036)</f>
        <v>0</v>
      </c>
      <c r="J1036" s="1058"/>
      <c r="K1036" s="1058"/>
      <c r="L1036" s="1062"/>
      <c r="M1036" s="1058"/>
      <c r="N1036" s="1064"/>
      <c r="P1036" s="891"/>
    </row>
    <row r="1037" spans="1:16" s="930" customFormat="1" ht="18" customHeight="1" x14ac:dyDescent="0.3">
      <c r="A1037" s="839">
        <v>1029</v>
      </c>
      <c r="B1037" s="1051"/>
      <c r="C1037" s="1052"/>
      <c r="D1037" s="1074" t="s">
        <v>233</v>
      </c>
      <c r="E1037" s="1066"/>
      <c r="F1037" s="1054"/>
      <c r="G1037" s="1075"/>
      <c r="H1037" s="1056"/>
      <c r="I1037" s="311">
        <f>SUM(J1037:Q1037)</f>
        <v>2500</v>
      </c>
      <c r="J1037" s="1058"/>
      <c r="K1037" s="1058"/>
      <c r="L1037" s="1063">
        <f>SUM(L1035:L1036)</f>
        <v>2500</v>
      </c>
      <c r="M1037" s="1058"/>
      <c r="N1037" s="1064"/>
      <c r="P1037" s="891"/>
    </row>
    <row r="1038" spans="1:16" s="930" customFormat="1" ht="22.5" customHeight="1" x14ac:dyDescent="0.3">
      <c r="A1038" s="839">
        <v>1030</v>
      </c>
      <c r="B1038" s="1051"/>
      <c r="C1038" s="1052">
        <v>174</v>
      </c>
      <c r="D1038" s="1050" t="s">
        <v>753</v>
      </c>
      <c r="E1038" s="1066"/>
      <c r="F1038" s="1054"/>
      <c r="G1038" s="1075"/>
      <c r="H1038" s="1056" t="s">
        <v>296</v>
      </c>
      <c r="I1038" s="311"/>
      <c r="J1038" s="1058"/>
      <c r="K1038" s="1058"/>
      <c r="L1038" s="1063"/>
      <c r="M1038" s="1058"/>
      <c r="N1038" s="1064"/>
      <c r="P1038" s="891"/>
    </row>
    <row r="1039" spans="1:16" s="930" customFormat="1" ht="18" customHeight="1" x14ac:dyDescent="0.3">
      <c r="A1039" s="839">
        <v>1031</v>
      </c>
      <c r="B1039" s="1051"/>
      <c r="C1039" s="1052"/>
      <c r="D1039" s="266" t="s">
        <v>231</v>
      </c>
      <c r="E1039" s="1066"/>
      <c r="F1039" s="1054"/>
      <c r="G1039" s="1075"/>
      <c r="H1039" s="1056"/>
      <c r="I1039" s="311">
        <f>SUM(J1039:Q1039)</f>
        <v>1000</v>
      </c>
      <c r="J1039" s="1058"/>
      <c r="K1039" s="1058"/>
      <c r="L1039" s="1063"/>
      <c r="M1039" s="1058"/>
      <c r="N1039" s="1064">
        <v>1000</v>
      </c>
      <c r="P1039" s="891"/>
    </row>
    <row r="1040" spans="1:16" s="930" customFormat="1" ht="18" customHeight="1" x14ac:dyDescent="0.3">
      <c r="A1040" s="839">
        <v>1032</v>
      </c>
      <c r="B1040" s="1051"/>
      <c r="C1040" s="1052"/>
      <c r="D1040" s="270" t="s">
        <v>232</v>
      </c>
      <c r="E1040" s="1066"/>
      <c r="F1040" s="1054"/>
      <c r="G1040" s="1075"/>
      <c r="H1040" s="1056"/>
      <c r="I1040" s="272">
        <f>SUM(J1040:Q1040)</f>
        <v>0</v>
      </c>
      <c r="J1040" s="1058"/>
      <c r="K1040" s="1058"/>
      <c r="L1040" s="1063"/>
      <c r="M1040" s="1058"/>
      <c r="N1040" s="1070"/>
      <c r="P1040" s="891"/>
    </row>
    <row r="1041" spans="1:16" s="930" customFormat="1" ht="18" customHeight="1" x14ac:dyDescent="0.3">
      <c r="A1041" s="839">
        <v>1033</v>
      </c>
      <c r="B1041" s="1051"/>
      <c r="C1041" s="1052"/>
      <c r="D1041" s="1074" t="s">
        <v>233</v>
      </c>
      <c r="E1041" s="1066"/>
      <c r="F1041" s="1054"/>
      <c r="G1041" s="1075"/>
      <c r="H1041" s="1056"/>
      <c r="I1041" s="311">
        <f>SUM(J1041:Q1041)</f>
        <v>1000</v>
      </c>
      <c r="J1041" s="1058"/>
      <c r="K1041" s="1058"/>
      <c r="L1041" s="1063"/>
      <c r="M1041" s="1058"/>
      <c r="N1041" s="1064">
        <f>SUM(N1039:N1040)</f>
        <v>1000</v>
      </c>
      <c r="P1041" s="891"/>
    </row>
    <row r="1042" spans="1:16" s="930" customFormat="1" ht="22.5" customHeight="1" x14ac:dyDescent="0.3">
      <c r="A1042" s="839">
        <v>1034</v>
      </c>
      <c r="B1042" s="1051"/>
      <c r="C1042" s="1052">
        <v>175</v>
      </c>
      <c r="D1042" s="1050" t="s">
        <v>754</v>
      </c>
      <c r="E1042" s="1066"/>
      <c r="F1042" s="1054"/>
      <c r="G1042" s="1075"/>
      <c r="H1042" s="1056" t="s">
        <v>296</v>
      </c>
      <c r="I1042" s="311"/>
      <c r="J1042" s="1058"/>
      <c r="K1042" s="1058"/>
      <c r="L1042" s="1063"/>
      <c r="M1042" s="1058"/>
      <c r="N1042" s="1064"/>
      <c r="P1042" s="891"/>
    </row>
    <row r="1043" spans="1:16" s="930" customFormat="1" ht="18" customHeight="1" x14ac:dyDescent="0.3">
      <c r="A1043" s="839">
        <v>1035</v>
      </c>
      <c r="B1043" s="1051"/>
      <c r="C1043" s="1052"/>
      <c r="D1043" s="266" t="s">
        <v>231</v>
      </c>
      <c r="E1043" s="1066"/>
      <c r="F1043" s="1054"/>
      <c r="G1043" s="1075"/>
      <c r="H1043" s="1056"/>
      <c r="I1043" s="311">
        <f>SUM(J1043:Q1043)</f>
        <v>10000</v>
      </c>
      <c r="J1043" s="1058"/>
      <c r="K1043" s="1058"/>
      <c r="L1043" s="1063"/>
      <c r="M1043" s="1058"/>
      <c r="N1043" s="1064">
        <v>10000</v>
      </c>
      <c r="P1043" s="891"/>
    </row>
    <row r="1044" spans="1:16" s="930" customFormat="1" ht="18" customHeight="1" x14ac:dyDescent="0.3">
      <c r="A1044" s="839">
        <v>1036</v>
      </c>
      <c r="B1044" s="1051"/>
      <c r="C1044" s="1052"/>
      <c r="D1044" s="270" t="s">
        <v>232</v>
      </c>
      <c r="E1044" s="1066"/>
      <c r="F1044" s="1054"/>
      <c r="G1044" s="1075"/>
      <c r="H1044" s="1056"/>
      <c r="I1044" s="272">
        <f>SUM(J1044:Q1044)</f>
        <v>0</v>
      </c>
      <c r="J1044" s="1058"/>
      <c r="K1044" s="1058"/>
      <c r="L1044" s="1063"/>
      <c r="M1044" s="1058"/>
      <c r="N1044" s="1070"/>
      <c r="P1044" s="891"/>
    </row>
    <row r="1045" spans="1:16" s="930" customFormat="1" ht="18" customHeight="1" x14ac:dyDescent="0.3">
      <c r="A1045" s="839">
        <v>1037</v>
      </c>
      <c r="B1045" s="1051"/>
      <c r="C1045" s="1052"/>
      <c r="D1045" s="1074" t="s">
        <v>233</v>
      </c>
      <c r="E1045" s="1066"/>
      <c r="F1045" s="1054"/>
      <c r="G1045" s="1075"/>
      <c r="H1045" s="1056"/>
      <c r="I1045" s="311">
        <f>SUM(J1045:Q1045)</f>
        <v>10000</v>
      </c>
      <c r="J1045" s="1058"/>
      <c r="K1045" s="1058"/>
      <c r="L1045" s="1063"/>
      <c r="M1045" s="1058"/>
      <c r="N1045" s="1064">
        <f>SUM(N1043:N1044)</f>
        <v>10000</v>
      </c>
      <c r="P1045" s="891"/>
    </row>
    <row r="1046" spans="1:16" s="930" customFormat="1" ht="22.5" customHeight="1" x14ac:dyDescent="0.3">
      <c r="A1046" s="839">
        <v>1038</v>
      </c>
      <c r="B1046" s="1051"/>
      <c r="C1046" s="1052">
        <v>176</v>
      </c>
      <c r="D1046" s="1050" t="s">
        <v>755</v>
      </c>
      <c r="E1046" s="1066"/>
      <c r="F1046" s="1054"/>
      <c r="G1046" s="1075"/>
      <c r="H1046" s="1056" t="s">
        <v>296</v>
      </c>
      <c r="I1046" s="311"/>
      <c r="J1046" s="1058"/>
      <c r="K1046" s="1058"/>
      <c r="L1046" s="1063"/>
      <c r="M1046" s="1058"/>
      <c r="N1046" s="1064"/>
      <c r="P1046" s="891"/>
    </row>
    <row r="1047" spans="1:16" s="930" customFormat="1" ht="18" customHeight="1" x14ac:dyDescent="0.3">
      <c r="A1047" s="839">
        <v>1039</v>
      </c>
      <c r="B1047" s="1051"/>
      <c r="C1047" s="1052"/>
      <c r="D1047" s="266" t="s">
        <v>231</v>
      </c>
      <c r="E1047" s="1066"/>
      <c r="F1047" s="1054"/>
      <c r="G1047" s="1075"/>
      <c r="H1047" s="1056"/>
      <c r="I1047" s="311">
        <f>SUM(J1047:Q1047)</f>
        <v>5060</v>
      </c>
      <c r="J1047" s="1058"/>
      <c r="K1047" s="1058"/>
      <c r="L1047" s="1063"/>
      <c r="M1047" s="1058"/>
      <c r="N1047" s="1064">
        <v>5060</v>
      </c>
      <c r="P1047" s="891"/>
    </row>
    <row r="1048" spans="1:16" s="930" customFormat="1" ht="18" customHeight="1" x14ac:dyDescent="0.3">
      <c r="A1048" s="839">
        <v>1040</v>
      </c>
      <c r="B1048" s="1051"/>
      <c r="C1048" s="1052"/>
      <c r="D1048" s="270" t="s">
        <v>232</v>
      </c>
      <c r="E1048" s="1066"/>
      <c r="F1048" s="1054"/>
      <c r="G1048" s="1075"/>
      <c r="H1048" s="1056"/>
      <c r="I1048" s="272">
        <f>SUM(J1048:Q1048)</f>
        <v>0</v>
      </c>
      <c r="J1048" s="1058"/>
      <c r="K1048" s="1058"/>
      <c r="L1048" s="1063"/>
      <c r="M1048" s="1058"/>
      <c r="N1048" s="1070"/>
      <c r="P1048" s="891"/>
    </row>
    <row r="1049" spans="1:16" s="930" customFormat="1" ht="18" customHeight="1" x14ac:dyDescent="0.3">
      <c r="A1049" s="839">
        <v>1041</v>
      </c>
      <c r="B1049" s="1051"/>
      <c r="C1049" s="1052"/>
      <c r="D1049" s="1074" t="s">
        <v>233</v>
      </c>
      <c r="E1049" s="1066"/>
      <c r="F1049" s="1054"/>
      <c r="G1049" s="1075"/>
      <c r="H1049" s="1056"/>
      <c r="I1049" s="311">
        <f>SUM(J1049:Q1049)</f>
        <v>5060</v>
      </c>
      <c r="J1049" s="1058"/>
      <c r="K1049" s="1058"/>
      <c r="L1049" s="1063"/>
      <c r="M1049" s="1058"/>
      <c r="N1049" s="1064">
        <f>SUM(N1047:N1048)</f>
        <v>5060</v>
      </c>
      <c r="P1049" s="891"/>
    </row>
    <row r="1050" spans="1:16" s="930" customFormat="1" ht="22.5" customHeight="1" x14ac:dyDescent="0.3">
      <c r="A1050" s="839">
        <v>1042</v>
      </c>
      <c r="B1050" s="1004"/>
      <c r="C1050" s="882">
        <v>177</v>
      </c>
      <c r="D1050" s="1050" t="s">
        <v>756</v>
      </c>
      <c r="E1050" s="884"/>
      <c r="F1050" s="920"/>
      <c r="G1050" s="1071"/>
      <c r="H1050" s="1010" t="s">
        <v>296</v>
      </c>
      <c r="I1050" s="268"/>
      <c r="J1050" s="1046"/>
      <c r="K1050" s="1046"/>
      <c r="L1050" s="1072"/>
      <c r="M1050" s="1046"/>
      <c r="N1050" s="1043"/>
      <c r="P1050" s="891"/>
    </row>
    <row r="1051" spans="1:16" s="930" customFormat="1" ht="18" customHeight="1" x14ac:dyDescent="0.3">
      <c r="A1051" s="839">
        <v>1043</v>
      </c>
      <c r="B1051" s="1004"/>
      <c r="C1051" s="882"/>
      <c r="D1051" s="266" t="s">
        <v>231</v>
      </c>
      <c r="E1051" s="884"/>
      <c r="F1051" s="920"/>
      <c r="G1051" s="1071"/>
      <c r="H1051" s="1010"/>
      <c r="I1051" s="311">
        <f>SUM(J1051:Q1051)</f>
        <v>5000</v>
      </c>
      <c r="J1051" s="1046"/>
      <c r="K1051" s="1046"/>
      <c r="L1051" s="1072">
        <v>5000</v>
      </c>
      <c r="M1051" s="1046"/>
      <c r="N1051" s="1064"/>
      <c r="P1051" s="891"/>
    </row>
    <row r="1052" spans="1:16" s="930" customFormat="1" ht="18" customHeight="1" x14ac:dyDescent="0.3">
      <c r="A1052" s="839">
        <v>1044</v>
      </c>
      <c r="B1052" s="1004"/>
      <c r="C1052" s="882"/>
      <c r="D1052" s="270" t="s">
        <v>232</v>
      </c>
      <c r="E1052" s="884"/>
      <c r="F1052" s="920"/>
      <c r="G1052" s="1071"/>
      <c r="H1052" s="1010"/>
      <c r="I1052" s="272">
        <f>SUM(J1052:Q1052)</f>
        <v>0</v>
      </c>
      <c r="J1052" s="1046"/>
      <c r="K1052" s="1046"/>
      <c r="L1052" s="1073"/>
      <c r="M1052" s="1046"/>
      <c r="N1052" s="1070"/>
      <c r="P1052" s="891"/>
    </row>
    <row r="1053" spans="1:16" s="930" customFormat="1" ht="18" customHeight="1" x14ac:dyDescent="0.3">
      <c r="A1053" s="839">
        <v>1045</v>
      </c>
      <c r="B1053" s="1004"/>
      <c r="C1053" s="882"/>
      <c r="D1053" s="1074" t="s">
        <v>233</v>
      </c>
      <c r="E1053" s="884"/>
      <c r="F1053" s="920"/>
      <c r="G1053" s="1071"/>
      <c r="H1053" s="1010"/>
      <c r="I1053" s="311">
        <f>SUM(J1053:Q1053)</f>
        <v>5000</v>
      </c>
      <c r="J1053" s="1046"/>
      <c r="K1053" s="1046"/>
      <c r="L1053" s="1072">
        <f>SUM(L1051:L1052)</f>
        <v>5000</v>
      </c>
      <c r="M1053" s="1046"/>
      <c r="N1053" s="1064"/>
      <c r="P1053" s="891"/>
    </row>
    <row r="1054" spans="1:16" s="930" customFormat="1" ht="22.5" customHeight="1" x14ac:dyDescent="0.3">
      <c r="A1054" s="839">
        <v>1046</v>
      </c>
      <c r="B1054" s="1004"/>
      <c r="C1054" s="882">
        <v>178</v>
      </c>
      <c r="D1054" s="1050" t="s">
        <v>757</v>
      </c>
      <c r="E1054" s="884"/>
      <c r="F1054" s="920"/>
      <c r="G1054" s="1071"/>
      <c r="H1054" s="1010" t="s">
        <v>296</v>
      </c>
      <c r="I1054" s="311"/>
      <c r="J1054" s="1046"/>
      <c r="K1054" s="1046"/>
      <c r="L1054" s="1072"/>
      <c r="M1054" s="1046"/>
      <c r="N1054" s="1064"/>
      <c r="P1054" s="891"/>
    </row>
    <row r="1055" spans="1:16" s="930" customFormat="1" ht="18" customHeight="1" x14ac:dyDescent="0.3">
      <c r="A1055" s="839">
        <v>1047</v>
      </c>
      <c r="B1055" s="1004"/>
      <c r="C1055" s="882"/>
      <c r="D1055" s="266" t="s">
        <v>231</v>
      </c>
      <c r="E1055" s="884"/>
      <c r="F1055" s="920"/>
      <c r="G1055" s="1071"/>
      <c r="H1055" s="1010"/>
      <c r="I1055" s="311">
        <f>SUM(J1055:Q1055)</f>
        <v>200</v>
      </c>
      <c r="J1055" s="1046"/>
      <c r="K1055" s="1046"/>
      <c r="L1055" s="1072"/>
      <c r="M1055" s="1046"/>
      <c r="N1055" s="1064">
        <v>200</v>
      </c>
      <c r="P1055" s="891"/>
    </row>
    <row r="1056" spans="1:16" s="930" customFormat="1" ht="18" customHeight="1" x14ac:dyDescent="0.3">
      <c r="A1056" s="839">
        <v>1048</v>
      </c>
      <c r="B1056" s="1004"/>
      <c r="C1056" s="882"/>
      <c r="D1056" s="270" t="s">
        <v>232</v>
      </c>
      <c r="E1056" s="884"/>
      <c r="F1056" s="920"/>
      <c r="G1056" s="1071"/>
      <c r="H1056" s="1010"/>
      <c r="I1056" s="272">
        <f>SUM(J1056:Q1056)</f>
        <v>0</v>
      </c>
      <c r="J1056" s="1046"/>
      <c r="K1056" s="1046"/>
      <c r="L1056" s="1072"/>
      <c r="M1056" s="1046"/>
      <c r="N1056" s="1070"/>
      <c r="P1056" s="891"/>
    </row>
    <row r="1057" spans="1:16" s="930" customFormat="1" ht="18" customHeight="1" x14ac:dyDescent="0.3">
      <c r="A1057" s="839">
        <v>1049</v>
      </c>
      <c r="B1057" s="1051"/>
      <c r="C1057" s="1052"/>
      <c r="D1057" s="1065" t="s">
        <v>233</v>
      </c>
      <c r="E1057" s="1066"/>
      <c r="F1057" s="1054"/>
      <c r="G1057" s="1075"/>
      <c r="H1057" s="1056"/>
      <c r="I1057" s="311">
        <f>SUM(J1057:Q1057)</f>
        <v>200</v>
      </c>
      <c r="J1057" s="1058"/>
      <c r="K1057" s="1058"/>
      <c r="L1057" s="1063"/>
      <c r="M1057" s="1058"/>
      <c r="N1057" s="1064">
        <f>SUM(N1055:N1056)</f>
        <v>200</v>
      </c>
      <c r="P1057" s="891"/>
    </row>
    <row r="1058" spans="1:16" s="930" customFormat="1" ht="22.5" customHeight="1" x14ac:dyDescent="0.3">
      <c r="A1058" s="839">
        <v>1050</v>
      </c>
      <c r="B1058" s="1051"/>
      <c r="C1058" s="1052">
        <v>179</v>
      </c>
      <c r="D1058" s="1074" t="s">
        <v>19</v>
      </c>
      <c r="E1058" s="1066"/>
      <c r="F1058" s="1054"/>
      <c r="G1058" s="1075"/>
      <c r="H1058" s="1056" t="s">
        <v>296</v>
      </c>
      <c r="I1058" s="311"/>
      <c r="J1058" s="1058"/>
      <c r="K1058" s="1058"/>
      <c r="L1058" s="1063"/>
      <c r="M1058" s="1058"/>
      <c r="N1058" s="1064"/>
      <c r="P1058" s="891"/>
    </row>
    <row r="1059" spans="1:16" s="930" customFormat="1" ht="18" customHeight="1" x14ac:dyDescent="0.3">
      <c r="A1059" s="839">
        <v>1051</v>
      </c>
      <c r="B1059" s="1004"/>
      <c r="C1059" s="882"/>
      <c r="D1059" s="270" t="s">
        <v>287</v>
      </c>
      <c r="E1059" s="884"/>
      <c r="F1059" s="920"/>
      <c r="G1059" s="1071"/>
      <c r="H1059" s="1010"/>
      <c r="I1059" s="272">
        <f>SUM(J1059:Q1059)</f>
        <v>25945</v>
      </c>
      <c r="J1059" s="1046"/>
      <c r="K1059" s="1046"/>
      <c r="L1059" s="1073">
        <v>25945</v>
      </c>
      <c r="M1059" s="1046"/>
      <c r="N1059" s="1070"/>
      <c r="P1059" s="891"/>
    </row>
    <row r="1060" spans="1:16" s="930" customFormat="1" ht="18" customHeight="1" x14ac:dyDescent="0.3">
      <c r="A1060" s="839">
        <v>1052</v>
      </c>
      <c r="B1060" s="1004"/>
      <c r="C1060" s="882"/>
      <c r="D1060" s="1065" t="s">
        <v>233</v>
      </c>
      <c r="E1060" s="884"/>
      <c r="F1060" s="920"/>
      <c r="G1060" s="1071"/>
      <c r="H1060" s="1010"/>
      <c r="I1060" s="311">
        <f>SUM(J1060:Q1060)</f>
        <v>25945</v>
      </c>
      <c r="J1060" s="1046"/>
      <c r="K1060" s="1046"/>
      <c r="L1060" s="1072">
        <f>SUM(L1059)</f>
        <v>25945</v>
      </c>
      <c r="M1060" s="1046"/>
      <c r="N1060" s="1064"/>
      <c r="P1060" s="891"/>
    </row>
    <row r="1061" spans="1:16" s="930" customFormat="1" ht="22.5" customHeight="1" x14ac:dyDescent="0.3">
      <c r="A1061" s="839">
        <v>1053</v>
      </c>
      <c r="B1061" s="1051"/>
      <c r="C1061" s="1052">
        <v>180</v>
      </c>
      <c r="D1061" s="1074" t="s">
        <v>758</v>
      </c>
      <c r="E1061" s="1066"/>
      <c r="F1061" s="1054"/>
      <c r="G1061" s="1075"/>
      <c r="H1061" s="1056" t="s">
        <v>296</v>
      </c>
      <c r="I1061" s="311"/>
      <c r="J1061" s="1058"/>
      <c r="K1061" s="1058"/>
      <c r="L1061" s="1063"/>
      <c r="M1061" s="1058"/>
      <c r="N1061" s="1064"/>
      <c r="P1061" s="891"/>
    </row>
    <row r="1062" spans="1:16" s="930" customFormat="1" ht="18" customHeight="1" x14ac:dyDescent="0.3">
      <c r="A1062" s="839">
        <v>1054</v>
      </c>
      <c r="B1062" s="1051"/>
      <c r="C1062" s="1052"/>
      <c r="D1062" s="270" t="s">
        <v>759</v>
      </c>
      <c r="E1062" s="1066"/>
      <c r="F1062" s="1054"/>
      <c r="G1062" s="1075"/>
      <c r="H1062" s="1056"/>
      <c r="I1062" s="272">
        <f>SUM(J1062:Q1062)</f>
        <v>31000</v>
      </c>
      <c r="J1062" s="1058"/>
      <c r="K1062" s="1058"/>
      <c r="L1062" s="1062">
        <v>31000</v>
      </c>
      <c r="M1062" s="1058"/>
      <c r="N1062" s="1064"/>
      <c r="P1062" s="891"/>
    </row>
    <row r="1063" spans="1:16" s="930" customFormat="1" ht="18" customHeight="1" x14ac:dyDescent="0.3">
      <c r="A1063" s="839">
        <v>1055</v>
      </c>
      <c r="B1063" s="1076"/>
      <c r="C1063" s="1077"/>
      <c r="D1063" s="528" t="s">
        <v>233</v>
      </c>
      <c r="E1063" s="1078"/>
      <c r="F1063" s="1079"/>
      <c r="G1063" s="1080"/>
      <c r="H1063" s="1081"/>
      <c r="I1063" s="392">
        <f>SUM(J1063:Q1063)</f>
        <v>31000</v>
      </c>
      <c r="J1063" s="1082"/>
      <c r="K1063" s="1082"/>
      <c r="L1063" s="1083">
        <f>SUM(L1062)</f>
        <v>31000</v>
      </c>
      <c r="M1063" s="1082"/>
      <c r="N1063" s="1084"/>
      <c r="P1063" s="891"/>
    </row>
    <row r="1064" spans="1:16" s="930" customFormat="1" ht="27" customHeight="1" x14ac:dyDescent="0.3">
      <c r="A1064" s="839">
        <v>1056</v>
      </c>
      <c r="B1064" s="1085"/>
      <c r="C1064" s="873"/>
      <c r="D1064" s="1982" t="s">
        <v>278</v>
      </c>
      <c r="E1064" s="1982"/>
      <c r="F1064" s="1982"/>
      <c r="G1064" s="1982"/>
      <c r="H1064" s="851"/>
      <c r="I1064" s="899"/>
      <c r="J1064" s="1086"/>
      <c r="K1064" s="1086"/>
      <c r="L1064" s="1087"/>
      <c r="M1064" s="1086"/>
      <c r="N1064" s="1088"/>
      <c r="P1064" s="891"/>
    </row>
    <row r="1065" spans="1:16" s="847" customFormat="1" ht="19.5" customHeight="1" x14ac:dyDescent="0.35">
      <c r="A1065" s="839">
        <v>1057</v>
      </c>
      <c r="B1065" s="1089"/>
      <c r="C1065" s="1090"/>
      <c r="D1065" s="1091" t="s">
        <v>230</v>
      </c>
      <c r="E1065" s="1092"/>
      <c r="F1065" s="1092"/>
      <c r="G1065" s="1093"/>
      <c r="H1065" s="1094"/>
      <c r="I1065" s="887">
        <f>SUM(J1065:N1065)</f>
        <v>13911764</v>
      </c>
      <c r="J1065" s="307">
        <f>J990+J985+J980+J975+J970+J965+J960+J955+J950+J945+J940+J935+J930+J925+J920+J915+J910+J902+J895+J888+J883+J876+J869+J864+J858+J853+J848+J842+J805+J800+J795+J790+J785+J780+J775+J770+J765+J760+J755+J750+J745+J740+J735+J730+J725+J720+J715+J709+J704+J699+J694+J689+J683+J678+J673+J668+J662+J657+J652+J647+J642+J637+J632+J627+J622+J617+J611+J606+J601+J596+J591+J586+J581+J576+J571+J566+J561+J556+J551+J545+J540+J534+J529+J524+J517+J512+J507+J501+J496+J491+J486+J430+J425+J420+J414+J380+J350+J345+J340+J335+J330+J324+J319+J308+J303+J297+J292+J287+J252+J246+J241+J236+J231+J169+J164+J159+J154+J149+J90+J36+J31+J26+J21+J16+J11+J810</f>
        <v>317699</v>
      </c>
      <c r="K1065" s="307">
        <f>K990+K985+K980+K975+K970+K965+K960+K955+K950+K945+K940+K935+K930+K925+K920+K915+K910+K902+K895+K888+K883+K876+K869+K864+K858+K853+K848+K842+K805+K800+K795+K790+K785+K780+K775+K770+K765+K760+K755+K750+K745+K740+K735+K730+K725+K720+K715+K709+K704+K699+K694+K689+K683+K678+K673+K668+K662+K657+K652+K647+K642+K637+K632+K627+K622+K617+K611+K606+K601+K596+K591+K586+K581+K576+K571+K566+K561+K556+K551+K545+K540+K534+K529+K524+K517+K512+K507+K501+K496+K491+K486+K430+K425+K420+K414+K380+K350+K345+K340+K335+K330+K324+K319+K308+K303+K297+K292+K287+K252+K246+K241+K236+K231+K169+K164+K159+K154+K149+K90+K36+K31+K26+K21+K16+K11+K810</f>
        <v>61663</v>
      </c>
      <c r="L1065" s="307">
        <f>L990+L985+L980+L975+L970+L965+L960+L955+L950+L945+L940+L935+L930+L925+L920+L915+L910+L902+L895+L888+L883+L876+L869+L864+L858+L853+L848+L842+L805+L800+L795+L790+L785+L780+L775+L770+L765+L760+L755+L750+L745+L740+L735+L730+L725+L720+L715+L709+L704+L699+L694+L689+L683+L678+L673+L668+L662+L657+L652+L647+L642+L637+L632+L627+L622+L617+L611+L606+L601+L596+L591+L586+L581+L576+L571+L566+L561+L556+L551+L545+L540+L534+L529+L524+L517+L512+L507+L501+L496+L491+L486+L430+L425+L420+L414+L380+L350+L345+L340+L335+L330+L324+L319+L308+L303+L297+L292+L287+L252+L246+L241+L236+L231+L169+L164+L159+L154+L149+L90+L36+L31+L26+L21+L16+L11+L810</f>
        <v>4343904</v>
      </c>
      <c r="M1065" s="307">
        <f>M990+M985+M980+M975+M970+M965+M960+M955+M950+M945+M940+M935+M930+M925+M920+M915+M910+M902+M895+M888+M883+M876+M869+M864+M858+M853+M848+M842+M805+M800+M795+M790+M785+M780+M775+M770+M765+M760+M755+M750+M745+M740+M735+M730+M725+M720+M715+M709+M704+M699+M694+M689+M683+M678+M673+M668+M662+M657+M652+M647+M642+M637+M632+M627+M622+M617+M611+M606+M601+M596+M591+M586+M581+M576+M571+M566+M561+M556+M551+M545+M540+M534+M529+M524+M517+M512+M507+M501+M496+M491+M486+M430+M425+M420+M414+M380+M350+M345+M340+M335+M330+M324+M319+M308+M303+M297+M292+M287+M252+M246+M241+M236+M231+M169+M164+M159+M154+M149+M90+M36+M31+M26+M21+M16+M11+M810</f>
        <v>56795</v>
      </c>
      <c r="N1065" s="1095">
        <f>N990+N985+N980+N975+N970+N965+N960+N955+N950+N945+N940+N935+N930+N925+N920+N915+N910+N902+N895+N888+N883+N876+N869+N864+N858+N853+N848+N842+N805+N800+N795+N790+N785+N780+N775+N770+N765+N760+N755+N750+N745+N740+N735+N730+N725+N720+N715+N709+N704+N699+N694+N689+N683+N678+N673+N668+N662+N657+N652+N647+N642+N637+N632+N627+N622+N617+N611+N606+N601+N596+N591+N586+N581+N576+N571+N566+N561+N556+N551+N545+N540+N534+N529+N524+N517+N512+N507+N501+N496+N491+N486+N430+N425+N420+N414+N380+N350+N345+N340+N335+N330+N324+N319+N308+N303+N297+N292+N287+N252+N246+N241+N236+N231+N169+N164+N159+N154+N149+N90+N36+N31+N26+N21+N16+N11+N810</f>
        <v>9131703</v>
      </c>
      <c r="O1065" s="848"/>
      <c r="P1065" s="891"/>
    </row>
    <row r="1066" spans="1:16" s="847" customFormat="1" ht="19.5" customHeight="1" x14ac:dyDescent="0.35">
      <c r="A1066" s="839">
        <v>1058</v>
      </c>
      <c r="B1066" s="1089"/>
      <c r="C1066" s="1090"/>
      <c r="D1066" s="384" t="s">
        <v>231</v>
      </c>
      <c r="E1066" s="1092"/>
      <c r="F1066" s="1092"/>
      <c r="G1066" s="1093"/>
      <c r="H1066" s="1094"/>
      <c r="I1066" s="878">
        <f>SUM(J1066:N1066)</f>
        <v>16035365</v>
      </c>
      <c r="J1066" s="310">
        <f>J991+J986+J981+J976+J971+J966+J961+J956+J951+J946+J941+J936+J931+J926+J921+J916+J911+J903+J896+J889+J884+J877+J870+J865+J859+J854+J849+J843+J806+J801+J796+J791+J786+J781+J776+J771+J766+J761+J756+J751+J746+J741+J736+J731+J726+J721+J716+J710+J705+J700+J695+J690+J684+J679+J674+J669+J663+J658+J653+J648+J643+J638+J633+J628+J623+J618+J612+J607+J602+J597+J592+J587+J582+J577+J572+J567+J562+J557+J552+J546+J541+J535+J530+J525+J518+J513+J508+J502+J497+J492+J487+J431+J426+J421+J415+J381+J351+J346+J341+J336+J331+J325+J320+J309+J304+J298+J293+J288+J253+J247+J242+J237+J232+J170+J165+J160+J155+J150+J91+J37+J32+J27+J22+J17+J12+J811+J995+J999+J1003+J1007+J1011+J313+J1027+J1023+J1019+J1015+J1047+J1043+J1039+J1035+J1031+J1051+J1055</f>
        <v>325068</v>
      </c>
      <c r="K1066" s="310">
        <f>K991+K986+K981+K976+K971+K966+K961+K956+K951+K946+K941+K936+K931+K926+K921+K916+K911+K903+K896+K889+K884+K877+K870+K865+K859+K854+K849+K843+K806+K801+K796+K791+K786+K781+K776+K771+K766+K761+K756+K751+K746+K741+K736+K731+K726+K721+K716+K710+K705+K700+K695+K690+K684+K679+K674+K669+K663+K658+K653+K648+K643+K638+K633+K628+K623+K618+K612+K607+K602+K597+K592+K587+K582+K577+K572+K567+K562+K557+K552+K546+K541+K535+K530+K525+K518+K513+K508+K502+K497+K492+K487+K431+K426+K421+K415+K381+K351+K346+K341+K336+K331+K325+K320+K309+K304+K298+K293+K288+K253+K247+K242+K237+K232+K170+K165+K160+K155+K150+K91+K37+K32+K27+K22+K17+K12+K811+K995+K999+K1003+K1007+K1011+K313+K1027+K1023+K1019+K1015+K1047+K1043+K1039+K1035+K1031+K1051+K1055</f>
        <v>64270</v>
      </c>
      <c r="L1066" s="310">
        <f>L991+L986+L981+L976+L971+L966+L961+L956+L951+L946+L941+L936+L931+L926+L921+L916+L911+L903+L896+L889+L884+L877+L870+L865+L859+L854+L849+L843+L806+L801+L796+L791+L786+L781+L776+L771+L766+L761+L756+L751+L746+L741+L736+L731+L726+L721+L716+L710+L705+L700+L695+L690+L684+L679+L674+L669+L663+L658+L653+L648+L643+L638+L633+L628+L623+L618+L612+L607+L602+L597+L592+L587+L582+L577+L572+L567+L562+L557+L552+L546+L541+L535+L530+L525+L518+L513+L508+L502+L497+L492+L487+L431+L426+L421+L415+L381+L351+L346+L341+L336+L331+L325+L320+L309+L304+L298+L293+L288+L253+L247+L242+L237+L232+L170+L165+L160+L155+L150+L91+L37+L32+L27+L22+L17+L12+L811+L995+L999+L1003+L1007+L1011+L313+L1027+L1023+L1019+L1015+L1047+L1043+L1039+L1035+L1031+L1051+L1055</f>
        <v>5413924</v>
      </c>
      <c r="M1066" s="310">
        <f>M991+M986+M981+M976+M971+M966+M961+M956+M951+M946+M941+M936+M931+M926+M921+M916+M911+M903+M896+M889+M884+M877+M870+M865+M859+M854+M849+M843+M806+M801+M796+M791+M786+M781+M776+M771+M766+M761+M756+M751+M746+M741+M736+M731+M726+M721+M716+M710+M705+M700+M695+M690+M684+M679+M674+M669+M663+M658+M653+M648+M643+M638+M633+M628+M623+M618+M612+M607+M602+M597+M592+M587+M582+M577+M572+M567+M562+M557+M552+M546+M541+M535+M530+M525+M518+M513+M508+M502+M497+M492+M487+M431+M426+M421+M415+M381+M351+M346+M341+M336+M331+M325+M320+M309+M304+M298+M293+M288+M253+M247+M242+M237+M232+M170+M165+M160+M155+M150+M91+M37+M32+M27+M22+M17+M12+M811+M995+M999+M1003+M1007+M1011+M313+M1027+M1023+M1019+M1015+M1047+M1043+M1039+M1035+M1031+M1051+M1055</f>
        <v>57126</v>
      </c>
      <c r="N1066" s="1096">
        <f>N991+N986+N981+N976+N971+N966+N961+N956+N951+N946+N941+N936+N931+N926+N921+N916+N911+N903+N896+N889+N884+N877+N870+N865+N859+N854+N849+N843+N806+N801+N796+N791+N786+N781+N776+N771+N766+N761+N756+N751+N746+N741+N736+N731+N726+N721+N716+N710+N705+N700+N695+N690+N684+N679+N674+N669+N663+N658+N653+N648+N643+N638+N633+N628+N623+N618+N612+N607+N602+N597+N592+N587+N582+N577+N572+N567+N562+N557+N552+N546+N541+N535+N530+N525+N518+N513+N508+N502+N497+N492+N487+N431+N426+N421+N415+N381+N351+N346+N341+N336+N331+N325+N320+N309+N304+N298+N293+N288+N253+N247+N242+N237+N232+N170+N165+N160+N155+N150+N91+N37+N32+N27+N22+N17+N12+N811+N995+N999+N1003+N1007+N1011+N313+N1027+N1023+N1019+N1015+N1047+N1043+N1039+N1035+N1031+N1051+N1055</f>
        <v>10174977</v>
      </c>
      <c r="O1066" s="848"/>
      <c r="P1066" s="891"/>
    </row>
    <row r="1067" spans="1:16" s="847" customFormat="1" ht="19.5" customHeight="1" x14ac:dyDescent="0.35">
      <c r="A1067" s="839">
        <v>1059</v>
      </c>
      <c r="B1067" s="971"/>
      <c r="C1067" s="1097"/>
      <c r="D1067" s="1016" t="s">
        <v>245</v>
      </c>
      <c r="E1067" s="1098"/>
      <c r="F1067" s="1098"/>
      <c r="G1067" s="1099"/>
      <c r="H1067" s="886"/>
      <c r="I1067" s="272">
        <f>SUM(J1067:Q1067)</f>
        <v>-487752</v>
      </c>
      <c r="J1067" s="272">
        <f>J992+J987+J982+J977+J972+J967+J962+J957+J952+J947+J942+J937+J932+J927+J922+J917+J912+J904+J897+J890+J885+J878+J871+J866+J860+J855+J850+J844+J807+J802+J797+J792+J787+J782+J777+J772+J767+J762+J757+J752+J747+J742+J737+J732+J727+J722+J717+J711+J706+J701+J696+J691+J685+J680+J675+J670+J664+J659+J654+J649+J644+J639+J634+J629+J624+J619+J613+J608+J603+J598+J593+J588+J583+J578+J573+J568+J563+J558+J553+J547+J542+J536+J531+J526+J519+J514+J509+J503+J498+J493+J488+J432+J427+J422+J416+J382+J352+J347+J342+J337+J332+J326+J321+J310+J305+J299+J294+J289+J254+J248+J243+J238+J233+J171+J166+J161+J156+J151+J92+J38+J33+J28+J23+J18+J13+J812+J520+J314+J996+J1000+J1004+J1008+J1012+J1016+J1020+J1024+J1028+J1032+J1036+J1048+J1044+J1040+J1052+J1056+J1059+J1062</f>
        <v>2582</v>
      </c>
      <c r="K1067" s="272">
        <f>K992+K987+K982+K977+K972+K967+K962+K957+K952+K947+K942+K937+K932+K927+K922+K917+K912+K904+K897+K890+K885+K878+K871+K866+K860+K855+K850+K844+K807+K802+K797+K792+K787+K782+K777+K772+K767+K762+K757+K752+K747+K742+K737+K732+K727+K722+K717+K711+K706+K701+K696+K691+K685+K680+K675+K670+K664+K659+K654+K649+K644+K639+K634+K629+K624+K619+K613+K608+K603+K598+K593+K588+K583+K578+K573+K568+K563+K558+K553+K547+K542+K536+K531+K526+K519+K514+K509+K503+K498+K493+K488+K432+K427+K422+K416+K382+K352+K347+K342+K337+K332+K326+K321+K310+K305+K299+K294+K289+K254+K248+K243+K238+K233+K171+K166+K161+K156+K151+K92+K38+K33+K28+K23+K18+K13+K812+K520+K314+K996+K1000+K1004+K1008+K1012+K1016+K1020+K1024+K1028+K1032+K1036+K1048+K1044+K1040+K1052+K1056+K1059+K1062</f>
        <v>248</v>
      </c>
      <c r="L1067" s="272">
        <f>L992+L987+L982+L977+L972+L967+L962+L957+L952+L947+L942+L937+L932+L927+L922+L917+L912+L904+L897+L890+L885+L878+L871+L866+L860+L855+L850+L844+L807+L802+L797+L792+L787+L782+L777+L772+L767+L762+L757+L752+L747+L742+L737+L732+L727+L722+L717+L711+L706+L701+L696+L691+L685+L680+L675+L670+L664+L659+L654+L649+L644+L639+L634+L629+L624+L619+L613+L608+L603+L598+L593+L588+L583+L578+L573+L568+L563+L558+L553+L547+L542+L536+L531+L526+L519+L514+L509+L503+L498+L493+L488+L432+L427+L422+L416+L382+L352+L347+L342+L337+L332+L326+L321+L310+L305+L299+L294+L289+L254+L248+L243+L238+L233+L171+L166+L161+L156+L151+L92+L38+L33+L28+L23+L18+L13+L812+L520+L314+L996+L1000+L1004+L1008+L1012+L1016+L1020+L1024+L1028+L1032+L1036+L1048+L1044+L1040+L1052+L1056+L1059+L1062</f>
        <v>-635515</v>
      </c>
      <c r="M1067" s="272">
        <f>M992+M987+M982+M977+M972+M967+M962+M957+M952+M947+M942+M937+M932+M927+M922+M917+M912+M904+M897+M890+M885+M878+M871+M866+M860+M855+M850+M844+M807+M802+M797+M792+M787+M782+M777+M772+M767+M762+M757+M752+M747+M742+M737+M732+M727+M722+M717+M711+M706+M701+M696+M691+M685+M680+M675+M670+M664+M659+M654+M649+M644+M639+M634+M629+M624+M619+M613+M608+M603+M598+M593+M588+M583+M578+M573+M568+M563+M558+M553+M547+M542+M536+M531+M526+M519+M514+M509+M503+M498+M493+M488+M432+M427+M422+M416+M382+M352+M347+M342+M337+M332+M326+M321+M310+M305+M299+M294+M289+M254+M248+M243+M238+M233+M171+M166+M161+M156+M151+M92+M38+M33+M28+M23+M18+M13+M812+M520+M314+M996+M1000+M1004+M1008+M1012+M1016+M1020+M1024+M1028+M1032+M1036+M1048+M1044+M1040+M1052+M1056+M1059+M1062</f>
        <v>0</v>
      </c>
      <c r="N1067" s="255">
        <f>N992+N987+N982+N977+N972+N967+N962+N957+N952+N947+N942+N937+N932+N927+N922+N917+N912+N904+N897+N890+N885+N878+N871+N866+N860+N855+N850+N844+N807+N802+N797+N792+N787+N782+N777+N772+N767+N762+N757+N752+N747+N742+N737+N732+N727+N722+N717+N711+N706+N701+N696+N691+N685+N680+N675+N670+N664+N659+N654+N649+N644+N639+N634+N629+N624+N619+N613+N608+N603+N598+N593+N588+N583+N578+N573+N568+N563+N558+N553+N547+N542+N536+N531+N526+N519+N514+N509+N503+N498+N493+N488+N432+N427+N422+N416+N382+N352+N347+N342+N337+N332+N326+N321+N310+N305+N299+N294+N289+N254+N248+N243+N238+N233+N171+N166+N161+N156+N151+N92+N38+N33+N28+N23+N18+N13+N812+N520+N314+N996+N1000+N1004+N1008+N1012+N1016+N1020+N1024+N1028+N1032+N1036+N1048+N1044+N1040+N1052+N1056+N1059+N1062</f>
        <v>144933</v>
      </c>
      <c r="O1067" s="848"/>
      <c r="P1067" s="891"/>
    </row>
    <row r="1068" spans="1:16" s="847" customFormat="1" ht="19.5" customHeight="1" x14ac:dyDescent="0.35">
      <c r="A1068" s="839">
        <v>1060</v>
      </c>
      <c r="B1068" s="1100"/>
      <c r="C1068" s="1101"/>
      <c r="D1068" s="1065" t="s">
        <v>233</v>
      </c>
      <c r="E1068" s="1102"/>
      <c r="F1068" s="1102"/>
      <c r="G1068" s="1103"/>
      <c r="H1068" s="1104"/>
      <c r="I1068" s="311">
        <f>SUM(J1068:Q1068)</f>
        <v>15547613</v>
      </c>
      <c r="J1068" s="1105">
        <f>SUM(J1066:J1067)</f>
        <v>327650</v>
      </c>
      <c r="K1068" s="1105">
        <f>SUM(K1066:K1067)</f>
        <v>64518</v>
      </c>
      <c r="L1068" s="1105">
        <f>SUM(L1066:L1067)</f>
        <v>4778409</v>
      </c>
      <c r="M1068" s="1105">
        <f>SUM(M1066:M1067)</f>
        <v>57126</v>
      </c>
      <c r="N1068" s="367">
        <f>SUM(N1066:N1067)</f>
        <v>10319910</v>
      </c>
      <c r="O1068" s="848"/>
      <c r="P1068" s="891"/>
    </row>
    <row r="1069" spans="1:16" s="847" customFormat="1" ht="21.75" customHeight="1" x14ac:dyDescent="0.35">
      <c r="A1069" s="839">
        <v>1061</v>
      </c>
      <c r="B1069" s="1106"/>
      <c r="C1069" s="1107"/>
      <c r="D1069" s="1108" t="s">
        <v>760</v>
      </c>
      <c r="E1069" s="1109"/>
      <c r="F1069" s="1109"/>
      <c r="G1069" s="1110"/>
      <c r="H1069" s="1111"/>
      <c r="I1069" s="1112"/>
      <c r="J1069" s="1113"/>
      <c r="K1069" s="1113"/>
      <c r="L1069" s="1113"/>
      <c r="M1069" s="1113"/>
      <c r="N1069" s="1114"/>
      <c r="O1069" s="848"/>
      <c r="P1069" s="891"/>
    </row>
    <row r="1070" spans="1:16" s="847" customFormat="1" ht="18" customHeight="1" x14ac:dyDescent="0.35">
      <c r="A1070" s="839">
        <v>1062</v>
      </c>
      <c r="B1070" s="1115"/>
      <c r="C1070" s="1116"/>
      <c r="D1070" s="1041" t="s">
        <v>230</v>
      </c>
      <c r="E1070" s="1117"/>
      <c r="F1070" s="1117"/>
      <c r="G1070" s="1118"/>
      <c r="H1070" s="1119"/>
      <c r="I1070" s="574">
        <f>SUM(J1070:N1070)</f>
        <v>11088657</v>
      </c>
      <c r="J1070" s="896">
        <f>J810+J805+J800+J795+J785+J780+J775+J770+J765+J760+J755+J745+J750+J740+J735+J730+J725+J709+J720+J715+J704+J699+J694+J689+J678+J673+J668+J662+J657+J652+J642+J586+J576+J571+J566+J561+J551+J517+J512+J507+J491+J486+J435+J425+J420+J335+J330+J324+J319+J71+J61+J46+J11+J920</f>
        <v>295509</v>
      </c>
      <c r="K1070" s="896">
        <f>K810+K805+K800+K795+K785+K780+K775+K770+K765+K760+K755+K745+K750+K740+K735+K730+K725+K709+K720+K715+K704+K699+K694+K689+K678+K673+K668+K662+K657+K652+K642+K586+K576+K571+K566+K561+K551+K517+K512+K507+K491+K486+K435+K425+K420+K335+K330+K324+K319+K71+K61+K46+K11+K920</f>
        <v>54357</v>
      </c>
      <c r="L1070" s="896">
        <f>L810+L805+L800+L795+L785+L780+L775+L770+L765+L760+L755+L745+L750+L740+L735+L730+L725+L709+L720+L715+L704+L699+L694+L689+L678+L673+L668+L662+L657+L652+L642+L586+L576+L571+L566+L561+L551+L517+L512+L507+L491+L486+L435+L425+L420+L335+L330+L324+L319+L71+L61+L46+L11+L920</f>
        <v>2630212</v>
      </c>
      <c r="M1070" s="896">
        <f>M810+M805+M800+M795+M785+M780+M775+M770+M765+M760+M755+M745+M750+M740+M735+M730+M725+M709+M720+M715+M704+M699+M694+M689+M678+M673+M668+M662+M657+M652+M642+M586+M576+M571+M566+M561+M551+M517+M512+M507+M491+M486+M435+M425+M420+M335+M330+M324+M319+M71+M61+M46+M11+M920</f>
        <v>10185</v>
      </c>
      <c r="N1070" s="893">
        <f>N810+N805+N800+N795+N785+N780+N775+N770+N765+N760+N755+N745+N750+N740+N735+N730+N725+N709+N720+N715+N704+N699+N694+N689+N678+N673+N668+N662+N657+N652+N642+N586+N576+N571+N566+N561+N551+N517+N512+N507+N491+N486+N435+N425+N420+N335+N330+N324+N319+N71+N61+N46+N11+N920</f>
        <v>8098394</v>
      </c>
      <c r="O1070" s="1120"/>
      <c r="P1070" s="891"/>
    </row>
    <row r="1071" spans="1:16" s="847" customFormat="1" ht="18" customHeight="1" x14ac:dyDescent="0.35">
      <c r="A1071" s="839">
        <v>1063</v>
      </c>
      <c r="B1071" s="1115"/>
      <c r="C1071" s="1116"/>
      <c r="D1071" s="266" t="s">
        <v>231</v>
      </c>
      <c r="E1071" s="1117"/>
      <c r="F1071" s="1117"/>
      <c r="G1071" s="1118"/>
      <c r="H1071" s="1119"/>
      <c r="I1071" s="435">
        <f>SUM(J1071:N1071)</f>
        <v>13299208</v>
      </c>
      <c r="J1071" s="879">
        <f>J811+J806+J801+J796+J786+J781+J776+J771+J766+J761+J756+J746+J751+J741+J736+J731+J726+J710+J721+J716+J705+J700+J695+J690+J679+J674+J669+J663+J658+J653+J643+J587+J577+J572+J567+J562+J552+J518+J513+J508+J492+J487+J436+J426+J421+J336+J331+J325+J320+J72+J62+J47+J12+J921</f>
        <v>296205</v>
      </c>
      <c r="K1071" s="879">
        <f>K811+K806+K801+K796+K786+K781+K776+K771+K766+K761+K756+K746+K751+K741+K736+K731+K726+K710+K721+K716+K705+K700+K695+K690+K679+K674+K669+K663+K658+K653+K643+K587+K577+K572+K567+K562+K552+K518+K513+K508+K492+K487+K436+K426+K421+K336+K331+K325+K320+K72+K62+K47+K12+K921</f>
        <v>54816</v>
      </c>
      <c r="L1071" s="879">
        <f>L811+L806+L801+L796+L786+L781+L776+L771+L766+L761+L756+L746+L751+L741+L736+L731+L726+L710+L721+L716+L705+L700+L695+L690+L679+L674+L669+L663+L658+L653+L643+L587+L577+L572+L567+L562+L552+L518+L513+L508+L492+L487+L436+L426+L421+L336+L331+L325+L320+L72+L62+L47+L12+L921</f>
        <v>3802818</v>
      </c>
      <c r="M1071" s="879">
        <f>M811+M806+M801+M796+M786+M781+M776+M771+M766+M761+M756+M746+M751+M741+M736+M731+M726+M710+M721+M716+M705+M700+M695+M690+M679+M674+M669+M663+M658+M653+M643+M587+M577+M572+M567+M562+M552+M518+M513+M508+M492+M487+M436+M426+M421+M336+M331+M325+M320+M72+M62+M47+M12+M921</f>
        <v>24899</v>
      </c>
      <c r="N1071" s="880">
        <f>N811+N806+N801+N796+N786+N781+N776+N771+N766+N761+N756+N746+N751+N741+N736+N731+N726+N710+N721+N716+N705+N700+N695+N690+N679+N674+N669+N663+N658+N653+N643+N587+N577+N572+N567+N562+N552+N518+N513+N508+N492+N487+N436+N426+N421+N336+N331+N325+N320+N72+N62+N47+N12+N921+3000</f>
        <v>9120470</v>
      </c>
      <c r="O1071" s="1120"/>
      <c r="P1071" s="891"/>
    </row>
    <row r="1072" spans="1:16" s="847" customFormat="1" ht="18" customHeight="1" x14ac:dyDescent="0.35">
      <c r="A1072" s="839">
        <v>1064</v>
      </c>
      <c r="B1072" s="1115"/>
      <c r="C1072" s="1116"/>
      <c r="D1072" s="1016" t="s">
        <v>245</v>
      </c>
      <c r="E1072" s="1117"/>
      <c r="F1072" s="1117"/>
      <c r="G1072" s="1118"/>
      <c r="H1072" s="1119"/>
      <c r="I1072" s="272">
        <f>SUM(J1072:Q1072)</f>
        <v>-417891</v>
      </c>
      <c r="J1072" s="894">
        <f>J812+J807+J802+J797+J787+J782+J777+J772+J767+J762+J757+J747+J752+J742+J737+J732+J727+J711+J722+J717+J706+J701+J696+J691+J680+J675+J670+J664+J659+J654+J644+J588+J578+J573+J568+J563+J553+J519+J514+J509+J493+J488+J437+J427+J422+J337+J332+J326+J321+J73+J63+J48+J13+J922+J520</f>
        <v>0</v>
      </c>
      <c r="K1072" s="894">
        <f>K812+K807+K802+K797+K787+K782+K777+K772+K767+K762+K757+K747+K752+K742+K737+K732+K727+K711+K722+K717+K706+K701+K696+K691+K680+K675+K670+K664+K659+K654+K644+K588+K578+K573+K568+K563+K553+K519+K514+K509+K493+K488+K437+K427+K422+K337+K332+K326+K321+K73+K63+K48+K13+K922+K520</f>
        <v>0</v>
      </c>
      <c r="L1072" s="894">
        <f>L812+L807+L802+L797+L787+L782+L777+L772+L767+L762+L757+L747+L752+L742+L737+L732+L727+L711+L722+L717+L706+L701+L696+L691+L680+L675+L670+L664+L659+L654+L644+L588+L578+L573+L568+L563+L553+L519+L514+L509+L493+L488+L437+L427+L422+L337+L332+L326+L321+L73+L63+L48+L13+L922+L520</f>
        <v>-439324</v>
      </c>
      <c r="M1072" s="894">
        <f>M812+M807+M802+M797+M787+M782+M777+M772+M767+M762+M757+M747+M752+M742+M737+M732+M727+M711+M722+M717+M706+M701+M696+M691+M680+M675+M670+M664+M659+M654+M644+M588+M578+M573+M568+M563+M553+M519+M514+M509+M493+M488+M437+M427+M422+M337+M332+M326+M321+M73+M63+M48+M13+M922+M520</f>
        <v>0</v>
      </c>
      <c r="N1072" s="895">
        <f>N812+N807+N802+N797+N787+N782+N777+N772+N767+N762+N757+N747+N752+N742+N737+N732+N727+N711+N722+N717+N706+N701+N696+N691+N680+N675+N670+N664+N659+N654+N644+N588+N578+N573+N568+N563+N553+N519+N514+N509+N493+N488+N437+N427+N422+N337+N332+N326+N321+N73+N63+N48+N13+N922+N520</f>
        <v>21433</v>
      </c>
      <c r="O1072" s="1120"/>
      <c r="P1072" s="891"/>
    </row>
    <row r="1073" spans="1:16" s="847" customFormat="1" ht="18" customHeight="1" x14ac:dyDescent="0.35">
      <c r="A1073" s="839">
        <v>1065</v>
      </c>
      <c r="B1073" s="1115"/>
      <c r="C1073" s="1116"/>
      <c r="D1073" s="1065" t="s">
        <v>233</v>
      </c>
      <c r="E1073" s="1117"/>
      <c r="F1073" s="1117"/>
      <c r="G1073" s="1118"/>
      <c r="H1073" s="1119"/>
      <c r="I1073" s="268">
        <f>SUM(J1073:Q1073)</f>
        <v>12881317</v>
      </c>
      <c r="J1073" s="879">
        <f>SUM(J1071:J1072)</f>
        <v>296205</v>
      </c>
      <c r="K1073" s="879">
        <f>SUM(K1071:K1072)</f>
        <v>54816</v>
      </c>
      <c r="L1073" s="879">
        <f>SUM(L1071:L1072)</f>
        <v>3363494</v>
      </c>
      <c r="M1073" s="879">
        <f>SUM(M1071:M1072)</f>
        <v>24899</v>
      </c>
      <c r="N1073" s="880">
        <f>SUM(N1071:N1072)</f>
        <v>9141903</v>
      </c>
      <c r="O1073" s="1120"/>
      <c r="P1073" s="891"/>
    </row>
    <row r="1074" spans="1:16" s="847" customFormat="1" ht="21.75" customHeight="1" x14ac:dyDescent="0.35">
      <c r="A1074" s="839">
        <v>1066</v>
      </c>
      <c r="B1074" s="1115"/>
      <c r="C1074" s="1116"/>
      <c r="D1074" s="1121" t="s">
        <v>761</v>
      </c>
      <c r="E1074" s="1122"/>
      <c r="F1074" s="1122"/>
      <c r="G1074" s="1123"/>
      <c r="H1074" s="1119"/>
      <c r="I1074" s="574"/>
      <c r="J1074" s="896"/>
      <c r="K1074" s="896"/>
      <c r="L1074" s="896"/>
      <c r="M1074" s="896"/>
      <c r="N1074" s="893"/>
      <c r="O1074" s="1120"/>
      <c r="P1074" s="891"/>
    </row>
    <row r="1075" spans="1:16" s="847" customFormat="1" ht="18" customHeight="1" x14ac:dyDescent="0.35">
      <c r="A1075" s="839">
        <v>1067</v>
      </c>
      <c r="B1075" s="1124"/>
      <c r="C1075" s="1125"/>
      <c r="D1075" s="1098" t="s">
        <v>230</v>
      </c>
      <c r="E1075" s="1126"/>
      <c r="F1075" s="1126"/>
      <c r="G1075" s="1127"/>
      <c r="H1075" s="1128"/>
      <c r="I1075" s="517">
        <f>SUM(J1075:N1075)</f>
        <v>2823107</v>
      </c>
      <c r="J1075" s="1129">
        <f>J985+J980+J975+J970+J965+J960+J955+J950+J945+J940+J842+J935+J930+J925+J915+J910+J902+J895+J888+J883+J876+J869+J864+J858+J853+J848+J790+J683+J647+J637+J632+J627+J622+J617+J611+J606+J601+J596+J591+J581+J556+J545+J540+J534+J529+J524+J501+J496+J481+J476+J471+J466+J461+J456+J451+J446+J441+J414+J380+J350+J345+J340+J308+J303+J297+J292+J287+J252+J246+J241+J236+J231+J169+J164+J159+J154+J90+J81+J76+J66+J56+J51+J41+J31+J26+J21+J16+J149+J990</f>
        <v>22190</v>
      </c>
      <c r="K1075" s="1129">
        <f>K985+K980+K975+K970+K965+K960+K955+K950+K945+K940+K842+K935+K930+K925+K915+K910+K902+K895+K888+K883+K876+K869+K864+K858+K853+K848+K790+K683+K647+K637+K632+K627+K622+K617+K611+K606+K601+K596+K591+K581+K556+K545+K540+K534+K529+K524+K501+K496+K481+K476+K471+K466+K461+K456+K451+K446+K441+K414+K380+K350+K345+K340+K308+K303+K297+K292+K287+K252+K246+K241+K236+K231+K169+K164+K159+K154+K90+K81+K76+K66+K56+K51+K41+K31+K26+K21+K16+K149+K990</f>
        <v>7306</v>
      </c>
      <c r="L1075" s="1129">
        <f>L985+L980+L975+L970+L965+L960+L955+L950+L945+L940+L842+L935+L930+L925+L915+L910+L902+L895+L888+L883+L876+L869+L864+L858+L853+L848+L790+L683+L647+L637+L632+L627+L622+L617+L611+L606+L601+L596+L591+L581+L556+L545+L540+L534+L529+L524+L501+L496+L481+L476+L471+L466+L461+L456+L451+L446+L441+L414+L380+L350+L345+L340+L308+L303+L297+L292+L287+L252+L246+L241+L236+L231+L169+L164+L159+L154+L90+L81+L76+L66+L56+L51+L41+L31+L26+L21+L16+L149+L990</f>
        <v>1713692</v>
      </c>
      <c r="M1075" s="1129">
        <f>M985+M980+M975+M970+M965+M960+M955+M950+M945+M940+M842+M935+M930+M925+M915+M910+M902+M895+M888+M883+M876+M869+M864+M858+M853+M848+M790+M683+M647+M637+M632+M627+M622+M617+M611+M606+M601+M596+M591+M581+M556+M545+M540+M534+M529+M524+M501+M496+M481+M476+M471+M466+M461+M456+M451+M446+M441+M414+M380+M350+M345+M340+M308+M303+M297+M292+M287+M252+M246+M241+M236+M231+M169+M164+M159+M154+M90+M81+M76+M66+M56+M51+M41+M31+M26+M21+M16+M149+M990</f>
        <v>46610</v>
      </c>
      <c r="N1075" s="1130">
        <f>N985+N980+N975+N970+N965+N960+N955+N950+N945+N940+N842+N935+N930+N925+N915+N910+N902+N895+N888+N883+N876+N869+N864+N858+N853+N848+N790+N683+N647+N637+N632+N627+N622+N617+N611+N606+N601+N596+N591+N581+N556+N545+N540+N534+N529+N524+N501+N496+N481+N476+N471+N466+N461+N456+N451+N446+N441+N414+N380+N350+N345+N340+N308+N303+N297+N292+N287+N252+N246+N241+N236+N231+N169+N164+N159+N154+N90+N81+N76+N66+N56+N51+N41+N31+N26+N21+N16+N149+N990</f>
        <v>1033309</v>
      </c>
      <c r="O1075" s="848"/>
      <c r="P1075" s="891"/>
    </row>
    <row r="1076" spans="1:16" s="847" customFormat="1" ht="18" customHeight="1" x14ac:dyDescent="0.35">
      <c r="A1076" s="839">
        <v>1068</v>
      </c>
      <c r="B1076" s="1124"/>
      <c r="C1076" s="1125"/>
      <c r="D1076" s="266" t="s">
        <v>231</v>
      </c>
      <c r="E1076" s="1126"/>
      <c r="F1076" s="1126"/>
      <c r="G1076" s="1127"/>
      <c r="H1076" s="1131"/>
      <c r="I1076" s="416">
        <f>SUM(J1076:N1076)</f>
        <v>2736157</v>
      </c>
      <c r="J1076" s="1132">
        <f>J986+J981+J976+J971+J966+J961+J956+J951+J946+J941+J843+J936+J931+J926+J916+J911+J903+J896+J889+J884+J877+J870+J865+J859+J854+J849+J791+J684+J648+J638+J633+J628+J623+J618+J612+J607+J602+J597+J592+J582+J557+J541+J535+J530+J525+J502+J497+J482+J477+J472+J467+J462+J457+J452+J447+J442+J415+J381+J351+J346+J341+J309+J304+J298+J293+J288+J253+J247+J242+J237+J232+J170+J165+J160+J155+J91+J82+J77+J67+J57+J52+J42+J32+J27+J22+J17+J150+J991+J1011+J1007+J1003+J999+J995+J313+J86+J1027+J1023+J1019+J1015+J1047+J1043+J1039+J1035+J1031+J1051+J1055</f>
        <v>28863</v>
      </c>
      <c r="K1076" s="1132">
        <f>K986+K981+K976+K971+K966+K961+K956+K951+K946+K941+K843+K936+K931+K926+K916+K911+K903+K896+K889+K884+K877+K870+K865+K859+K854+K849+K791+K684+K648+K638+K633+K628+K623+K618+K612+K607+K602+K597+K592+K582+K557+K541+K535+K530+K525+K502+K497+K482+K477+K472+K467+K462+K457+K452+K447+K442+K415+K381+K351+K346+K341+K309+K304+K298+K293+K288+K253+K247+K242+K237+K232+K170+K165+K160+K155+K91+K82+K77+K67+K57+K52+K42+K32+K27+K22+K17+K150+K991+K1011+K1007+K1003+K999+K995+K313+K86+K1027+K1023+K1019+K1015+K1047+K1043+K1039+K1035+K1031+K1051+K1055</f>
        <v>9454</v>
      </c>
      <c r="L1076" s="1132">
        <f>L986+L981+L976+L971+L966+L961+L956+L951+L946+L941+L843+L936+L931+L926+L916+L911+L903+L896+L889+L884+L877+L870+L865+L859+L854+L849+L791+L684+L648+L638+L633+L628+L623+L618+L612+L607+L602+L597+L592+L582+L557+L541+L535+L530+L525+L502+L497+L482+L477+L472+L467+L462+L457+L452+L447+L442+L415+L381+L351+L346+L341+L309+L304+L298+L293+L288+L253+L247+L242+L237+L232+L170+L165+L160+L155+L91+L82+L77+L67+L57+L52+L42+L32+L27+L22+L17+L150+L991+L1011+L1007+L1003+L999+L995+L313+L86+L1027+L1023+L1019+L1015+L1047+L1043+L1039+L1035+L1031+L1051+L1055</f>
        <v>1611106</v>
      </c>
      <c r="M1076" s="1132">
        <f>M986+M981+M976+M971+M966+M961+M956+M951+M946+M941+M843+M936+M931+M926+M916+M911+M903+M896+M889+M884+M877+M870+M865+M859+M854+M849+M791+M684+M648+M638+M633+M628+M623+M618+M612+M607+M602+M597+M592+M582+M557+M541+M535+M530+M525+M502+M497+M482+M477+M472+M467+M462+M457+M452+M447+M442+M415+M381+M351+M346+M341+M309+M304+M298+M293+M288+M253+M247+M242+M237+M232+M170+M165+M160+M155+M91+M82+M77+M67+M57+M52+M42+M32+M27+M22+M17+M150+M991+M1011+M1007+M1003+M999+M995+M313+M86+M1027+M1023+M1019+M1015+M1047+M1043+M1039+M1035+M1031+M1051+M1055</f>
        <v>32227</v>
      </c>
      <c r="N1076" s="1133">
        <f>N986+N981+N976+N971+N966+N961+N956+N951+N946+N941+N843+N936+N931+N926+N916+N911+N903+N896+N889+N884+N877+N870+N865+N859+N854+N849+N791+N684+N648+N638+N633+N628+N623+N618+N612+N607+N602+N597+N592+N582+N557+N541+N535+N530+N525+N502+N497+N482+N477+N472+N467+N462+N457+N452+N447+N442+N415+N381+N351+N346+N341+N309+N304+N298+N293+N288+N253+N247+N242+N237+N232+N170+N165+N160+N155+N91+N82+N77+N67+N57+N52+N42+N32+N27+N22+N17+N150+N991+N1011+N1007+N1003+N999+N995+N313+N86+N1027+N1023+N1019+N1015+N1047+N1043+N1039+N1035+N1031+N1051+N1055</f>
        <v>1054507</v>
      </c>
      <c r="O1076" s="848"/>
      <c r="P1076" s="891"/>
    </row>
    <row r="1077" spans="1:16" s="847" customFormat="1" ht="18" customHeight="1" x14ac:dyDescent="0.35">
      <c r="A1077" s="839">
        <v>1069</v>
      </c>
      <c r="B1077" s="1134"/>
      <c r="C1077" s="1135"/>
      <c r="D1077" s="1016" t="s">
        <v>245</v>
      </c>
      <c r="E1077" s="1122"/>
      <c r="F1077" s="1122"/>
      <c r="G1077" s="1136"/>
      <c r="H1077" s="1137"/>
      <c r="I1077" s="272">
        <f>SUM(J1077:Q1077)</f>
        <v>-69861</v>
      </c>
      <c r="J1077" s="1138">
        <f>J987+J982+J977+J972+J967+J962+J957+J952+J947+J942+J844+J937+J932+J927+J917+J912+J904+J897+J890+J885+J878+J871+J866+J860+J855+J850+J792+J685+J649+J639+J634+J629+J624+J619+J613+J608+J603+J598+J593+J583+J558+J547+J542+J536+J531+J526+J503+J498+J483+J478+J473+J468+J463+J458+J453+J448+J443+J416+J382+J352+J347+J342+J310+J305+J299+J294+J289+J254+J248+J243+J238+J233+J171+J166+J161+J156+J92+J83+J78+J68+J58+J53+J43+J33+J28+J23+J18+J151+J992+J314+J996+J1000+J1004+J1008+J1012+J87+J1016+J1020+J1024+J1028+J1032+J1036+J1040+J1044+J1048+J1052+J1056+J1059+J1062</f>
        <v>2582</v>
      </c>
      <c r="K1077" s="1138">
        <f>K987+K982+K977+K972+K967+K962+K957+K952+K947+K942+K844+K937+K932+K927+K917+K912+K904+K897+K890+K885+K878+K871+K866+K860+K855+K850+K792+K685+K649+K639+K634+K629+K624+K619+K613+K608+K603+K598+K593+K583+K558+K547+K542+K536+K531+K526+K503+K498+K483+K478+K473+K468+K463+K458+K453+K448+K443+K416+K382+K352+K347+K342+K310+K305+K299+K294+K289+K254+K248+K243+K238+K233+K171+K166+K161+K156+K92+K83+K78+K68+K58+K53+K43+K33+K28+K23+K18+K151+K992+K314+K996+K1000+K1004+K1008+K1012+K87+K1016+K1020+K1024+K1028+K1032+K1036+K1040+K1044+K1048+K1052+K1056+K1059+K1062</f>
        <v>248</v>
      </c>
      <c r="L1077" s="1138">
        <f>L987+L982+L977+L972+L967+L962+L957+L952+L947+L942+L844+L937+L932+L927+L917+L912+L904+L897+L890+L885+L878+L871+L866+L860+L855+L850+L792+L685+L649+L639+L634+L629+L624+L619+L613+L608+L603+L598+L593+L583+L558+L547+L542+L536+L531+L526+L503+L498+L483+L478+L473+L468+L463+L458+L453+L448+L443+L416+L382+L352+L347+L342+L310+L305+L299+L294+L289+L254+L248+L243+L238+L233+L171+L166+L161+L156+L92+L83+L78+L68+L58+L53+L43+L33+L28+L23+L18+L151+L992+L314+L996+L1000+L1004+L1008+L1012+L87+L1016+L1020+L1024+L1028+L1032+L1036+L1040+L1044+L1048+L1052+L1056+L1059+L1062</f>
        <v>-196191</v>
      </c>
      <c r="M1077" s="1138">
        <f>M987+M982+M977+M972+M967+M962+M957+M952+M947+M942+M844+M937+M932+M927+M917+M912+M904+M897+M890+M885+M878+M871+M866+M860+M855+M850+M792+M685+M649+M639+M634+M629+M624+M619+M613+M608+M603+M598+M593+M583+M558+M547+M542+M536+M531+M526+M503+M498+M483+M478+M473+M468+M463+M458+M453+M448+M443+M416+M382+M352+M347+M342+M310+M305+M299+M294+M289+M254+M248+M243+M238+M233+M171+M166+M161+M156+M92+M83+M78+M68+M58+M53+M43+M33+M28+M23+M18+M151+M992+M314+M996+M1000+M1004+M1008+M1012+M87+M1016+M1020+M1024+M1028+M1032+M1036+M1040+M1044+M1048+M1052+M1056+M1059+M1062</f>
        <v>0</v>
      </c>
      <c r="N1077" s="1139">
        <f>N987+N982+N977+N972+N967+N962+N957+N952+N947+N942+N844+N937+N932+N927+N917+N912+N904+N897+N890+N885+N878+N871+N866+N860+N855+N850+N792+N685+N649+N639+N634+N629+N624+N619+N613+N608+N603+N598+N593+N583+N558+N547+N542+N536+N531+N526+N503+N498+N483+N478+N473+N468+N463+N458+N453+N448+N443+N416+N382+N352+N347+N342+N310+N305+N299+N294+N289+N254+N248+N243+N238+N233+N171+N166+N161+N156+N92+N83+N78+N68+N58+N53+N43+N33+N28+N23+N18+N151+N992+N314+N996+N1000+N1004+N1008+N1012+N87+N1016+N1020+N1024+N1028+N1032+N1036+N1040+N1044+N1048+N1052+N1056+N1059+N1062</f>
        <v>123500</v>
      </c>
      <c r="O1077" s="848"/>
      <c r="P1077" s="891"/>
    </row>
    <row r="1078" spans="1:16" s="847" customFormat="1" ht="18" customHeight="1" x14ac:dyDescent="0.35">
      <c r="A1078" s="839">
        <v>1070</v>
      </c>
      <c r="B1078" s="1140"/>
      <c r="C1078" s="1141"/>
      <c r="D1078" s="528" t="s">
        <v>233</v>
      </c>
      <c r="E1078" s="1142"/>
      <c r="F1078" s="1142"/>
      <c r="G1078" s="1143"/>
      <c r="H1078" s="1144"/>
      <c r="I1078" s="392">
        <f>SUM(J1078:Q1078)</f>
        <v>2666296</v>
      </c>
      <c r="J1078" s="1145">
        <f>SUM(J1076:J1077)</f>
        <v>31445</v>
      </c>
      <c r="K1078" s="1145">
        <f>SUM(K1076:K1077)</f>
        <v>9702</v>
      </c>
      <c r="L1078" s="1145">
        <f>SUM(L1076:L1077)</f>
        <v>1414915</v>
      </c>
      <c r="M1078" s="1145">
        <f>SUM(M1076:M1077)</f>
        <v>32227</v>
      </c>
      <c r="N1078" s="1146">
        <f>SUM(N1076:N1077)</f>
        <v>1178007</v>
      </c>
      <c r="O1078" s="848"/>
      <c r="P1078" s="891"/>
    </row>
    <row r="1079" spans="1:16" ht="18" customHeight="1" x14ac:dyDescent="0.3">
      <c r="A1079" s="1147"/>
      <c r="B1079" s="1983" t="s">
        <v>357</v>
      </c>
      <c r="C1079" s="1983"/>
      <c r="D1079" s="1983"/>
      <c r="E1079" s="687"/>
      <c r="F1079" s="687"/>
      <c r="G1079" s="687"/>
      <c r="H1079" s="36"/>
      <c r="I1079" s="1148"/>
      <c r="J1079" s="687"/>
      <c r="K1079" s="687"/>
      <c r="L1079" s="687"/>
      <c r="M1079" s="687"/>
      <c r="N1079" s="687"/>
    </row>
    <row r="1080" spans="1:16" ht="18" customHeight="1" x14ac:dyDescent="0.3">
      <c r="A1080" s="1147"/>
      <c r="B1080" s="1149" t="s">
        <v>358</v>
      </c>
      <c r="C1080" s="687"/>
      <c r="D1080" s="1149"/>
      <c r="E1080" s="687"/>
      <c r="F1080" s="687"/>
      <c r="G1080" s="687"/>
      <c r="H1080" s="36"/>
      <c r="I1080" s="1148"/>
      <c r="J1080" s="687"/>
      <c r="K1080" s="687"/>
      <c r="L1080" s="687"/>
      <c r="M1080" s="687"/>
      <c r="N1080" s="687"/>
    </row>
    <row r="1081" spans="1:16" ht="18" customHeight="1" x14ac:dyDescent="0.3">
      <c r="A1081" s="1147"/>
      <c r="B1081" s="1983" t="s">
        <v>359</v>
      </c>
      <c r="C1081" s="1983"/>
      <c r="D1081" s="1983"/>
      <c r="E1081" s="687"/>
      <c r="F1081" s="687"/>
      <c r="G1081" s="687"/>
      <c r="H1081" s="36"/>
      <c r="I1081" s="1148"/>
      <c r="J1081" s="687"/>
      <c r="K1081" s="687"/>
      <c r="L1081" s="687"/>
      <c r="M1081" s="687"/>
      <c r="N1081" s="687"/>
    </row>
    <row r="1082" spans="1:16" ht="18" customHeight="1" x14ac:dyDescent="0.3">
      <c r="I1082" s="844"/>
    </row>
    <row r="1083" spans="1:16" ht="18" customHeight="1" x14ac:dyDescent="0.35"/>
    <row r="1084" spans="1:16" ht="18" customHeight="1" x14ac:dyDescent="0.35"/>
    <row r="1085" spans="1:16" s="843" customFormat="1" ht="18" customHeight="1" x14ac:dyDescent="0.35">
      <c r="A1085" s="839"/>
      <c r="B1085" s="840"/>
      <c r="C1085" s="840"/>
      <c r="D1085" s="841"/>
      <c r="E1085" s="842"/>
      <c r="F1085" s="842"/>
      <c r="G1085" s="842"/>
      <c r="H1085" s="840"/>
      <c r="J1085" s="844"/>
      <c r="K1085" s="844"/>
      <c r="L1085" s="844"/>
      <c r="M1085" s="844"/>
      <c r="N1085" s="844"/>
      <c r="O1085" s="844"/>
    </row>
    <row r="1086" spans="1:16" s="843" customFormat="1" ht="18" customHeight="1" x14ac:dyDescent="0.35">
      <c r="A1086" s="839"/>
      <c r="B1086" s="840"/>
      <c r="C1086" s="840"/>
      <c r="D1086" s="841"/>
      <c r="E1086" s="842"/>
      <c r="F1086" s="842"/>
      <c r="G1086" s="842"/>
      <c r="H1086" s="840"/>
      <c r="J1086" s="844"/>
      <c r="K1086" s="844"/>
      <c r="L1086" s="844"/>
      <c r="M1086" s="844"/>
      <c r="N1086" s="844"/>
      <c r="O1086" s="844"/>
    </row>
    <row r="1087" spans="1:16" s="843" customFormat="1" ht="18" customHeight="1" x14ac:dyDescent="0.35">
      <c r="A1087" s="839"/>
      <c r="B1087" s="840"/>
      <c r="C1087" s="840"/>
      <c r="D1087" s="841"/>
      <c r="E1087" s="842"/>
      <c r="F1087" s="842"/>
      <c r="G1087" s="842"/>
      <c r="H1087" s="840"/>
      <c r="J1087" s="844"/>
      <c r="K1087" s="844"/>
      <c r="L1087" s="844"/>
      <c r="M1087" s="844"/>
      <c r="N1087" s="844"/>
      <c r="O1087" s="844"/>
    </row>
    <row r="1088" spans="1:16" s="843" customFormat="1" ht="18" customHeight="1" x14ac:dyDescent="0.35">
      <c r="A1088" s="839"/>
      <c r="B1088" s="840"/>
      <c r="C1088" s="840"/>
      <c r="D1088" s="841"/>
      <c r="E1088" s="842"/>
      <c r="F1088" s="842"/>
      <c r="G1088" s="842"/>
      <c r="H1088" s="840"/>
      <c r="J1088" s="844"/>
      <c r="K1088" s="844"/>
      <c r="L1088" s="844"/>
      <c r="M1088" s="844"/>
      <c r="N1088" s="844"/>
      <c r="O1088" s="844"/>
    </row>
    <row r="1089" spans="1:15" s="843" customFormat="1" ht="18" customHeight="1" x14ac:dyDescent="0.35">
      <c r="A1089" s="839"/>
      <c r="B1089" s="840"/>
      <c r="C1089" s="840"/>
      <c r="D1089" s="841"/>
      <c r="E1089" s="842"/>
      <c r="F1089" s="842"/>
      <c r="G1089" s="842"/>
      <c r="H1089" s="840"/>
      <c r="J1089" s="844"/>
      <c r="K1089" s="844"/>
      <c r="L1089" s="844"/>
      <c r="M1089" s="844"/>
      <c r="N1089" s="844"/>
      <c r="O1089" s="844"/>
    </row>
    <row r="1090" spans="1:15" s="843" customFormat="1" ht="18" customHeight="1" x14ac:dyDescent="0.35">
      <c r="A1090" s="839"/>
      <c r="B1090" s="840"/>
      <c r="C1090" s="840"/>
      <c r="D1090" s="1150"/>
      <c r="E1090" s="842"/>
      <c r="F1090" s="842"/>
      <c r="G1090" s="842"/>
      <c r="H1090" s="840"/>
      <c r="J1090" s="844"/>
      <c r="K1090" s="844"/>
      <c r="L1090" s="844"/>
      <c r="M1090" s="844"/>
      <c r="N1090" s="844"/>
      <c r="O1090" s="844"/>
    </row>
    <row r="1091" spans="1:15" s="843" customFormat="1" ht="18" customHeight="1" x14ac:dyDescent="0.35">
      <c r="A1091" s="839"/>
      <c r="B1091" s="840"/>
      <c r="C1091" s="840"/>
      <c r="D1091" s="1150"/>
      <c r="E1091" s="842"/>
      <c r="F1091" s="842"/>
      <c r="G1091" s="842"/>
      <c r="H1091" s="840"/>
      <c r="J1091" s="844"/>
      <c r="K1091" s="844"/>
      <c r="L1091" s="844"/>
      <c r="M1091" s="844"/>
      <c r="N1091" s="844"/>
      <c r="O1091" s="844"/>
    </row>
    <row r="1092" spans="1:15" s="843" customFormat="1" ht="18" customHeight="1" x14ac:dyDescent="0.35">
      <c r="A1092" s="839"/>
      <c r="B1092" s="840"/>
      <c r="C1092" s="840"/>
      <c r="D1092" s="841"/>
      <c r="E1092" s="842"/>
      <c r="F1092" s="842"/>
      <c r="G1092" s="842"/>
      <c r="H1092" s="840"/>
      <c r="J1092" s="844"/>
      <c r="K1092" s="844"/>
      <c r="L1092" s="844"/>
      <c r="M1092" s="844"/>
      <c r="N1092" s="844"/>
      <c r="O1092" s="844"/>
    </row>
    <row r="1093" spans="1:15" s="843" customFormat="1" ht="18" customHeight="1" x14ac:dyDescent="0.35">
      <c r="A1093" s="839"/>
      <c r="B1093" s="840"/>
      <c r="C1093" s="840"/>
      <c r="D1093" s="841"/>
      <c r="E1093" s="842"/>
      <c r="F1093" s="842"/>
      <c r="G1093" s="842"/>
      <c r="H1093" s="840"/>
      <c r="J1093" s="844"/>
      <c r="K1093" s="844"/>
      <c r="L1093" s="844"/>
      <c r="M1093" s="844"/>
      <c r="N1093" s="844"/>
      <c r="O1093" s="844"/>
    </row>
    <row r="1094" spans="1:15" s="843" customFormat="1" ht="18" customHeight="1" x14ac:dyDescent="0.35">
      <c r="A1094" s="839"/>
      <c r="B1094" s="840"/>
      <c r="C1094" s="840"/>
      <c r="D1094" s="841"/>
      <c r="E1094" s="842"/>
      <c r="F1094" s="842"/>
      <c r="G1094" s="842"/>
      <c r="H1094" s="840"/>
      <c r="J1094" s="844"/>
      <c r="K1094" s="844"/>
      <c r="L1094" s="844"/>
      <c r="M1094" s="844"/>
      <c r="N1094" s="844"/>
      <c r="O1094" s="844"/>
    </row>
    <row r="1095" spans="1:15" s="843" customFormat="1" ht="18" customHeight="1" x14ac:dyDescent="0.35">
      <c r="A1095" s="839"/>
      <c r="B1095" s="840"/>
      <c r="C1095" s="840"/>
      <c r="D1095" s="841"/>
      <c r="E1095" s="842"/>
      <c r="F1095" s="842"/>
      <c r="G1095" s="842"/>
      <c r="H1095" s="840"/>
      <c r="J1095" s="844"/>
      <c r="K1095" s="844"/>
      <c r="L1095" s="844"/>
      <c r="M1095" s="844"/>
      <c r="N1095" s="844"/>
      <c r="O1095" s="844"/>
    </row>
    <row r="1096" spans="1:15" s="843" customFormat="1" ht="18" customHeight="1" x14ac:dyDescent="0.35">
      <c r="A1096" s="839"/>
      <c r="B1096" s="840"/>
      <c r="C1096" s="840"/>
      <c r="D1096" s="841"/>
      <c r="E1096" s="842"/>
      <c r="F1096" s="842"/>
      <c r="G1096" s="842"/>
      <c r="H1096" s="840"/>
      <c r="J1096" s="844"/>
      <c r="K1096" s="844"/>
      <c r="L1096" s="844"/>
      <c r="M1096" s="844"/>
      <c r="N1096" s="844"/>
      <c r="O1096" s="844"/>
    </row>
    <row r="1097" spans="1:15" s="843" customFormat="1" ht="18" customHeight="1" x14ac:dyDescent="0.35">
      <c r="A1097" s="839"/>
      <c r="B1097" s="840"/>
      <c r="C1097" s="840"/>
      <c r="D1097" s="841"/>
      <c r="E1097" s="842"/>
      <c r="F1097" s="842"/>
      <c r="G1097" s="842"/>
      <c r="H1097" s="840"/>
      <c r="J1097" s="844"/>
      <c r="K1097" s="844"/>
      <c r="L1097" s="844"/>
      <c r="M1097" s="844"/>
      <c r="N1097" s="844"/>
      <c r="O1097" s="844"/>
    </row>
    <row r="1098" spans="1:15" s="843" customFormat="1" ht="18" customHeight="1" x14ac:dyDescent="0.35">
      <c r="A1098" s="839"/>
      <c r="B1098" s="840"/>
      <c r="C1098" s="840"/>
      <c r="D1098" s="841"/>
      <c r="E1098" s="842"/>
      <c r="F1098" s="842"/>
      <c r="G1098" s="842"/>
      <c r="H1098" s="840"/>
      <c r="J1098" s="844"/>
      <c r="K1098" s="844"/>
      <c r="L1098" s="844"/>
      <c r="M1098" s="844"/>
      <c r="N1098" s="844"/>
      <c r="O1098" s="844"/>
    </row>
    <row r="1099" spans="1:15" s="843" customFormat="1" ht="18" customHeight="1" x14ac:dyDescent="0.35">
      <c r="A1099" s="839"/>
      <c r="B1099" s="840"/>
      <c r="C1099" s="840"/>
      <c r="D1099" s="841"/>
      <c r="E1099" s="842"/>
      <c r="F1099" s="842"/>
      <c r="G1099" s="842"/>
      <c r="H1099" s="840"/>
      <c r="J1099" s="844"/>
      <c r="K1099" s="844"/>
      <c r="L1099" s="844"/>
      <c r="M1099" s="844"/>
      <c r="N1099" s="844"/>
      <c r="O1099" s="844"/>
    </row>
    <row r="1100" spans="1:15" s="843" customFormat="1" ht="18" customHeight="1" x14ac:dyDescent="0.35">
      <c r="A1100" s="839"/>
      <c r="B1100" s="840"/>
      <c r="C1100" s="840"/>
      <c r="D1100" s="841"/>
      <c r="E1100" s="842"/>
      <c r="F1100" s="842"/>
      <c r="G1100" s="842"/>
      <c r="H1100" s="840"/>
      <c r="J1100" s="844"/>
      <c r="K1100" s="844"/>
      <c r="L1100" s="844"/>
      <c r="M1100" s="844"/>
      <c r="N1100" s="844"/>
      <c r="O1100" s="844"/>
    </row>
    <row r="1101" spans="1:15" ht="18" customHeight="1" x14ac:dyDescent="0.35"/>
    <row r="1102" spans="1:15" ht="18" customHeight="1" x14ac:dyDescent="0.35"/>
    <row r="1103" spans="1:15" ht="18" customHeight="1" x14ac:dyDescent="0.35"/>
    <row r="1104" spans="1:15" ht="18" customHeight="1" x14ac:dyDescent="0.35"/>
    <row r="1105" spans="4:14" ht="18" customHeight="1" x14ac:dyDescent="0.35"/>
    <row r="1106" spans="4:14" ht="18" customHeight="1" x14ac:dyDescent="0.35"/>
    <row r="1107" spans="4:14" ht="18" customHeight="1" x14ac:dyDescent="0.35"/>
    <row r="1108" spans="4:14" ht="18" customHeight="1" x14ac:dyDescent="0.35"/>
    <row r="1109" spans="4:14" ht="18" customHeight="1" x14ac:dyDescent="0.35"/>
    <row r="1110" spans="4:14" ht="18" customHeight="1" x14ac:dyDescent="0.35"/>
    <row r="1111" spans="4:14" ht="18" customHeight="1" x14ac:dyDescent="0.35"/>
    <row r="1112" spans="4:14" ht="18" customHeight="1" x14ac:dyDescent="0.35"/>
    <row r="1113" spans="4:14" ht="18" customHeight="1" x14ac:dyDescent="0.35"/>
    <row r="1114" spans="4:14" ht="18" customHeight="1" x14ac:dyDescent="0.35"/>
    <row r="1115" spans="4:14" ht="18" customHeight="1" x14ac:dyDescent="0.35"/>
    <row r="1116" spans="4:14" ht="18" customHeight="1" x14ac:dyDescent="0.35">
      <c r="D1116" s="1151"/>
      <c r="E1116" s="1152"/>
      <c r="F1116" s="1152"/>
      <c r="G1116" s="1152"/>
      <c r="I1116" s="847"/>
      <c r="J1116" s="840"/>
      <c r="K1116" s="840"/>
      <c r="L1116" s="840"/>
      <c r="M1116" s="840"/>
      <c r="N1116" s="840"/>
    </row>
    <row r="1117" spans="4:14" ht="18" customHeight="1" x14ac:dyDescent="0.35">
      <c r="D1117" s="1151"/>
      <c r="E1117" s="1152"/>
      <c r="F1117" s="1152"/>
      <c r="G1117" s="1152"/>
      <c r="I1117" s="847"/>
      <c r="J1117" s="840"/>
      <c r="K1117" s="840"/>
      <c r="L1117" s="840"/>
      <c r="M1117" s="840"/>
      <c r="N1117" s="840"/>
    </row>
    <row r="1118" spans="4:14" ht="18" customHeight="1" x14ac:dyDescent="0.35">
      <c r="D1118" s="1151"/>
      <c r="E1118" s="1152"/>
      <c r="F1118" s="1152"/>
      <c r="G1118" s="1152"/>
      <c r="I1118" s="847"/>
      <c r="J1118" s="840"/>
      <c r="K1118" s="840"/>
      <c r="L1118" s="840"/>
      <c r="M1118" s="840"/>
      <c r="N1118" s="840"/>
    </row>
    <row r="1119" spans="4:14" ht="18" customHeight="1" x14ac:dyDescent="0.35">
      <c r="D1119" s="1151"/>
      <c r="E1119" s="1152"/>
      <c r="F1119" s="1152"/>
      <c r="G1119" s="1152"/>
      <c r="I1119" s="847"/>
      <c r="J1119" s="840"/>
      <c r="K1119" s="840"/>
      <c r="L1119" s="840"/>
      <c r="M1119" s="840"/>
      <c r="N1119" s="840"/>
    </row>
    <row r="1120" spans="4:14" ht="18" customHeight="1" x14ac:dyDescent="0.35"/>
    <row r="1121" spans="1:14" ht="18" customHeight="1" x14ac:dyDescent="0.35"/>
    <row r="1122" spans="1:14" ht="18" customHeight="1" x14ac:dyDescent="0.35"/>
    <row r="1123" spans="1:14" ht="18" customHeight="1" x14ac:dyDescent="0.35"/>
    <row r="1124" spans="1:14" ht="18" customHeight="1" x14ac:dyDescent="0.35"/>
    <row r="1125" spans="1:14" ht="18" customHeight="1" x14ac:dyDescent="0.35">
      <c r="D1125" s="1150"/>
    </row>
    <row r="1126" spans="1:14" ht="18" customHeight="1" x14ac:dyDescent="0.35">
      <c r="D1126" s="1150"/>
    </row>
    <row r="1127" spans="1:14" s="843" customFormat="1" ht="18" customHeight="1" x14ac:dyDescent="0.35">
      <c r="A1127" s="839"/>
      <c r="B1127" s="840"/>
      <c r="C1127" s="840"/>
      <c r="D1127" s="1150"/>
      <c r="E1127" s="842"/>
      <c r="F1127" s="842"/>
      <c r="G1127" s="842"/>
      <c r="H1127" s="840"/>
      <c r="J1127" s="844"/>
      <c r="K1127" s="844"/>
      <c r="L1127" s="844"/>
      <c r="M1127" s="844"/>
      <c r="N1127" s="844"/>
    </row>
    <row r="1128" spans="1:14" s="843" customFormat="1" ht="18" customHeight="1" x14ac:dyDescent="0.35">
      <c r="A1128" s="839"/>
      <c r="B1128" s="840"/>
      <c r="C1128" s="840"/>
      <c r="D1128" s="1150"/>
      <c r="E1128" s="842"/>
      <c r="F1128" s="842"/>
      <c r="G1128" s="842"/>
      <c r="H1128" s="840"/>
      <c r="J1128" s="844"/>
      <c r="K1128" s="844"/>
      <c r="L1128" s="844"/>
      <c r="M1128" s="844"/>
      <c r="N1128" s="844"/>
    </row>
    <row r="1129" spans="1:14" s="843" customFormat="1" ht="18" customHeight="1" x14ac:dyDescent="0.35">
      <c r="A1129" s="839"/>
      <c r="B1129" s="840"/>
      <c r="C1129" s="840"/>
      <c r="D1129" s="1150"/>
      <c r="E1129" s="842"/>
      <c r="F1129" s="842"/>
      <c r="G1129" s="842"/>
      <c r="H1129" s="840"/>
      <c r="J1129" s="844"/>
      <c r="K1129" s="844"/>
      <c r="L1129" s="844"/>
      <c r="M1129" s="844"/>
      <c r="N1129" s="844"/>
    </row>
    <row r="1130" spans="1:14" s="843" customFormat="1" ht="18" customHeight="1" x14ac:dyDescent="0.35">
      <c r="A1130" s="839"/>
      <c r="B1130" s="840"/>
      <c r="C1130" s="840"/>
      <c r="D1130" s="1150"/>
      <c r="E1130" s="842"/>
      <c r="F1130" s="842"/>
      <c r="G1130" s="842"/>
      <c r="H1130" s="840"/>
      <c r="J1130" s="844"/>
      <c r="K1130" s="844"/>
      <c r="L1130" s="844"/>
      <c r="M1130" s="844"/>
      <c r="N1130" s="844"/>
    </row>
    <row r="1131" spans="1:14" s="843" customFormat="1" ht="18" customHeight="1" x14ac:dyDescent="0.35">
      <c r="A1131" s="839"/>
      <c r="B1131" s="840"/>
      <c r="C1131" s="840"/>
      <c r="D1131" s="1150"/>
      <c r="E1131" s="842"/>
      <c r="F1131" s="842"/>
      <c r="G1131" s="842"/>
      <c r="H1131" s="840"/>
      <c r="J1131" s="844"/>
      <c r="K1131" s="844"/>
      <c r="L1131" s="844"/>
      <c r="M1131" s="844"/>
      <c r="N1131" s="844"/>
    </row>
    <row r="1132" spans="1:14" s="843" customFormat="1" ht="18" customHeight="1" x14ac:dyDescent="0.35">
      <c r="A1132" s="839"/>
      <c r="B1132" s="840"/>
      <c r="C1132" s="840"/>
      <c r="D1132" s="1150"/>
      <c r="E1132" s="842"/>
      <c r="F1132" s="842"/>
      <c r="G1132" s="842"/>
      <c r="H1132" s="840"/>
      <c r="J1132" s="844"/>
      <c r="K1132" s="844"/>
      <c r="L1132" s="844"/>
      <c r="M1132" s="844"/>
      <c r="N1132" s="844"/>
    </row>
    <row r="1133" spans="1:14" s="843" customFormat="1" ht="18" customHeight="1" x14ac:dyDescent="0.35">
      <c r="A1133" s="839"/>
      <c r="B1133" s="840"/>
      <c r="C1133" s="840"/>
      <c r="D1133" s="1150"/>
      <c r="E1133" s="842"/>
      <c r="F1133" s="842"/>
      <c r="G1133" s="842"/>
      <c r="H1133" s="840"/>
      <c r="J1133" s="844"/>
      <c r="K1133" s="844"/>
      <c r="L1133" s="844"/>
      <c r="M1133" s="844"/>
      <c r="N1133" s="844"/>
    </row>
    <row r="1134" spans="1:14" ht="18" customHeight="1" x14ac:dyDescent="0.35"/>
    <row r="1135" spans="1:14" ht="18" customHeight="1" x14ac:dyDescent="0.35"/>
    <row r="1136" spans="1:14" ht="18" customHeight="1" x14ac:dyDescent="0.35"/>
    <row r="1137" spans="1:15" ht="18" customHeight="1" x14ac:dyDescent="0.35"/>
    <row r="1138" spans="1:15" ht="18" customHeight="1" x14ac:dyDescent="0.35"/>
    <row r="1139" spans="1:15" ht="18" customHeight="1" x14ac:dyDescent="0.35"/>
    <row r="1140" spans="1:15" ht="18" customHeight="1" x14ac:dyDescent="0.35"/>
    <row r="1141" spans="1:15" ht="18" customHeight="1" x14ac:dyDescent="0.35"/>
    <row r="1142" spans="1:15" ht="18" customHeight="1" x14ac:dyDescent="0.35"/>
    <row r="1143" spans="1:15" ht="18" customHeight="1" x14ac:dyDescent="0.35"/>
    <row r="1144" spans="1:15" ht="18" customHeight="1" x14ac:dyDescent="0.35"/>
    <row r="1145" spans="1:15" ht="18" customHeight="1" x14ac:dyDescent="0.35"/>
    <row r="1146" spans="1:15" ht="18" customHeight="1" x14ac:dyDescent="0.35"/>
    <row r="1147" spans="1:15" s="843" customFormat="1" ht="18" customHeight="1" x14ac:dyDescent="0.35">
      <c r="A1147" s="839"/>
      <c r="B1147" s="840"/>
      <c r="C1147" s="840"/>
      <c r="D1147" s="1150"/>
      <c r="E1147" s="842"/>
      <c r="F1147" s="842"/>
      <c r="G1147" s="842"/>
      <c r="H1147" s="840"/>
      <c r="J1147" s="844"/>
      <c r="K1147" s="844"/>
      <c r="L1147" s="844"/>
      <c r="M1147" s="844"/>
      <c r="N1147" s="844"/>
    </row>
    <row r="1148" spans="1:15" ht="18" customHeight="1" x14ac:dyDescent="0.35"/>
    <row r="1149" spans="1:15" s="843" customFormat="1" ht="18" customHeight="1" x14ac:dyDescent="0.35">
      <c r="A1149" s="839"/>
      <c r="B1149" s="840"/>
      <c r="C1149" s="840"/>
      <c r="D1149" s="841"/>
      <c r="E1149" s="842"/>
      <c r="F1149" s="842"/>
      <c r="G1149" s="842"/>
      <c r="H1149" s="840"/>
      <c r="J1149" s="844"/>
      <c r="K1149" s="844"/>
      <c r="L1149" s="844"/>
      <c r="M1149" s="844"/>
      <c r="N1149" s="844"/>
      <c r="O1149" s="844"/>
    </row>
    <row r="1150" spans="1:15" s="843" customFormat="1" ht="18" customHeight="1" x14ac:dyDescent="0.35">
      <c r="A1150" s="839"/>
      <c r="B1150" s="840"/>
      <c r="C1150" s="840"/>
      <c r="D1150" s="841"/>
      <c r="E1150" s="842"/>
      <c r="F1150" s="842"/>
      <c r="G1150" s="842"/>
      <c r="H1150" s="840"/>
      <c r="J1150" s="844"/>
      <c r="K1150" s="844"/>
      <c r="L1150" s="844"/>
      <c r="M1150" s="844"/>
      <c r="N1150" s="844"/>
      <c r="O1150" s="844"/>
    </row>
    <row r="1151" spans="1:15" s="843" customFormat="1" x14ac:dyDescent="0.35">
      <c r="A1151" s="839"/>
      <c r="B1151" s="840"/>
      <c r="C1151" s="840"/>
      <c r="D1151" s="841"/>
      <c r="E1151" s="842"/>
      <c r="F1151" s="842"/>
      <c r="G1151" s="842"/>
      <c r="H1151" s="840"/>
      <c r="J1151" s="844"/>
      <c r="K1151" s="844"/>
      <c r="L1151" s="844"/>
      <c r="M1151" s="844"/>
      <c r="N1151" s="844"/>
      <c r="O1151" s="844"/>
    </row>
    <row r="1152" spans="1:15" s="843" customFormat="1" x14ac:dyDescent="0.35">
      <c r="A1152" s="839"/>
      <c r="B1152" s="840"/>
      <c r="C1152" s="840"/>
      <c r="D1152" s="841"/>
      <c r="E1152" s="842"/>
      <c r="F1152" s="842"/>
      <c r="G1152" s="842"/>
      <c r="H1152" s="840"/>
      <c r="J1152" s="844"/>
      <c r="K1152" s="844"/>
      <c r="L1152" s="844"/>
      <c r="M1152" s="844"/>
      <c r="N1152" s="844"/>
      <c r="O1152" s="844"/>
    </row>
    <row r="1153" spans="1:15" s="843" customFormat="1" x14ac:dyDescent="0.35">
      <c r="A1153" s="839"/>
      <c r="B1153" s="840"/>
      <c r="C1153" s="840"/>
      <c r="D1153" s="841"/>
      <c r="E1153" s="842"/>
      <c r="F1153" s="842"/>
      <c r="G1153" s="842"/>
      <c r="H1153" s="840"/>
      <c r="J1153" s="844"/>
      <c r="K1153" s="844"/>
      <c r="L1153" s="844"/>
      <c r="M1153" s="844"/>
      <c r="N1153" s="844"/>
      <c r="O1153" s="844"/>
    </row>
    <row r="1154" spans="1:15" s="843" customFormat="1" x14ac:dyDescent="0.35">
      <c r="A1154" s="839"/>
      <c r="B1154" s="840"/>
      <c r="C1154" s="840"/>
      <c r="D1154" s="841"/>
      <c r="E1154" s="842"/>
      <c r="F1154" s="842"/>
      <c r="G1154" s="842"/>
      <c r="H1154" s="840"/>
      <c r="J1154" s="844"/>
      <c r="K1154" s="844"/>
      <c r="L1154" s="844"/>
      <c r="M1154" s="844"/>
      <c r="N1154" s="844"/>
      <c r="O1154" s="844"/>
    </row>
    <row r="1155" spans="1:15" s="843" customFormat="1" x14ac:dyDescent="0.35">
      <c r="A1155" s="839"/>
      <c r="B1155" s="840"/>
      <c r="C1155" s="840"/>
      <c r="D1155" s="841"/>
      <c r="E1155" s="842"/>
      <c r="F1155" s="842"/>
      <c r="G1155" s="842"/>
      <c r="H1155" s="840"/>
      <c r="J1155" s="844"/>
      <c r="K1155" s="844"/>
      <c r="L1155" s="844"/>
      <c r="M1155" s="844"/>
      <c r="N1155" s="844"/>
      <c r="O1155" s="844"/>
    </row>
    <row r="1156" spans="1:15" s="843" customFormat="1" x14ac:dyDescent="0.35">
      <c r="A1156" s="839"/>
      <c r="B1156" s="840"/>
      <c r="C1156" s="840"/>
      <c r="D1156" s="841"/>
      <c r="E1156" s="842"/>
      <c r="F1156" s="842"/>
      <c r="G1156" s="842"/>
      <c r="H1156" s="840"/>
      <c r="J1156" s="844"/>
      <c r="K1156" s="844"/>
      <c r="L1156" s="844"/>
      <c r="M1156" s="844"/>
      <c r="N1156" s="844"/>
      <c r="O1156" s="844"/>
    </row>
    <row r="1157" spans="1:15" s="843" customFormat="1" x14ac:dyDescent="0.35">
      <c r="A1157" s="839"/>
      <c r="B1157" s="840"/>
      <c r="C1157" s="840"/>
      <c r="D1157" s="841"/>
      <c r="E1157" s="842"/>
      <c r="F1157" s="842"/>
      <c r="G1157" s="842"/>
      <c r="H1157" s="840"/>
      <c r="J1157" s="844"/>
      <c r="K1157" s="844"/>
      <c r="L1157" s="844"/>
      <c r="M1157" s="844"/>
      <c r="N1157" s="844"/>
      <c r="O1157" s="844"/>
    </row>
    <row r="1158" spans="1:15" s="843" customFormat="1" x14ac:dyDescent="0.35">
      <c r="A1158" s="839"/>
      <c r="B1158" s="840"/>
      <c r="C1158" s="840"/>
      <c r="D1158" s="841"/>
      <c r="E1158" s="842"/>
      <c r="F1158" s="842"/>
      <c r="G1158" s="842"/>
      <c r="H1158" s="840"/>
      <c r="J1158" s="844"/>
      <c r="K1158" s="844"/>
      <c r="L1158" s="844"/>
      <c r="M1158" s="844"/>
      <c r="N1158" s="844"/>
      <c r="O1158" s="844"/>
    </row>
    <row r="1159" spans="1:15" s="843" customFormat="1" x14ac:dyDescent="0.35">
      <c r="A1159" s="839"/>
      <c r="B1159" s="840"/>
      <c r="C1159" s="840"/>
      <c r="D1159" s="841"/>
      <c r="E1159" s="842"/>
      <c r="F1159" s="842"/>
      <c r="G1159" s="842"/>
      <c r="H1159" s="840"/>
      <c r="J1159" s="844"/>
      <c r="K1159" s="844"/>
      <c r="L1159" s="844"/>
      <c r="M1159" s="844"/>
      <c r="N1159" s="844"/>
      <c r="O1159" s="844"/>
    </row>
    <row r="1160" spans="1:15" s="843" customFormat="1" x14ac:dyDescent="0.35">
      <c r="A1160" s="839"/>
      <c r="B1160" s="840"/>
      <c r="C1160" s="840"/>
      <c r="D1160" s="841"/>
      <c r="E1160" s="842"/>
      <c r="F1160" s="842"/>
      <c r="G1160" s="842"/>
      <c r="H1160" s="840"/>
      <c r="J1160" s="844"/>
      <c r="K1160" s="844"/>
      <c r="L1160" s="844"/>
      <c r="M1160" s="844"/>
      <c r="N1160" s="844"/>
      <c r="O1160" s="844"/>
    </row>
    <row r="1161" spans="1:15" s="843" customFormat="1" x14ac:dyDescent="0.35">
      <c r="A1161" s="839"/>
      <c r="B1161" s="840"/>
      <c r="C1161" s="840"/>
      <c r="D1161" s="841"/>
      <c r="E1161" s="842"/>
      <c r="F1161" s="842"/>
      <c r="G1161" s="842"/>
      <c r="H1161" s="840"/>
      <c r="J1161" s="844"/>
      <c r="K1161" s="844"/>
      <c r="L1161" s="844"/>
      <c r="M1161" s="844"/>
      <c r="N1161" s="844"/>
      <c r="O1161" s="844"/>
    </row>
    <row r="1162" spans="1:15" s="843" customFormat="1" x14ac:dyDescent="0.35">
      <c r="A1162" s="839"/>
      <c r="B1162" s="840"/>
      <c r="C1162" s="840"/>
      <c r="D1162" s="841"/>
      <c r="E1162" s="842"/>
      <c r="F1162" s="842"/>
      <c r="G1162" s="842"/>
      <c r="H1162" s="840"/>
      <c r="J1162" s="844"/>
      <c r="K1162" s="844"/>
      <c r="L1162" s="844"/>
      <c r="M1162" s="844"/>
      <c r="N1162" s="844"/>
      <c r="O1162" s="844"/>
    </row>
    <row r="1163" spans="1:15" s="843" customFormat="1" x14ac:dyDescent="0.35">
      <c r="A1163" s="839"/>
      <c r="B1163" s="840"/>
      <c r="C1163" s="840"/>
      <c r="D1163" s="841"/>
      <c r="E1163" s="842"/>
      <c r="F1163" s="842"/>
      <c r="G1163" s="842"/>
      <c r="H1163" s="840"/>
      <c r="J1163" s="844"/>
      <c r="K1163" s="844"/>
      <c r="L1163" s="844"/>
      <c r="M1163" s="844"/>
      <c r="N1163" s="844"/>
      <c r="O1163" s="844"/>
    </row>
    <row r="1164" spans="1:15" s="843" customFormat="1" x14ac:dyDescent="0.35">
      <c r="A1164" s="839"/>
      <c r="B1164" s="840"/>
      <c r="C1164" s="840"/>
      <c r="D1164" s="841"/>
      <c r="E1164" s="842"/>
      <c r="F1164" s="842"/>
      <c r="G1164" s="842"/>
      <c r="H1164" s="840"/>
      <c r="J1164" s="844"/>
      <c r="K1164" s="844"/>
      <c r="L1164" s="844"/>
      <c r="M1164" s="844"/>
      <c r="N1164" s="844"/>
      <c r="O1164" s="844"/>
    </row>
    <row r="1165" spans="1:15" s="843" customFormat="1" x14ac:dyDescent="0.35">
      <c r="A1165" s="839"/>
      <c r="B1165" s="840"/>
      <c r="C1165" s="840"/>
      <c r="D1165" s="841"/>
      <c r="E1165" s="842"/>
      <c r="F1165" s="842"/>
      <c r="G1165" s="842"/>
      <c r="H1165" s="840"/>
      <c r="J1165" s="844"/>
      <c r="K1165" s="844"/>
      <c r="L1165" s="844"/>
      <c r="M1165" s="844"/>
      <c r="N1165" s="844"/>
      <c r="O1165" s="844"/>
    </row>
    <row r="1166" spans="1:15" s="843" customFormat="1" x14ac:dyDescent="0.35">
      <c r="A1166" s="839"/>
      <c r="B1166" s="840"/>
      <c r="C1166" s="840"/>
      <c r="D1166" s="841"/>
      <c r="E1166" s="842"/>
      <c r="F1166" s="842"/>
      <c r="G1166" s="842"/>
      <c r="H1166" s="840"/>
      <c r="J1166" s="844"/>
      <c r="K1166" s="844"/>
      <c r="L1166" s="844"/>
      <c r="M1166" s="844"/>
      <c r="N1166" s="844"/>
      <c r="O1166" s="844"/>
    </row>
    <row r="1167" spans="1:15" s="843" customFormat="1" x14ac:dyDescent="0.35">
      <c r="A1167" s="839"/>
      <c r="B1167" s="840"/>
      <c r="C1167" s="840"/>
      <c r="D1167" s="841"/>
      <c r="E1167" s="842"/>
      <c r="F1167" s="842"/>
      <c r="G1167" s="842"/>
      <c r="H1167" s="840"/>
      <c r="J1167" s="844"/>
      <c r="K1167" s="844"/>
      <c r="L1167" s="844"/>
      <c r="M1167" s="844"/>
      <c r="N1167" s="844"/>
      <c r="O1167" s="844"/>
    </row>
    <row r="1168" spans="1:15" s="843" customFormat="1" x14ac:dyDescent="0.35">
      <c r="A1168" s="839"/>
      <c r="B1168" s="840"/>
      <c r="C1168" s="840"/>
      <c r="D1168" s="841"/>
      <c r="E1168" s="842"/>
      <c r="F1168" s="842"/>
      <c r="G1168" s="842"/>
      <c r="H1168" s="840"/>
      <c r="J1168" s="844"/>
      <c r="K1168" s="844"/>
      <c r="L1168" s="844"/>
      <c r="M1168" s="844"/>
      <c r="N1168" s="844"/>
      <c r="O1168" s="844"/>
    </row>
    <row r="1169" spans="1:15" s="843" customFormat="1" x14ac:dyDescent="0.35">
      <c r="A1169" s="839"/>
      <c r="B1169" s="840"/>
      <c r="C1169" s="840"/>
      <c r="D1169" s="841"/>
      <c r="E1169" s="842"/>
      <c r="F1169" s="842"/>
      <c r="G1169" s="842"/>
      <c r="H1169" s="840"/>
      <c r="J1169" s="844"/>
      <c r="K1169" s="844"/>
      <c r="L1169" s="844"/>
      <c r="M1169" s="844"/>
      <c r="N1169" s="844"/>
      <c r="O1169" s="844"/>
    </row>
    <row r="1170" spans="1:15" s="843" customFormat="1" x14ac:dyDescent="0.35">
      <c r="A1170" s="839"/>
      <c r="B1170" s="840"/>
      <c r="C1170" s="840"/>
      <c r="D1170" s="841"/>
      <c r="E1170" s="842"/>
      <c r="F1170" s="842"/>
      <c r="G1170" s="842"/>
      <c r="H1170" s="840"/>
      <c r="J1170" s="844"/>
      <c r="K1170" s="844"/>
      <c r="L1170" s="844"/>
      <c r="M1170" s="844"/>
      <c r="N1170" s="844"/>
      <c r="O1170" s="844"/>
    </row>
    <row r="1171" spans="1:15" s="843" customFormat="1" x14ac:dyDescent="0.35">
      <c r="A1171" s="839"/>
      <c r="B1171" s="840"/>
      <c r="C1171" s="840"/>
      <c r="D1171" s="841"/>
      <c r="E1171" s="842"/>
      <c r="F1171" s="842"/>
      <c r="G1171" s="842"/>
      <c r="H1171" s="840"/>
      <c r="J1171" s="844"/>
      <c r="K1171" s="844"/>
      <c r="L1171" s="844"/>
      <c r="M1171" s="844"/>
      <c r="N1171" s="844"/>
      <c r="O1171" s="844"/>
    </row>
    <row r="1172" spans="1:15" s="843" customFormat="1" x14ac:dyDescent="0.35">
      <c r="A1172" s="839"/>
      <c r="B1172" s="840"/>
      <c r="C1172" s="840"/>
      <c r="D1172" s="841"/>
      <c r="E1172" s="842"/>
      <c r="F1172" s="842"/>
      <c r="G1172" s="842"/>
      <c r="H1172" s="840"/>
      <c r="J1172" s="844"/>
      <c r="K1172" s="844"/>
      <c r="L1172" s="844"/>
      <c r="M1172" s="844"/>
      <c r="N1172" s="844"/>
      <c r="O1172" s="844"/>
    </row>
    <row r="1173" spans="1:15" s="843" customFormat="1" x14ac:dyDescent="0.35">
      <c r="A1173" s="839"/>
      <c r="B1173" s="840"/>
      <c r="C1173" s="840"/>
      <c r="D1173" s="841"/>
      <c r="E1173" s="842"/>
      <c r="F1173" s="842"/>
      <c r="G1173" s="842"/>
      <c r="H1173" s="840"/>
      <c r="J1173" s="844"/>
      <c r="K1173" s="844"/>
      <c r="L1173" s="844"/>
      <c r="M1173" s="844"/>
      <c r="N1173" s="844"/>
      <c r="O1173" s="844"/>
    </row>
    <row r="1174" spans="1:15" s="843" customFormat="1" x14ac:dyDescent="0.35">
      <c r="A1174" s="839"/>
      <c r="B1174" s="840"/>
      <c r="C1174" s="840"/>
      <c r="D1174" s="841"/>
      <c r="E1174" s="842"/>
      <c r="F1174" s="842"/>
      <c r="G1174" s="842"/>
      <c r="H1174" s="840"/>
      <c r="J1174" s="844"/>
      <c r="K1174" s="844"/>
      <c r="L1174" s="844"/>
      <c r="M1174" s="844"/>
      <c r="N1174" s="844"/>
      <c r="O1174" s="844"/>
    </row>
    <row r="1175" spans="1:15" s="843" customFormat="1" x14ac:dyDescent="0.35">
      <c r="A1175" s="839"/>
      <c r="B1175" s="840"/>
      <c r="C1175" s="840"/>
      <c r="D1175" s="841"/>
      <c r="E1175" s="842"/>
      <c r="F1175" s="842"/>
      <c r="G1175" s="842"/>
      <c r="H1175" s="840"/>
      <c r="J1175" s="844"/>
      <c r="K1175" s="844"/>
      <c r="L1175" s="844"/>
      <c r="M1175" s="844"/>
      <c r="N1175" s="844"/>
      <c r="O1175" s="844"/>
    </row>
    <row r="1176" spans="1:15" s="843" customFormat="1" x14ac:dyDescent="0.35">
      <c r="A1176" s="839"/>
      <c r="B1176" s="840"/>
      <c r="C1176" s="840"/>
      <c r="D1176" s="841"/>
      <c r="E1176" s="842"/>
      <c r="F1176" s="842"/>
      <c r="G1176" s="842"/>
      <c r="H1176" s="840"/>
      <c r="J1176" s="844"/>
      <c r="K1176" s="844"/>
      <c r="L1176" s="844"/>
      <c r="M1176" s="844"/>
      <c r="N1176" s="844"/>
      <c r="O1176" s="844"/>
    </row>
    <row r="1177" spans="1:15" s="843" customFormat="1" x14ac:dyDescent="0.35">
      <c r="A1177" s="839"/>
      <c r="B1177" s="840"/>
      <c r="C1177" s="840"/>
      <c r="D1177" s="841"/>
      <c r="E1177" s="842"/>
      <c r="F1177" s="842"/>
      <c r="G1177" s="842"/>
      <c r="H1177" s="840"/>
      <c r="J1177" s="844"/>
      <c r="K1177" s="844"/>
      <c r="L1177" s="844"/>
      <c r="M1177" s="844"/>
      <c r="N1177" s="844"/>
      <c r="O1177" s="844"/>
    </row>
    <row r="1178" spans="1:15" s="843" customFormat="1" x14ac:dyDescent="0.35">
      <c r="A1178" s="839"/>
      <c r="B1178" s="840"/>
      <c r="C1178" s="840"/>
      <c r="D1178" s="841"/>
      <c r="E1178" s="842"/>
      <c r="F1178" s="842"/>
      <c r="G1178" s="842"/>
      <c r="H1178" s="840"/>
      <c r="J1178" s="844"/>
      <c r="K1178" s="844"/>
      <c r="L1178" s="844"/>
      <c r="M1178" s="844"/>
      <c r="N1178" s="844"/>
      <c r="O1178" s="844"/>
    </row>
    <row r="1179" spans="1:15" s="843" customFormat="1" x14ac:dyDescent="0.35">
      <c r="A1179" s="839"/>
      <c r="B1179" s="840"/>
      <c r="C1179" s="840"/>
      <c r="D1179" s="841"/>
      <c r="E1179" s="842"/>
      <c r="F1179" s="842"/>
      <c r="G1179" s="842"/>
      <c r="H1179" s="840"/>
      <c r="J1179" s="844"/>
      <c r="K1179" s="844"/>
      <c r="L1179" s="844"/>
      <c r="M1179" s="844"/>
      <c r="N1179" s="844"/>
      <c r="O1179" s="844"/>
    </row>
    <row r="1180" spans="1:15" s="843" customFormat="1" x14ac:dyDescent="0.35">
      <c r="A1180" s="839"/>
      <c r="B1180" s="840"/>
      <c r="C1180" s="840"/>
      <c r="D1180" s="841"/>
      <c r="E1180" s="842"/>
      <c r="F1180" s="842"/>
      <c r="G1180" s="842"/>
      <c r="H1180" s="840"/>
      <c r="J1180" s="844"/>
      <c r="K1180" s="844"/>
      <c r="L1180" s="844"/>
      <c r="M1180" s="844"/>
      <c r="N1180" s="844"/>
      <c r="O1180" s="844"/>
    </row>
    <row r="1181" spans="1:15" s="843" customFormat="1" x14ac:dyDescent="0.35">
      <c r="A1181" s="839"/>
      <c r="B1181" s="840"/>
      <c r="C1181" s="840"/>
      <c r="D1181" s="841"/>
      <c r="E1181" s="842"/>
      <c r="F1181" s="842"/>
      <c r="G1181" s="842"/>
      <c r="H1181" s="840"/>
      <c r="J1181" s="844"/>
      <c r="K1181" s="844"/>
      <c r="L1181" s="844"/>
      <c r="M1181" s="844"/>
      <c r="N1181" s="844"/>
      <c r="O1181" s="844"/>
    </row>
    <row r="1182" spans="1:15" s="843" customFormat="1" x14ac:dyDescent="0.35">
      <c r="A1182" s="839"/>
      <c r="B1182" s="840"/>
      <c r="C1182" s="840"/>
      <c r="D1182" s="841"/>
      <c r="E1182" s="842"/>
      <c r="F1182" s="842"/>
      <c r="G1182" s="842"/>
      <c r="H1182" s="840"/>
      <c r="J1182" s="844"/>
      <c r="K1182" s="844"/>
      <c r="L1182" s="844"/>
      <c r="M1182" s="844"/>
      <c r="N1182" s="844"/>
      <c r="O1182" s="844"/>
    </row>
    <row r="1183" spans="1:15" s="843" customFormat="1" x14ac:dyDescent="0.35">
      <c r="A1183" s="839"/>
      <c r="B1183" s="840"/>
      <c r="C1183" s="840"/>
      <c r="D1183" s="841"/>
      <c r="E1183" s="842"/>
      <c r="F1183" s="842"/>
      <c r="G1183" s="842"/>
      <c r="H1183" s="840"/>
      <c r="J1183" s="844"/>
      <c r="K1183" s="844"/>
      <c r="L1183" s="844"/>
      <c r="M1183" s="844"/>
      <c r="N1183" s="844"/>
      <c r="O1183" s="844"/>
    </row>
    <row r="1184" spans="1:15" s="843" customFormat="1" x14ac:dyDescent="0.35">
      <c r="A1184" s="839"/>
      <c r="B1184" s="840"/>
      <c r="C1184" s="840"/>
      <c r="D1184" s="841"/>
      <c r="E1184" s="842"/>
      <c r="F1184" s="842"/>
      <c r="G1184" s="842"/>
      <c r="H1184" s="840"/>
      <c r="J1184" s="844"/>
      <c r="K1184" s="844"/>
      <c r="L1184" s="844"/>
      <c r="M1184" s="844"/>
      <c r="N1184" s="844"/>
      <c r="O1184" s="844"/>
    </row>
    <row r="1185" spans="1:15" s="843" customFormat="1" x14ac:dyDescent="0.35">
      <c r="A1185" s="839"/>
      <c r="B1185" s="840"/>
      <c r="C1185" s="840"/>
      <c r="D1185" s="841"/>
      <c r="E1185" s="842"/>
      <c r="F1185" s="842"/>
      <c r="G1185" s="842"/>
      <c r="H1185" s="840"/>
      <c r="J1185" s="844"/>
      <c r="K1185" s="844"/>
      <c r="L1185" s="844"/>
      <c r="M1185" s="844"/>
      <c r="N1185" s="844"/>
      <c r="O1185" s="844"/>
    </row>
    <row r="1186" spans="1:15" s="843" customFormat="1" x14ac:dyDescent="0.35">
      <c r="A1186" s="839"/>
      <c r="B1186" s="840"/>
      <c r="C1186" s="840"/>
      <c r="D1186" s="841"/>
      <c r="E1186" s="842"/>
      <c r="F1186" s="842"/>
      <c r="G1186" s="842"/>
      <c r="H1186" s="840"/>
      <c r="J1186" s="844"/>
      <c r="K1186" s="844"/>
      <c r="L1186" s="844"/>
      <c r="M1186" s="844"/>
      <c r="N1186" s="844"/>
      <c r="O1186" s="844"/>
    </row>
    <row r="1187" spans="1:15" s="843" customFormat="1" x14ac:dyDescent="0.35">
      <c r="A1187" s="839"/>
      <c r="B1187" s="840"/>
      <c r="C1187" s="840"/>
      <c r="D1187" s="841"/>
      <c r="E1187" s="842"/>
      <c r="F1187" s="842"/>
      <c r="G1187" s="842"/>
      <c r="H1187" s="840"/>
      <c r="J1187" s="844"/>
      <c r="K1187" s="844"/>
      <c r="L1187" s="844"/>
      <c r="M1187" s="844"/>
      <c r="N1187" s="844"/>
      <c r="O1187" s="844"/>
    </row>
    <row r="1188" spans="1:15" s="843" customFormat="1" x14ac:dyDescent="0.35">
      <c r="A1188" s="839"/>
      <c r="B1188" s="840"/>
      <c r="C1188" s="840"/>
      <c r="D1188" s="841"/>
      <c r="E1188" s="842"/>
      <c r="F1188" s="842"/>
      <c r="G1188" s="842"/>
      <c r="H1188" s="840"/>
      <c r="J1188" s="844"/>
      <c r="K1188" s="844"/>
      <c r="L1188" s="844"/>
      <c r="M1188" s="844"/>
      <c r="N1188" s="844"/>
      <c r="O1188" s="844"/>
    </row>
    <row r="1189" spans="1:15" s="843" customFormat="1" x14ac:dyDescent="0.35">
      <c r="A1189" s="839"/>
      <c r="B1189" s="840"/>
      <c r="C1189" s="840"/>
      <c r="D1189" s="841"/>
      <c r="E1189" s="842"/>
      <c r="F1189" s="842"/>
      <c r="G1189" s="842"/>
      <c r="H1189" s="840"/>
      <c r="J1189" s="844"/>
      <c r="K1189" s="844"/>
      <c r="L1189" s="844"/>
      <c r="M1189" s="844"/>
      <c r="N1189" s="844"/>
      <c r="O1189" s="844"/>
    </row>
    <row r="1190" spans="1:15" s="843" customFormat="1" x14ac:dyDescent="0.35">
      <c r="A1190" s="839"/>
      <c r="B1190" s="840"/>
      <c r="C1190" s="840"/>
      <c r="D1190" s="841"/>
      <c r="E1190" s="842"/>
      <c r="F1190" s="842"/>
      <c r="G1190" s="842"/>
      <c r="H1190" s="840"/>
      <c r="J1190" s="844"/>
      <c r="K1190" s="844"/>
      <c r="L1190" s="844"/>
      <c r="M1190" s="844"/>
      <c r="N1190" s="844"/>
      <c r="O1190" s="844"/>
    </row>
    <row r="1191" spans="1:15" s="843" customFormat="1" x14ac:dyDescent="0.35">
      <c r="A1191" s="839"/>
      <c r="B1191" s="840"/>
      <c r="C1191" s="840"/>
      <c r="D1191" s="841"/>
      <c r="E1191" s="842"/>
      <c r="F1191" s="842"/>
      <c r="G1191" s="842"/>
      <c r="H1191" s="840"/>
      <c r="J1191" s="844"/>
      <c r="K1191" s="844"/>
      <c r="L1191" s="844"/>
      <c r="M1191" s="844"/>
      <c r="N1191" s="844"/>
      <c r="O1191" s="844"/>
    </row>
    <row r="1192" spans="1:15" s="843" customFormat="1" x14ac:dyDescent="0.35">
      <c r="A1192" s="839"/>
      <c r="B1192" s="840"/>
      <c r="C1192" s="840"/>
      <c r="D1192" s="841"/>
      <c r="E1192" s="842"/>
      <c r="F1192" s="842"/>
      <c r="G1192" s="842"/>
      <c r="H1192" s="840"/>
      <c r="J1192" s="844"/>
      <c r="K1192" s="844"/>
      <c r="L1192" s="844"/>
      <c r="M1192" s="844"/>
      <c r="N1192" s="844"/>
      <c r="O1192" s="844"/>
    </row>
    <row r="1193" spans="1:15" s="843" customFormat="1" x14ac:dyDescent="0.35">
      <c r="A1193" s="839"/>
      <c r="B1193" s="840"/>
      <c r="C1193" s="840"/>
      <c r="D1193" s="841"/>
      <c r="E1193" s="842"/>
      <c r="F1193" s="842"/>
      <c r="G1193" s="842"/>
      <c r="H1193" s="840"/>
      <c r="J1193" s="844"/>
      <c r="K1193" s="844"/>
      <c r="L1193" s="844"/>
      <c r="M1193" s="844"/>
      <c r="N1193" s="844"/>
      <c r="O1193" s="844"/>
    </row>
    <row r="1194" spans="1:15" s="843" customFormat="1" x14ac:dyDescent="0.35">
      <c r="A1194" s="839"/>
      <c r="B1194" s="840"/>
      <c r="C1194" s="840"/>
      <c r="D1194" s="841"/>
      <c r="E1194" s="842"/>
      <c r="F1194" s="842"/>
      <c r="G1194" s="842"/>
      <c r="H1194" s="840"/>
      <c r="J1194" s="844"/>
      <c r="K1194" s="844"/>
      <c r="L1194" s="844"/>
      <c r="M1194" s="844"/>
      <c r="N1194" s="844"/>
      <c r="O1194" s="844"/>
    </row>
    <row r="1195" spans="1:15" s="843" customFormat="1" x14ac:dyDescent="0.35">
      <c r="A1195" s="839"/>
      <c r="B1195" s="840"/>
      <c r="C1195" s="840"/>
      <c r="D1195" s="841"/>
      <c r="E1195" s="842"/>
      <c r="F1195" s="842"/>
      <c r="G1195" s="842"/>
      <c r="H1195" s="840"/>
      <c r="J1195" s="844"/>
      <c r="K1195" s="844"/>
      <c r="L1195" s="844"/>
      <c r="M1195" s="844"/>
      <c r="N1195" s="844"/>
      <c r="O1195" s="844"/>
    </row>
    <row r="1196" spans="1:15" s="843" customFormat="1" x14ac:dyDescent="0.35">
      <c r="A1196" s="839"/>
      <c r="B1196" s="840"/>
      <c r="C1196" s="840"/>
      <c r="D1196" s="841"/>
      <c r="E1196" s="842"/>
      <c r="F1196" s="842"/>
      <c r="G1196" s="842"/>
      <c r="H1196" s="840"/>
      <c r="J1196" s="844"/>
      <c r="K1196" s="844"/>
      <c r="L1196" s="844"/>
      <c r="M1196" s="844"/>
      <c r="N1196" s="844"/>
      <c r="O1196" s="844"/>
    </row>
    <row r="1197" spans="1:15" s="843" customFormat="1" x14ac:dyDescent="0.35">
      <c r="A1197" s="839"/>
      <c r="B1197" s="840"/>
      <c r="C1197" s="840"/>
      <c r="D1197" s="841"/>
      <c r="E1197" s="842"/>
      <c r="F1197" s="842"/>
      <c r="G1197" s="842"/>
      <c r="H1197" s="840"/>
      <c r="J1197" s="844"/>
      <c r="K1197" s="844"/>
      <c r="L1197" s="844"/>
      <c r="M1197" s="844"/>
      <c r="N1197" s="844"/>
      <c r="O1197" s="844"/>
    </row>
    <row r="1198" spans="1:15" s="843" customFormat="1" x14ac:dyDescent="0.35">
      <c r="A1198" s="839"/>
      <c r="B1198" s="840"/>
      <c r="C1198" s="840"/>
      <c r="D1198" s="841"/>
      <c r="E1198" s="842"/>
      <c r="F1198" s="842"/>
      <c r="G1198" s="842"/>
      <c r="H1198" s="840"/>
      <c r="J1198" s="844"/>
      <c r="K1198" s="844"/>
      <c r="L1198" s="844"/>
      <c r="M1198" s="844"/>
      <c r="N1198" s="844"/>
      <c r="O1198" s="844"/>
    </row>
    <row r="1199" spans="1:15" s="843" customFormat="1" x14ac:dyDescent="0.35">
      <c r="A1199" s="839"/>
      <c r="B1199" s="840"/>
      <c r="C1199" s="840"/>
      <c r="D1199" s="841"/>
      <c r="E1199" s="842"/>
      <c r="F1199" s="842"/>
      <c r="G1199" s="842"/>
      <c r="H1199" s="840"/>
      <c r="J1199" s="844"/>
      <c r="K1199" s="844"/>
      <c r="L1199" s="844"/>
      <c r="M1199" s="844"/>
      <c r="N1199" s="844"/>
      <c r="O1199" s="844"/>
    </row>
    <row r="1200" spans="1:15" s="843" customFormat="1" x14ac:dyDescent="0.35">
      <c r="A1200" s="839"/>
      <c r="B1200" s="840"/>
      <c r="C1200" s="840"/>
      <c r="D1200" s="841"/>
      <c r="E1200" s="842"/>
      <c r="F1200" s="842"/>
      <c r="G1200" s="842"/>
      <c r="H1200" s="840"/>
      <c r="J1200" s="844"/>
      <c r="K1200" s="844"/>
      <c r="L1200" s="844"/>
      <c r="M1200" s="844"/>
      <c r="N1200" s="844"/>
      <c r="O1200" s="844"/>
    </row>
    <row r="1201" spans="1:15" s="843" customFormat="1" x14ac:dyDescent="0.35">
      <c r="A1201" s="839"/>
      <c r="B1201" s="840"/>
      <c r="C1201" s="840"/>
      <c r="D1201" s="841"/>
      <c r="E1201" s="842"/>
      <c r="F1201" s="842"/>
      <c r="G1201" s="842"/>
      <c r="H1201" s="840"/>
      <c r="J1201" s="844"/>
      <c r="K1201" s="844"/>
      <c r="L1201" s="844"/>
      <c r="M1201" s="844"/>
      <c r="N1201" s="844"/>
      <c r="O1201" s="844"/>
    </row>
  </sheetData>
  <mergeCells count="18">
    <mergeCell ref="B2:D2"/>
    <mergeCell ref="G2:I2"/>
    <mergeCell ref="B3:N3"/>
    <mergeCell ref="B4:N4"/>
    <mergeCell ref="M5:N5"/>
    <mergeCell ref="I7:I8"/>
    <mergeCell ref="J7:N7"/>
    <mergeCell ref="D210:E210"/>
    <mergeCell ref="B7:B8"/>
    <mergeCell ref="C7:C8"/>
    <mergeCell ref="D7:D8"/>
    <mergeCell ref="E7:E8"/>
    <mergeCell ref="F7:F8"/>
    <mergeCell ref="D1064:G1064"/>
    <mergeCell ref="B1079:D1079"/>
    <mergeCell ref="B1081:D1081"/>
    <mergeCell ref="G7:G8"/>
    <mergeCell ref="H7:H8"/>
  </mergeCells>
  <printOptions horizontalCentered="1"/>
  <pageMargins left="0.196527777777778" right="0.196527777777778" top="0.59027777777777801" bottom="0.59027777777777801" header="0.511811023622047" footer="0.51180555555555596"/>
  <pageSetup paperSize="9" scale="66" orientation="landscape" horizontalDpi="300" verticalDpi="300" r:id="rId1"/>
  <headerFooter>
    <oddFooter>&amp;C-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704"/>
  <sheetViews>
    <sheetView view="pageBreakPreview" zoomScaleNormal="100" workbookViewId="0">
      <pane ySplit="9" topLeftCell="A635" activePane="bottomLeft" state="frozen"/>
      <selection pane="bottomLeft" activeCell="B1" sqref="B1"/>
    </sheetView>
  </sheetViews>
  <sheetFormatPr defaultColWidth="9.28515625" defaultRowHeight="15" x14ac:dyDescent="0.3"/>
  <cols>
    <col min="1" max="1" width="3.7109375" style="1153" customWidth="1"/>
    <col min="2" max="2" width="5.7109375" style="1154" customWidth="1"/>
    <col min="3" max="3" width="5.7109375" style="1155" customWidth="1"/>
    <col min="4" max="4" width="59.7109375" style="1156" customWidth="1"/>
    <col min="5" max="7" width="10.7109375" style="1157" customWidth="1"/>
    <col min="8" max="8" width="6.7109375" style="1158" customWidth="1"/>
    <col min="9" max="11" width="14.7109375" style="1157" customWidth="1"/>
    <col min="12" max="12" width="15.7109375" style="1157" customWidth="1"/>
    <col min="13" max="13" width="13.7109375" style="1159" customWidth="1"/>
    <col min="14" max="16384" width="9.28515625" style="1160"/>
  </cols>
  <sheetData>
    <row r="1" spans="1:251" ht="16.5" x14ac:dyDescent="0.3">
      <c r="B1" s="8" t="s">
        <v>1107</v>
      </c>
      <c r="C1" s="8"/>
      <c r="D1" s="8"/>
      <c r="E1" s="8"/>
      <c r="F1" s="8"/>
      <c r="G1" s="8"/>
      <c r="H1" s="8"/>
      <c r="I1" s="8"/>
      <c r="J1" s="8"/>
    </row>
    <row r="2" spans="1:251" s="1166" customFormat="1" ht="18" customHeight="1" x14ac:dyDescent="0.3">
      <c r="A2" s="1161"/>
      <c r="B2" s="1999" t="s">
        <v>762</v>
      </c>
      <c r="C2" s="1999"/>
      <c r="D2" s="1999"/>
      <c r="E2" s="1162"/>
      <c r="F2" s="1162"/>
      <c r="G2" s="1162"/>
      <c r="H2" s="1163"/>
      <c r="I2" s="2000"/>
      <c r="J2" s="2000"/>
      <c r="K2" s="2000"/>
      <c r="L2" s="2000"/>
      <c r="M2" s="2000"/>
      <c r="N2" s="1165"/>
      <c r="O2" s="1165"/>
      <c r="P2" s="1165"/>
      <c r="Q2" s="1165"/>
      <c r="R2" s="1165"/>
      <c r="S2" s="1165"/>
      <c r="T2" s="1165"/>
      <c r="U2" s="1165"/>
      <c r="V2" s="1165"/>
      <c r="W2" s="1165"/>
      <c r="X2" s="1165"/>
      <c r="Y2" s="1165"/>
      <c r="Z2" s="1165"/>
      <c r="AA2" s="1165"/>
      <c r="AB2" s="1165"/>
      <c r="AC2" s="1165"/>
      <c r="AD2" s="1165"/>
      <c r="AE2" s="1165"/>
      <c r="AF2" s="1165"/>
      <c r="AG2" s="1165"/>
      <c r="AH2" s="1165"/>
      <c r="AI2" s="1165"/>
      <c r="AJ2" s="1165"/>
      <c r="AK2" s="1165"/>
      <c r="AL2" s="1165"/>
      <c r="AM2" s="1165"/>
      <c r="AN2" s="1165"/>
      <c r="AO2" s="1165"/>
      <c r="AP2" s="1165"/>
      <c r="AQ2" s="1165"/>
      <c r="AR2" s="1165"/>
      <c r="AS2" s="1165"/>
      <c r="AT2" s="1165"/>
      <c r="AU2" s="1165"/>
      <c r="AV2" s="1165"/>
      <c r="AW2" s="1165"/>
      <c r="AX2" s="1165"/>
      <c r="AY2" s="1165"/>
      <c r="AZ2" s="1165"/>
      <c r="BA2" s="1165"/>
      <c r="BB2" s="1165"/>
      <c r="BC2" s="1165"/>
      <c r="BD2" s="1165"/>
      <c r="BE2" s="1165"/>
      <c r="BF2" s="1165"/>
      <c r="BG2" s="1165"/>
      <c r="BH2" s="1165"/>
      <c r="BI2" s="1165"/>
      <c r="BJ2" s="1165"/>
      <c r="BK2" s="1165"/>
      <c r="BL2" s="1165"/>
      <c r="BM2" s="1165"/>
      <c r="BN2" s="1165"/>
      <c r="BO2" s="1165"/>
      <c r="BP2" s="1165"/>
      <c r="BQ2" s="1165"/>
      <c r="BR2" s="1165"/>
      <c r="BS2" s="1165"/>
      <c r="BT2" s="1165"/>
      <c r="BU2" s="1165"/>
      <c r="BV2" s="1165"/>
      <c r="BW2" s="1165"/>
      <c r="BX2" s="1165"/>
      <c r="BY2" s="1165"/>
      <c r="BZ2" s="1165"/>
      <c r="CA2" s="1165"/>
      <c r="CB2" s="1165"/>
      <c r="CC2" s="1165"/>
      <c r="CD2" s="1165"/>
      <c r="CE2" s="1165"/>
      <c r="CF2" s="1165"/>
      <c r="CG2" s="1165"/>
      <c r="CH2" s="1165"/>
      <c r="CI2" s="1165"/>
      <c r="CJ2" s="1165"/>
      <c r="CK2" s="1165"/>
      <c r="CL2" s="1165"/>
      <c r="CM2" s="1165"/>
      <c r="CN2" s="1165"/>
      <c r="CO2" s="1165"/>
      <c r="CP2" s="1165"/>
      <c r="CQ2" s="1165"/>
      <c r="CR2" s="1165"/>
      <c r="CS2" s="1165"/>
      <c r="CT2" s="1165"/>
      <c r="CU2" s="1165"/>
      <c r="CV2" s="1165"/>
      <c r="CW2" s="1165"/>
      <c r="CX2" s="1165"/>
      <c r="CY2" s="1165"/>
      <c r="CZ2" s="1165"/>
      <c r="DA2" s="1165"/>
      <c r="DB2" s="1165"/>
      <c r="DC2" s="1165"/>
      <c r="DD2" s="1165"/>
      <c r="DE2" s="1165"/>
      <c r="DF2" s="1165"/>
      <c r="DG2" s="1165"/>
      <c r="DH2" s="1165"/>
      <c r="DI2" s="1165"/>
      <c r="DJ2" s="1165"/>
      <c r="DK2" s="1165"/>
      <c r="DL2" s="1165"/>
      <c r="DM2" s="1165"/>
      <c r="DN2" s="1165"/>
      <c r="DO2" s="1165"/>
      <c r="DP2" s="1165"/>
      <c r="DQ2" s="1165"/>
      <c r="DR2" s="1165"/>
      <c r="DS2" s="1165"/>
      <c r="DT2" s="1165"/>
      <c r="DU2" s="1165"/>
      <c r="DV2" s="1165"/>
      <c r="DW2" s="1165"/>
      <c r="DX2" s="1165"/>
      <c r="DY2" s="1165"/>
      <c r="DZ2" s="1165"/>
      <c r="EA2" s="1165"/>
      <c r="EB2" s="1165"/>
      <c r="EC2" s="1165"/>
      <c r="ED2" s="1165"/>
      <c r="EE2" s="1165"/>
      <c r="EF2" s="1165"/>
      <c r="EG2" s="1165"/>
      <c r="EH2" s="1165"/>
      <c r="EI2" s="1165"/>
      <c r="EJ2" s="1165"/>
      <c r="EK2" s="1165"/>
      <c r="EL2" s="1165"/>
      <c r="EM2" s="1165"/>
      <c r="EN2" s="1165"/>
      <c r="EO2" s="1165"/>
      <c r="EP2" s="1165"/>
      <c r="EQ2" s="1165"/>
      <c r="ER2" s="1165"/>
      <c r="ES2" s="1165"/>
      <c r="ET2" s="1165"/>
      <c r="EU2" s="1165"/>
      <c r="EV2" s="1165"/>
      <c r="EW2" s="1165"/>
      <c r="EX2" s="1165"/>
      <c r="EY2" s="1165"/>
      <c r="EZ2" s="1165"/>
      <c r="FA2" s="1165"/>
      <c r="FB2" s="1165"/>
      <c r="FC2" s="1165"/>
      <c r="FD2" s="1165"/>
      <c r="FE2" s="1165"/>
      <c r="FF2" s="1165"/>
      <c r="FG2" s="1165"/>
      <c r="FH2" s="1165"/>
      <c r="FI2" s="1165"/>
      <c r="FJ2" s="1165"/>
      <c r="FK2" s="1165"/>
      <c r="FL2" s="1165"/>
      <c r="FM2" s="1165"/>
      <c r="FN2" s="1165"/>
      <c r="FO2" s="1165"/>
      <c r="FP2" s="1165"/>
      <c r="FQ2" s="1165"/>
      <c r="FR2" s="1165"/>
      <c r="FS2" s="1165"/>
      <c r="FT2" s="1165"/>
      <c r="FU2" s="1165"/>
      <c r="FV2" s="1165"/>
      <c r="FW2" s="1165"/>
      <c r="FX2" s="1165"/>
      <c r="FY2" s="1165"/>
      <c r="FZ2" s="1165"/>
      <c r="GA2" s="1165"/>
      <c r="GB2" s="1165"/>
      <c r="GC2" s="1165"/>
      <c r="GD2" s="1165"/>
      <c r="GE2" s="1165"/>
      <c r="GF2" s="1165"/>
      <c r="GG2" s="1165"/>
      <c r="GH2" s="1165"/>
      <c r="GI2" s="1165"/>
      <c r="GJ2" s="1165"/>
      <c r="GK2" s="1165"/>
      <c r="GL2" s="1165"/>
      <c r="GM2" s="1165"/>
      <c r="GN2" s="1165"/>
      <c r="GO2" s="1165"/>
      <c r="GP2" s="1165"/>
      <c r="GQ2" s="1165"/>
      <c r="GR2" s="1165"/>
      <c r="GS2" s="1165"/>
      <c r="GT2" s="1165"/>
      <c r="GU2" s="1165"/>
      <c r="GV2" s="1165"/>
      <c r="GW2" s="1165"/>
      <c r="GX2" s="1165"/>
      <c r="GY2" s="1165"/>
      <c r="GZ2" s="1165"/>
      <c r="HA2" s="1165"/>
      <c r="HB2" s="1165"/>
      <c r="HC2" s="1165"/>
      <c r="HD2" s="1165"/>
      <c r="HE2" s="1165"/>
      <c r="HF2" s="1165"/>
      <c r="HG2" s="1165"/>
      <c r="HH2" s="1165"/>
      <c r="HI2" s="1165"/>
      <c r="HJ2" s="1165"/>
      <c r="HK2" s="1165"/>
      <c r="HL2" s="1165"/>
      <c r="HM2" s="1165"/>
      <c r="HN2" s="1165"/>
      <c r="HO2" s="1165"/>
      <c r="HP2" s="1165"/>
      <c r="HQ2" s="1165"/>
      <c r="HR2" s="1165"/>
      <c r="HS2" s="1165"/>
      <c r="HT2" s="1165"/>
      <c r="HU2" s="1165"/>
      <c r="HV2" s="1165"/>
      <c r="HW2" s="1165"/>
      <c r="HX2" s="1165"/>
      <c r="HY2" s="1165"/>
      <c r="HZ2" s="1165"/>
      <c r="IA2" s="1165"/>
      <c r="IB2" s="1165"/>
      <c r="IC2" s="1165"/>
      <c r="ID2" s="1165"/>
      <c r="IE2" s="1165"/>
      <c r="IF2" s="1165"/>
      <c r="IG2" s="1165"/>
      <c r="IH2" s="1165"/>
      <c r="II2" s="1165"/>
      <c r="IJ2" s="1165"/>
      <c r="IK2" s="1165"/>
      <c r="IL2" s="1165"/>
      <c r="IM2" s="1165"/>
      <c r="IN2" s="1165"/>
      <c r="IO2" s="1165"/>
      <c r="IP2" s="1165"/>
      <c r="IQ2" s="1165"/>
    </row>
    <row r="3" spans="1:251" s="1166" customFormat="1" ht="18" customHeight="1" x14ac:dyDescent="0.35">
      <c r="A3" s="1153"/>
      <c r="B3" s="2001" t="s">
        <v>518</v>
      </c>
      <c r="C3" s="2001"/>
      <c r="D3" s="2001"/>
      <c r="E3" s="2001"/>
      <c r="F3" s="2001"/>
      <c r="G3" s="2001"/>
      <c r="H3" s="2001"/>
      <c r="I3" s="2001"/>
      <c r="J3" s="2001"/>
      <c r="K3" s="2001"/>
      <c r="L3" s="2001"/>
      <c r="M3" s="2001"/>
    </row>
    <row r="4" spans="1:251" s="1166" customFormat="1" ht="18" customHeight="1" x14ac:dyDescent="0.3">
      <c r="A4" s="1153"/>
      <c r="B4" s="2002" t="s">
        <v>763</v>
      </c>
      <c r="C4" s="2002"/>
      <c r="D4" s="2002"/>
      <c r="E4" s="2002"/>
      <c r="F4" s="2002"/>
      <c r="G4" s="2002"/>
      <c r="H4" s="2002"/>
      <c r="I4" s="2002"/>
      <c r="J4" s="2002"/>
      <c r="K4" s="2002"/>
      <c r="L4" s="2002"/>
      <c r="M4" s="2002"/>
    </row>
    <row r="5" spans="1:251" ht="18" customHeight="1" x14ac:dyDescent="0.3">
      <c r="M5" s="1167" t="s">
        <v>0</v>
      </c>
    </row>
    <row r="6" spans="1:251" s="1171" customFormat="1" ht="18" customHeight="1" x14ac:dyDescent="0.3">
      <c r="A6" s="1153"/>
      <c r="B6" s="1168" t="s">
        <v>1</v>
      </c>
      <c r="C6" s="1169" t="s">
        <v>2</v>
      </c>
      <c r="D6" s="1170" t="s">
        <v>98</v>
      </c>
      <c r="E6" s="1170" t="s">
        <v>99</v>
      </c>
      <c r="F6" s="1170" t="s">
        <v>100</v>
      </c>
      <c r="G6" s="1170" t="s">
        <v>101</v>
      </c>
      <c r="H6" s="1170" t="s">
        <v>102</v>
      </c>
      <c r="I6" s="1170" t="s">
        <v>103</v>
      </c>
      <c r="J6" s="1170" t="s">
        <v>104</v>
      </c>
      <c r="K6" s="1170" t="s">
        <v>105</v>
      </c>
      <c r="L6" s="1170" t="s">
        <v>106</v>
      </c>
      <c r="M6" s="1170" t="s">
        <v>107</v>
      </c>
      <c r="N6" s="1153"/>
      <c r="O6" s="1153"/>
      <c r="P6" s="1153"/>
      <c r="Q6" s="1153"/>
      <c r="R6" s="1153"/>
      <c r="S6" s="1153"/>
      <c r="T6" s="1153"/>
      <c r="U6" s="1153"/>
      <c r="V6" s="1153"/>
      <c r="W6" s="1153"/>
      <c r="X6" s="1153"/>
      <c r="Y6" s="1153"/>
      <c r="Z6" s="1153"/>
      <c r="AA6" s="1153"/>
      <c r="AB6" s="1153"/>
      <c r="AC6" s="1153"/>
      <c r="AD6" s="1153"/>
      <c r="AE6" s="1153"/>
      <c r="AF6" s="1153"/>
      <c r="AG6" s="1153"/>
      <c r="AH6" s="1153"/>
      <c r="AI6" s="1153"/>
      <c r="AJ6" s="1153"/>
      <c r="AK6" s="1153"/>
      <c r="AL6" s="1153"/>
      <c r="AM6" s="1153"/>
      <c r="AN6" s="1153"/>
      <c r="AO6" s="1153"/>
      <c r="AP6" s="1153"/>
      <c r="AQ6" s="1153"/>
      <c r="AR6" s="1153"/>
      <c r="AS6" s="1153"/>
      <c r="AT6" s="1153"/>
      <c r="AU6" s="1153"/>
      <c r="AV6" s="1153"/>
      <c r="AW6" s="1153"/>
      <c r="AX6" s="1153"/>
      <c r="AY6" s="1153"/>
      <c r="AZ6" s="1153"/>
      <c r="BA6" s="1153"/>
      <c r="BB6" s="1153"/>
      <c r="BC6" s="1153"/>
      <c r="BD6" s="1153"/>
      <c r="BE6" s="1153"/>
      <c r="BF6" s="1153"/>
      <c r="BG6" s="1153"/>
      <c r="BH6" s="1153"/>
      <c r="BI6" s="1153"/>
      <c r="BJ6" s="1153"/>
      <c r="BK6" s="1153"/>
      <c r="BL6" s="1153"/>
      <c r="BM6" s="1153"/>
      <c r="BN6" s="1153"/>
      <c r="BO6" s="1153"/>
      <c r="BP6" s="1153"/>
      <c r="BQ6" s="1153"/>
      <c r="BR6" s="1153"/>
      <c r="BS6" s="1153"/>
      <c r="BT6" s="1153"/>
      <c r="BU6" s="1153"/>
      <c r="BV6" s="1153"/>
      <c r="BW6" s="1153"/>
      <c r="BX6" s="1153"/>
      <c r="BY6" s="1153"/>
      <c r="BZ6" s="1153"/>
      <c r="CA6" s="1153"/>
      <c r="CB6" s="1153"/>
      <c r="CC6" s="1153"/>
      <c r="CD6" s="1153"/>
      <c r="CE6" s="1153"/>
      <c r="CF6" s="1153"/>
      <c r="CG6" s="1153"/>
      <c r="CH6" s="1153"/>
      <c r="CI6" s="1153"/>
      <c r="CJ6" s="1153"/>
      <c r="CK6" s="1153"/>
      <c r="CL6" s="1153"/>
      <c r="CM6" s="1153"/>
      <c r="CN6" s="1153"/>
      <c r="CO6" s="1153"/>
      <c r="CP6" s="1153"/>
      <c r="CQ6" s="1153"/>
      <c r="CR6" s="1153"/>
      <c r="CS6" s="1153"/>
      <c r="CT6" s="1153"/>
      <c r="CU6" s="1153"/>
      <c r="CV6" s="1153"/>
      <c r="CW6" s="1153"/>
      <c r="CX6" s="1153"/>
      <c r="CY6" s="1153"/>
      <c r="CZ6" s="1153"/>
      <c r="DA6" s="1153"/>
      <c r="DB6" s="1153"/>
      <c r="DC6" s="1153"/>
      <c r="DD6" s="1153"/>
      <c r="DE6" s="1153"/>
      <c r="DF6" s="1153"/>
      <c r="DG6" s="1153"/>
      <c r="DH6" s="1153"/>
      <c r="DI6" s="1153"/>
      <c r="DJ6" s="1153"/>
      <c r="DK6" s="1153"/>
      <c r="DL6" s="1153"/>
      <c r="DM6" s="1153"/>
      <c r="DN6" s="1153"/>
      <c r="DO6" s="1153"/>
      <c r="DP6" s="1153"/>
      <c r="DQ6" s="1153"/>
      <c r="DR6" s="1153"/>
      <c r="DS6" s="1153"/>
      <c r="DT6" s="1153"/>
      <c r="DU6" s="1153"/>
      <c r="DV6" s="1153"/>
      <c r="DW6" s="1153"/>
      <c r="DX6" s="1153"/>
      <c r="DY6" s="1153"/>
      <c r="DZ6" s="1153"/>
      <c r="EA6" s="1153"/>
      <c r="EB6" s="1153"/>
      <c r="EC6" s="1153"/>
      <c r="ED6" s="1153"/>
      <c r="EE6" s="1153"/>
      <c r="EF6" s="1153"/>
      <c r="EG6" s="1153"/>
      <c r="EH6" s="1153"/>
      <c r="EI6" s="1153"/>
      <c r="EJ6" s="1153"/>
      <c r="EK6" s="1153"/>
      <c r="EL6" s="1153"/>
      <c r="EM6" s="1153"/>
      <c r="EN6" s="1153"/>
      <c r="EO6" s="1153"/>
      <c r="EP6" s="1153"/>
      <c r="EQ6" s="1153"/>
      <c r="ER6" s="1153"/>
      <c r="ES6" s="1153"/>
      <c r="ET6" s="1153"/>
      <c r="EU6" s="1153"/>
      <c r="EV6" s="1153"/>
      <c r="EW6" s="1153"/>
      <c r="EX6" s="1153"/>
      <c r="EY6" s="1153"/>
      <c r="EZ6" s="1153"/>
      <c r="FA6" s="1153"/>
      <c r="FB6" s="1153"/>
      <c r="FC6" s="1153"/>
      <c r="FD6" s="1153"/>
      <c r="FE6" s="1153"/>
      <c r="FF6" s="1153"/>
      <c r="FG6" s="1153"/>
      <c r="FH6" s="1153"/>
      <c r="FI6" s="1153"/>
      <c r="FJ6" s="1153"/>
      <c r="FK6" s="1153"/>
      <c r="FL6" s="1153"/>
      <c r="FM6" s="1153"/>
      <c r="FN6" s="1153"/>
      <c r="FO6" s="1153"/>
      <c r="FP6" s="1153"/>
      <c r="FQ6" s="1153"/>
      <c r="FR6" s="1153"/>
      <c r="FS6" s="1153"/>
      <c r="FT6" s="1153"/>
      <c r="FU6" s="1153"/>
      <c r="FV6" s="1153"/>
      <c r="FW6" s="1153"/>
      <c r="FX6" s="1153"/>
      <c r="FY6" s="1153"/>
      <c r="FZ6" s="1153"/>
      <c r="GA6" s="1153"/>
      <c r="GB6" s="1153"/>
      <c r="GC6" s="1153"/>
      <c r="GD6" s="1153"/>
      <c r="GE6" s="1153"/>
      <c r="GF6" s="1153"/>
      <c r="GG6" s="1153"/>
      <c r="GH6" s="1153"/>
      <c r="GI6" s="1153"/>
      <c r="GJ6" s="1153"/>
      <c r="GK6" s="1153"/>
      <c r="GL6" s="1153"/>
      <c r="GM6" s="1153"/>
      <c r="GN6" s="1153"/>
      <c r="GO6" s="1153"/>
      <c r="GP6" s="1153"/>
      <c r="GQ6" s="1153"/>
      <c r="GR6" s="1153"/>
      <c r="GS6" s="1153"/>
      <c r="GT6" s="1153"/>
      <c r="GU6" s="1153"/>
      <c r="GV6" s="1153"/>
      <c r="GW6" s="1153"/>
      <c r="GX6" s="1153"/>
      <c r="GY6" s="1153"/>
      <c r="GZ6" s="1153"/>
      <c r="HA6" s="1153"/>
      <c r="HB6" s="1153"/>
      <c r="HC6" s="1153"/>
      <c r="HD6" s="1153"/>
      <c r="HE6" s="1153"/>
      <c r="HF6" s="1153"/>
      <c r="HG6" s="1153"/>
      <c r="HH6" s="1153"/>
      <c r="HI6" s="1153"/>
      <c r="HJ6" s="1153"/>
      <c r="HK6" s="1153"/>
      <c r="HL6" s="1153"/>
      <c r="HM6" s="1153"/>
      <c r="HN6" s="1153"/>
      <c r="HO6" s="1153"/>
      <c r="HP6" s="1153"/>
      <c r="HQ6" s="1153"/>
      <c r="HR6" s="1153"/>
      <c r="HS6" s="1153"/>
      <c r="HT6" s="1153"/>
      <c r="HU6" s="1153"/>
      <c r="HV6" s="1153"/>
      <c r="HW6" s="1153"/>
      <c r="HX6" s="1153"/>
      <c r="HY6" s="1153"/>
      <c r="HZ6" s="1153"/>
      <c r="IA6" s="1153"/>
      <c r="IB6" s="1153"/>
      <c r="IC6" s="1153"/>
      <c r="ID6" s="1153"/>
      <c r="IE6" s="1153"/>
      <c r="IF6" s="1153"/>
      <c r="IG6" s="1153"/>
      <c r="IH6" s="1153"/>
      <c r="II6" s="1153"/>
      <c r="IJ6" s="1153"/>
      <c r="IK6" s="1153"/>
      <c r="IL6" s="1153"/>
      <c r="IM6" s="1153"/>
      <c r="IN6" s="1153"/>
      <c r="IO6" s="1153"/>
      <c r="IP6" s="1153"/>
      <c r="IQ6" s="1153"/>
    </row>
    <row r="7" spans="1:251" ht="30" customHeight="1" x14ac:dyDescent="0.3">
      <c r="B7" s="1989" t="s">
        <v>108</v>
      </c>
      <c r="C7" s="1990" t="s">
        <v>109</v>
      </c>
      <c r="D7" s="2003" t="s">
        <v>3</v>
      </c>
      <c r="E7" s="2004" t="s">
        <v>764</v>
      </c>
      <c r="F7" s="2004" t="s">
        <v>765</v>
      </c>
      <c r="G7" s="2005" t="s">
        <v>766</v>
      </c>
      <c r="H7" s="2006" t="s">
        <v>362</v>
      </c>
      <c r="I7" s="2007" t="s">
        <v>520</v>
      </c>
      <c r="J7" s="2007"/>
      <c r="K7" s="2007"/>
      <c r="L7" s="2007"/>
      <c r="M7" s="2008" t="s">
        <v>767</v>
      </c>
    </row>
    <row r="8" spans="1:251" ht="45.75" customHeight="1" x14ac:dyDescent="0.3">
      <c r="B8" s="1989"/>
      <c r="C8" s="1990"/>
      <c r="D8" s="2003"/>
      <c r="E8" s="2004"/>
      <c r="F8" s="2004"/>
      <c r="G8" s="2005"/>
      <c r="H8" s="2006"/>
      <c r="I8" s="1158" t="s">
        <v>40</v>
      </c>
      <c r="J8" s="2009" t="s">
        <v>187</v>
      </c>
      <c r="K8" s="2009"/>
      <c r="L8" s="2010" t="s">
        <v>4</v>
      </c>
      <c r="M8" s="2008"/>
    </row>
    <row r="9" spans="1:251" ht="53.25" customHeight="1" x14ac:dyDescent="0.3">
      <c r="B9" s="1989"/>
      <c r="C9" s="1990"/>
      <c r="D9" s="2003"/>
      <c r="E9" s="2004"/>
      <c r="F9" s="2004"/>
      <c r="G9" s="2005"/>
      <c r="H9" s="2006"/>
      <c r="I9" s="1173" t="s">
        <v>284</v>
      </c>
      <c r="J9" s="1174" t="s">
        <v>56</v>
      </c>
      <c r="K9" s="1174" t="s">
        <v>188</v>
      </c>
      <c r="L9" s="2010"/>
      <c r="M9" s="2008"/>
    </row>
    <row r="10" spans="1:251" ht="23.25" customHeight="1" x14ac:dyDescent="0.3">
      <c r="A10" s="1175">
        <v>1</v>
      </c>
      <c r="B10" s="1176">
        <v>18</v>
      </c>
      <c r="C10" s="864" t="s">
        <v>768</v>
      </c>
      <c r="D10" s="1177"/>
      <c r="E10" s="1178"/>
      <c r="F10" s="1179"/>
      <c r="G10" s="1180"/>
      <c r="H10" s="1181"/>
      <c r="I10" s="1182"/>
      <c r="J10" s="1183"/>
      <c r="K10" s="1183"/>
      <c r="L10" s="1184"/>
      <c r="M10" s="1185"/>
    </row>
    <row r="11" spans="1:251" ht="32.25" customHeight="1" x14ac:dyDescent="0.3">
      <c r="A11" s="1175">
        <v>2</v>
      </c>
      <c r="B11" s="1186"/>
      <c r="C11" s="1187">
        <v>1</v>
      </c>
      <c r="D11" s="1188" t="s">
        <v>769</v>
      </c>
      <c r="E11" s="1189">
        <f>F11+G11+L15+M12</f>
        <v>44906</v>
      </c>
      <c r="F11" s="1190">
        <f>5652+4318+8001+4020</f>
        <v>21991</v>
      </c>
      <c r="G11" s="1191">
        <v>1207</v>
      </c>
      <c r="H11" s="1192" t="s">
        <v>106</v>
      </c>
      <c r="I11" s="1193"/>
      <c r="J11" s="1194"/>
      <c r="K11" s="1194"/>
      <c r="L11" s="1195"/>
      <c r="M11" s="1196"/>
    </row>
    <row r="12" spans="1:251" ht="18" customHeight="1" x14ac:dyDescent="0.35">
      <c r="A12" s="1175">
        <v>3</v>
      </c>
      <c r="B12" s="1186"/>
      <c r="C12" s="1197"/>
      <c r="D12" s="1198" t="s">
        <v>230</v>
      </c>
      <c r="E12" s="1199"/>
      <c r="F12" s="1200"/>
      <c r="G12" s="1201"/>
      <c r="H12" s="1202"/>
      <c r="I12" s="1203"/>
      <c r="J12" s="1204">
        <f>10000+11708</f>
        <v>21708</v>
      </c>
      <c r="K12" s="1204"/>
      <c r="L12" s="1205">
        <f>SUM(I12:K12)</f>
        <v>21708</v>
      </c>
      <c r="M12" s="1196"/>
    </row>
    <row r="13" spans="1:251" ht="18" customHeight="1" x14ac:dyDescent="0.35">
      <c r="A13" s="1175">
        <v>4</v>
      </c>
      <c r="B13" s="1186"/>
      <c r="C13" s="1197"/>
      <c r="D13" s="1206" t="s">
        <v>231</v>
      </c>
      <c r="E13" s="1199"/>
      <c r="F13" s="1200"/>
      <c r="G13" s="1201"/>
      <c r="H13" s="1202"/>
      <c r="I13" s="1207"/>
      <c r="J13" s="1208">
        <v>21708</v>
      </c>
      <c r="K13" s="1208"/>
      <c r="L13" s="1209">
        <f>SUM(I13:K13)</f>
        <v>21708</v>
      </c>
      <c r="M13" s="1196"/>
    </row>
    <row r="14" spans="1:251" ht="18" customHeight="1" x14ac:dyDescent="0.35">
      <c r="A14" s="1175">
        <v>5</v>
      </c>
      <c r="B14" s="1186"/>
      <c r="C14" s="1197"/>
      <c r="D14" s="1210" t="s">
        <v>245</v>
      </c>
      <c r="E14" s="1211"/>
      <c r="F14" s="1212"/>
      <c r="G14" s="1213"/>
      <c r="H14" s="1214"/>
      <c r="I14" s="1215"/>
      <c r="J14" s="1216"/>
      <c r="K14" s="1216"/>
      <c r="L14" s="1217">
        <f>SUM(F14:K14)</f>
        <v>0</v>
      </c>
      <c r="M14" s="1196"/>
    </row>
    <row r="15" spans="1:251" ht="18" customHeight="1" x14ac:dyDescent="0.35">
      <c r="A15" s="1175">
        <v>6</v>
      </c>
      <c r="B15" s="1186"/>
      <c r="C15" s="1197"/>
      <c r="D15" s="1206" t="s">
        <v>233</v>
      </c>
      <c r="E15" s="1218"/>
      <c r="F15" s="1219"/>
      <c r="G15" s="1220"/>
      <c r="H15" s="1221"/>
      <c r="I15" s="1207"/>
      <c r="J15" s="1208">
        <f>SUM(J13:J14)</f>
        <v>21708</v>
      </c>
      <c r="K15" s="1208"/>
      <c r="L15" s="1222">
        <f>SUM(F15:K15)</f>
        <v>21708</v>
      </c>
      <c r="M15" s="1196"/>
    </row>
    <row r="16" spans="1:251" ht="32.25" customHeight="1" x14ac:dyDescent="0.3">
      <c r="A16" s="1175">
        <v>7</v>
      </c>
      <c r="B16" s="1186"/>
      <c r="C16" s="1187">
        <v>2</v>
      </c>
      <c r="D16" s="1188" t="s">
        <v>770</v>
      </c>
      <c r="E16" s="1189">
        <f>F16+G16+L20+M17</f>
        <v>1000</v>
      </c>
      <c r="F16" s="1190"/>
      <c r="G16" s="1191"/>
      <c r="H16" s="1192" t="s">
        <v>106</v>
      </c>
      <c r="I16" s="1193"/>
      <c r="J16" s="1194"/>
      <c r="K16" s="1194"/>
      <c r="L16" s="1195"/>
      <c r="M16" s="1196"/>
    </row>
    <row r="17" spans="1:13" ht="18" customHeight="1" x14ac:dyDescent="0.35">
      <c r="A17" s="1175">
        <v>8</v>
      </c>
      <c r="B17" s="1186"/>
      <c r="C17" s="1197"/>
      <c r="D17" s="1198" t="s">
        <v>230</v>
      </c>
      <c r="E17" s="1199"/>
      <c r="F17" s="1200"/>
      <c r="G17" s="1201"/>
      <c r="H17" s="1202"/>
      <c r="I17" s="1203"/>
      <c r="J17" s="1204">
        <v>1000</v>
      </c>
      <c r="K17" s="1204"/>
      <c r="L17" s="1205">
        <f>SUM(I17:K17)</f>
        <v>1000</v>
      </c>
      <c r="M17" s="1196"/>
    </row>
    <row r="18" spans="1:13" ht="18" customHeight="1" x14ac:dyDescent="0.35">
      <c r="A18" s="1175">
        <v>9</v>
      </c>
      <c r="B18" s="1186"/>
      <c r="C18" s="1197"/>
      <c r="D18" s="1206" t="s">
        <v>231</v>
      </c>
      <c r="E18" s="1199"/>
      <c r="F18" s="1200"/>
      <c r="G18" s="1201"/>
      <c r="H18" s="1202"/>
      <c r="I18" s="1207"/>
      <c r="J18" s="1208">
        <v>1000</v>
      </c>
      <c r="K18" s="1208"/>
      <c r="L18" s="1209">
        <f>SUM(I18:K18)</f>
        <v>1000</v>
      </c>
      <c r="M18" s="1196"/>
    </row>
    <row r="19" spans="1:13" ht="18" customHeight="1" x14ac:dyDescent="0.35">
      <c r="A19" s="1175">
        <v>10</v>
      </c>
      <c r="B19" s="1186"/>
      <c r="C19" s="1197"/>
      <c r="D19" s="1210" t="s">
        <v>245</v>
      </c>
      <c r="E19" s="1211"/>
      <c r="F19" s="1212"/>
      <c r="G19" s="1213"/>
      <c r="H19" s="1214"/>
      <c r="I19" s="1215"/>
      <c r="J19" s="1216"/>
      <c r="K19" s="1216"/>
      <c r="L19" s="1217">
        <f>SUM(F19:K19)</f>
        <v>0</v>
      </c>
      <c r="M19" s="1196"/>
    </row>
    <row r="20" spans="1:13" ht="18" customHeight="1" x14ac:dyDescent="0.35">
      <c r="A20" s="1175">
        <v>11</v>
      </c>
      <c r="B20" s="1186"/>
      <c r="C20" s="1197"/>
      <c r="D20" s="1206" t="s">
        <v>233</v>
      </c>
      <c r="E20" s="1218"/>
      <c r="F20" s="1219"/>
      <c r="G20" s="1220"/>
      <c r="H20" s="1221"/>
      <c r="I20" s="1207"/>
      <c r="J20" s="1208">
        <f>SUM(J18:J19)</f>
        <v>1000</v>
      </c>
      <c r="K20" s="1208"/>
      <c r="L20" s="1222">
        <f>SUM(F20:K20)</f>
        <v>1000</v>
      </c>
      <c r="M20" s="1196"/>
    </row>
    <row r="21" spans="1:13" ht="21.75" customHeight="1" x14ac:dyDescent="0.3">
      <c r="A21" s="1175">
        <v>12</v>
      </c>
      <c r="B21" s="1186"/>
      <c r="C21" s="1197">
        <v>100</v>
      </c>
      <c r="D21" s="1223" t="s">
        <v>771</v>
      </c>
      <c r="E21" s="1189">
        <f>F21+G21+L25+M22</f>
        <v>5000</v>
      </c>
      <c r="F21" s="1190"/>
      <c r="G21" s="1191"/>
      <c r="H21" s="1192" t="s">
        <v>106</v>
      </c>
      <c r="I21" s="1193"/>
      <c r="J21" s="1194"/>
      <c r="K21" s="1194"/>
      <c r="L21" s="1195"/>
      <c r="M21" s="1196"/>
    </row>
    <row r="22" spans="1:13" ht="18" customHeight="1" x14ac:dyDescent="0.35">
      <c r="A22" s="1175">
        <v>13</v>
      </c>
      <c r="B22" s="1186"/>
      <c r="C22" s="1197"/>
      <c r="D22" s="1198" t="s">
        <v>230</v>
      </c>
      <c r="E22" s="1199"/>
      <c r="F22" s="1200"/>
      <c r="G22" s="1201"/>
      <c r="H22" s="1202"/>
      <c r="I22" s="1203"/>
      <c r="J22" s="1204">
        <v>5000</v>
      </c>
      <c r="K22" s="1204"/>
      <c r="L22" s="1205">
        <f>SUM(I22:K22)</f>
        <v>5000</v>
      </c>
      <c r="M22" s="1196"/>
    </row>
    <row r="23" spans="1:13" ht="18" customHeight="1" x14ac:dyDescent="0.35">
      <c r="A23" s="1175">
        <v>14</v>
      </c>
      <c r="B23" s="1186"/>
      <c r="C23" s="1197"/>
      <c r="D23" s="1206" t="s">
        <v>231</v>
      </c>
      <c r="E23" s="1199"/>
      <c r="F23" s="1200"/>
      <c r="G23" s="1201"/>
      <c r="H23" s="1202"/>
      <c r="I23" s="1207"/>
      <c r="J23" s="1208">
        <v>5000</v>
      </c>
      <c r="K23" s="1208"/>
      <c r="L23" s="1209">
        <f>SUM(I23:K23)</f>
        <v>5000</v>
      </c>
      <c r="M23" s="1196"/>
    </row>
    <row r="24" spans="1:13" ht="18" customHeight="1" x14ac:dyDescent="0.35">
      <c r="A24" s="1175">
        <v>15</v>
      </c>
      <c r="B24" s="1186"/>
      <c r="C24" s="1197"/>
      <c r="D24" s="1210" t="s">
        <v>245</v>
      </c>
      <c r="E24" s="1211"/>
      <c r="F24" s="1212"/>
      <c r="G24" s="1213"/>
      <c r="H24" s="1214"/>
      <c r="I24" s="1215"/>
      <c r="J24" s="1216"/>
      <c r="K24" s="1216"/>
      <c r="L24" s="1217">
        <f>SUM(F24:K24)</f>
        <v>0</v>
      </c>
      <c r="M24" s="1196"/>
    </row>
    <row r="25" spans="1:13" ht="18" customHeight="1" x14ac:dyDescent="0.35">
      <c r="A25" s="1175">
        <v>16</v>
      </c>
      <c r="B25" s="1186"/>
      <c r="C25" s="1197"/>
      <c r="D25" s="1206" t="s">
        <v>233</v>
      </c>
      <c r="E25" s="1218"/>
      <c r="F25" s="1219"/>
      <c r="G25" s="1220"/>
      <c r="H25" s="1221"/>
      <c r="I25" s="1207"/>
      <c r="J25" s="1208">
        <f>SUM(J23:J24)</f>
        <v>5000</v>
      </c>
      <c r="K25" s="1208"/>
      <c r="L25" s="1222">
        <f>SUM(F25:K25)</f>
        <v>5000</v>
      </c>
      <c r="M25" s="1196"/>
    </row>
    <row r="26" spans="1:13" ht="21.75" customHeight="1" x14ac:dyDescent="0.3">
      <c r="A26" s="1175">
        <v>17</v>
      </c>
      <c r="B26" s="1186"/>
      <c r="C26" s="1197">
        <v>3</v>
      </c>
      <c r="D26" s="1224" t="s">
        <v>772</v>
      </c>
      <c r="E26" s="1189">
        <f>F26+G26+L26+M26</f>
        <v>3820</v>
      </c>
      <c r="F26" s="1190">
        <f>3210+110+100+100+100+100</f>
        <v>3720</v>
      </c>
      <c r="G26" s="1191">
        <v>100</v>
      </c>
      <c r="H26" s="1192" t="s">
        <v>296</v>
      </c>
      <c r="I26" s="1193"/>
      <c r="J26" s="1194"/>
      <c r="K26" s="1194"/>
      <c r="L26" s="1195"/>
      <c r="M26" s="1196"/>
    </row>
    <row r="27" spans="1:13" ht="21.75" customHeight="1" x14ac:dyDescent="0.3">
      <c r="A27" s="1175">
        <v>18</v>
      </c>
      <c r="B27" s="1186"/>
      <c r="C27" s="1197">
        <v>4</v>
      </c>
      <c r="D27" s="1224" t="s">
        <v>773</v>
      </c>
      <c r="E27" s="1189">
        <f>F27+G27+L27+M27</f>
        <v>203670</v>
      </c>
      <c r="F27" s="1190">
        <f>84090+35890+22900+22900+22900</f>
        <v>188680</v>
      </c>
      <c r="G27" s="1191">
        <v>14990</v>
      </c>
      <c r="H27" s="1192" t="s">
        <v>296</v>
      </c>
      <c r="I27" s="1193"/>
      <c r="J27" s="1194"/>
      <c r="K27" s="1194"/>
      <c r="L27" s="1195"/>
      <c r="M27" s="1196"/>
    </row>
    <row r="28" spans="1:13" ht="21.75" customHeight="1" x14ac:dyDescent="0.3">
      <c r="A28" s="1175">
        <v>19</v>
      </c>
      <c r="B28" s="1186"/>
      <c r="C28" s="1197">
        <v>5</v>
      </c>
      <c r="D28" s="1224" t="s">
        <v>774</v>
      </c>
      <c r="E28" s="1189">
        <f>F28+G28+L28+M28</f>
        <v>5600</v>
      </c>
      <c r="F28" s="1190">
        <f>100+1500+2000+1000</f>
        <v>4600</v>
      </c>
      <c r="G28" s="1191">
        <v>1000</v>
      </c>
      <c r="H28" s="1192" t="s">
        <v>296</v>
      </c>
      <c r="I28" s="1193"/>
      <c r="J28" s="1194"/>
      <c r="K28" s="1194"/>
      <c r="L28" s="1195"/>
      <c r="M28" s="1196"/>
    </row>
    <row r="29" spans="1:13" ht="21.75" customHeight="1" x14ac:dyDescent="0.3">
      <c r="A29" s="1175">
        <v>20</v>
      </c>
      <c r="B29" s="1186"/>
      <c r="C29" s="1197">
        <v>6</v>
      </c>
      <c r="D29" s="1224" t="s">
        <v>775</v>
      </c>
      <c r="E29" s="1189">
        <f>F29+G29+L29+M29</f>
        <v>574100</v>
      </c>
      <c r="F29" s="1190">
        <f>82900+195200+98000+99000</f>
        <v>475100</v>
      </c>
      <c r="G29" s="1191">
        <v>99000</v>
      </c>
      <c r="H29" s="1192" t="s">
        <v>296</v>
      </c>
      <c r="I29" s="1193"/>
      <c r="J29" s="1194"/>
      <c r="K29" s="1194"/>
      <c r="L29" s="1195"/>
      <c r="M29" s="1196"/>
    </row>
    <row r="30" spans="1:13" ht="21.75" customHeight="1" x14ac:dyDescent="0.3">
      <c r="A30" s="1175">
        <v>21</v>
      </c>
      <c r="B30" s="1186"/>
      <c r="C30" s="1197">
        <v>7</v>
      </c>
      <c r="D30" s="1223" t="s">
        <v>32</v>
      </c>
      <c r="E30" s="1189">
        <f>F30+G30+L34+M31</f>
        <v>171721</v>
      </c>
      <c r="F30" s="1190">
        <f>8127+11064+7643+7255+1255</f>
        <v>35344</v>
      </c>
      <c r="G30" s="1191">
        <v>30618</v>
      </c>
      <c r="H30" s="1192" t="s">
        <v>296</v>
      </c>
      <c r="I30" s="1193"/>
      <c r="J30" s="1194"/>
      <c r="K30" s="1194"/>
      <c r="L30" s="1195"/>
      <c r="M30" s="1196"/>
    </row>
    <row r="31" spans="1:13" ht="18" customHeight="1" x14ac:dyDescent="0.35">
      <c r="A31" s="1175">
        <v>22</v>
      </c>
      <c r="B31" s="1186"/>
      <c r="C31" s="1197"/>
      <c r="D31" s="1198" t="s">
        <v>230</v>
      </c>
      <c r="E31" s="1199"/>
      <c r="F31" s="1200"/>
      <c r="G31" s="1201"/>
      <c r="H31" s="1202"/>
      <c r="I31" s="1203">
        <v>4355</v>
      </c>
      <c r="J31" s="1204">
        <f>21009+69000</f>
        <v>90009</v>
      </c>
      <c r="K31" s="1204"/>
      <c r="L31" s="1205">
        <f>SUM(I31:K31)</f>
        <v>94364</v>
      </c>
      <c r="M31" s="1196"/>
    </row>
    <row r="32" spans="1:13" ht="18" customHeight="1" x14ac:dyDescent="0.35">
      <c r="A32" s="1175">
        <v>23</v>
      </c>
      <c r="B32" s="1186"/>
      <c r="C32" s="1197"/>
      <c r="D32" s="1206" t="s">
        <v>231</v>
      </c>
      <c r="E32" s="1199"/>
      <c r="F32" s="1200"/>
      <c r="G32" s="1201"/>
      <c r="H32" s="1202"/>
      <c r="I32" s="1207">
        <v>14550</v>
      </c>
      <c r="J32" s="1208">
        <v>91909</v>
      </c>
      <c r="K32" s="1208"/>
      <c r="L32" s="1209">
        <f>SUM(I32:K32)</f>
        <v>106459</v>
      </c>
      <c r="M32" s="1196"/>
    </row>
    <row r="33" spans="1:13" ht="18" customHeight="1" x14ac:dyDescent="0.35">
      <c r="A33" s="1175">
        <v>24</v>
      </c>
      <c r="B33" s="1186"/>
      <c r="C33" s="1197"/>
      <c r="D33" s="1210" t="s">
        <v>287</v>
      </c>
      <c r="E33" s="1189"/>
      <c r="F33" s="1190"/>
      <c r="G33" s="1191"/>
      <c r="H33" s="1192"/>
      <c r="I33" s="1215"/>
      <c r="J33" s="1216">
        <v>-700</v>
      </c>
      <c r="K33" s="1194"/>
      <c r="L33" s="1217">
        <f>SUM(F33:K33)</f>
        <v>-700</v>
      </c>
      <c r="M33" s="1196"/>
    </row>
    <row r="34" spans="1:13" ht="18" customHeight="1" x14ac:dyDescent="0.35">
      <c r="A34" s="1175">
        <v>25</v>
      </c>
      <c r="B34" s="1186"/>
      <c r="C34" s="1197"/>
      <c r="D34" s="1206" t="s">
        <v>233</v>
      </c>
      <c r="E34" s="1189"/>
      <c r="F34" s="1190"/>
      <c r="G34" s="1191"/>
      <c r="H34" s="1192"/>
      <c r="I34" s="1207">
        <f>SUM(I32:I33)</f>
        <v>14550</v>
      </c>
      <c r="J34" s="1207">
        <f>SUM(J32:J33)</f>
        <v>91209</v>
      </c>
      <c r="K34" s="1207"/>
      <c r="L34" s="1222">
        <f>SUM(F34:K34)</f>
        <v>105759</v>
      </c>
      <c r="M34" s="1196"/>
    </row>
    <row r="35" spans="1:13" ht="32.25" customHeight="1" x14ac:dyDescent="0.3">
      <c r="A35" s="1175">
        <v>26</v>
      </c>
      <c r="B35" s="1186"/>
      <c r="C35" s="1187">
        <v>8</v>
      </c>
      <c r="D35" s="1188" t="s">
        <v>776</v>
      </c>
      <c r="E35" s="1189">
        <f>F35+G35+L39+M36</f>
        <v>48398</v>
      </c>
      <c r="F35" s="1190">
        <f>9028+6276</f>
        <v>15304</v>
      </c>
      <c r="G35" s="1191">
        <v>15308</v>
      </c>
      <c r="H35" s="1192" t="s">
        <v>296</v>
      </c>
      <c r="I35" s="1193"/>
      <c r="J35" s="1194"/>
      <c r="K35" s="1194"/>
      <c r="L35" s="1195"/>
      <c r="M35" s="1196"/>
    </row>
    <row r="36" spans="1:13" ht="18" customHeight="1" x14ac:dyDescent="0.35">
      <c r="A36" s="1175">
        <v>27</v>
      </c>
      <c r="B36" s="1186"/>
      <c r="C36" s="1197"/>
      <c r="D36" s="1198" t="s">
        <v>230</v>
      </c>
      <c r="E36" s="1199"/>
      <c r="F36" s="1200"/>
      <c r="G36" s="1201"/>
      <c r="H36" s="1202"/>
      <c r="I36" s="1203">
        <v>114</v>
      </c>
      <c r="J36" s="1204">
        <f>23200+7772</f>
        <v>30972</v>
      </c>
      <c r="K36" s="1204"/>
      <c r="L36" s="1205">
        <f>SUM(I36:K36)</f>
        <v>31086</v>
      </c>
      <c r="M36" s="1196"/>
    </row>
    <row r="37" spans="1:13" ht="18" customHeight="1" x14ac:dyDescent="0.35">
      <c r="A37" s="1175">
        <v>28</v>
      </c>
      <c r="B37" s="1186"/>
      <c r="C37" s="1197"/>
      <c r="D37" s="1206" t="s">
        <v>231</v>
      </c>
      <c r="E37" s="1199"/>
      <c r="F37" s="1200"/>
      <c r="G37" s="1201"/>
      <c r="H37" s="1202"/>
      <c r="I37" s="1207">
        <v>114</v>
      </c>
      <c r="J37" s="1208">
        <v>17672</v>
      </c>
      <c r="K37" s="1208"/>
      <c r="L37" s="1209">
        <f>SUM(I37:K37)</f>
        <v>17786</v>
      </c>
      <c r="M37" s="1196"/>
    </row>
    <row r="38" spans="1:13" ht="18" customHeight="1" x14ac:dyDescent="0.35">
      <c r="A38" s="1175">
        <v>29</v>
      </c>
      <c r="B38" s="1186"/>
      <c r="C38" s="1197"/>
      <c r="D38" s="1210" t="s">
        <v>232</v>
      </c>
      <c r="E38" s="1211"/>
      <c r="F38" s="1212"/>
      <c r="G38" s="1213"/>
      <c r="H38" s="1214"/>
      <c r="I38" s="1215"/>
      <c r="J38" s="1216"/>
      <c r="K38" s="1216"/>
      <c r="L38" s="1217">
        <f>SUM(F38:K38)</f>
        <v>0</v>
      </c>
      <c r="M38" s="1196"/>
    </row>
    <row r="39" spans="1:13" ht="18" customHeight="1" x14ac:dyDescent="0.35">
      <c r="A39" s="1175">
        <v>30</v>
      </c>
      <c r="B39" s="1186"/>
      <c r="C39" s="1197"/>
      <c r="D39" s="1206" t="s">
        <v>233</v>
      </c>
      <c r="E39" s="1218"/>
      <c r="F39" s="1219"/>
      <c r="G39" s="1220"/>
      <c r="H39" s="1221"/>
      <c r="I39" s="1207">
        <f>SUM(I37:I38)</f>
        <v>114</v>
      </c>
      <c r="J39" s="1207">
        <f>SUM(J37:J38)</f>
        <v>17672</v>
      </c>
      <c r="K39" s="1208"/>
      <c r="L39" s="1222">
        <f>SUM(F39:K39)</f>
        <v>17786</v>
      </c>
      <c r="M39" s="1196"/>
    </row>
    <row r="40" spans="1:13" ht="50.25" customHeight="1" x14ac:dyDescent="0.3">
      <c r="A40" s="1175">
        <v>31</v>
      </c>
      <c r="B40" s="1186"/>
      <c r="C40" s="1187">
        <v>9</v>
      </c>
      <c r="D40" s="1223" t="s">
        <v>777</v>
      </c>
      <c r="E40" s="1189">
        <f>F40+G40+L44+M41</f>
        <v>31627</v>
      </c>
      <c r="F40" s="1190">
        <v>26363</v>
      </c>
      <c r="G40" s="1191">
        <v>4363</v>
      </c>
      <c r="H40" s="1192" t="s">
        <v>296</v>
      </c>
      <c r="I40" s="1193"/>
      <c r="J40" s="1194"/>
      <c r="K40" s="1194"/>
      <c r="L40" s="1195"/>
      <c r="M40" s="1196"/>
    </row>
    <row r="41" spans="1:13" ht="18" customHeight="1" x14ac:dyDescent="0.35">
      <c r="A41" s="1175">
        <v>32</v>
      </c>
      <c r="B41" s="1186"/>
      <c r="C41" s="1197"/>
      <c r="D41" s="1198" t="s">
        <v>230</v>
      </c>
      <c r="E41" s="1199"/>
      <c r="F41" s="1200"/>
      <c r="G41" s="1201"/>
      <c r="H41" s="1202"/>
      <c r="I41" s="1203">
        <v>411</v>
      </c>
      <c r="J41" s="1204">
        <v>490</v>
      </c>
      <c r="K41" s="1204"/>
      <c r="L41" s="1205">
        <f>SUM(I41:K41)</f>
        <v>901</v>
      </c>
      <c r="M41" s="1196"/>
    </row>
    <row r="42" spans="1:13" ht="18" customHeight="1" x14ac:dyDescent="0.35">
      <c r="A42" s="1175">
        <v>33</v>
      </c>
      <c r="B42" s="1186"/>
      <c r="C42" s="1197"/>
      <c r="D42" s="1206" t="s">
        <v>231</v>
      </c>
      <c r="E42" s="1199"/>
      <c r="F42" s="1200"/>
      <c r="G42" s="1201"/>
      <c r="H42" s="1202"/>
      <c r="I42" s="1207">
        <v>411</v>
      </c>
      <c r="J42" s="1208">
        <v>490</v>
      </c>
      <c r="K42" s="1208"/>
      <c r="L42" s="1209">
        <f>SUM(I42:K42)</f>
        <v>901</v>
      </c>
      <c r="M42" s="1196"/>
    </row>
    <row r="43" spans="1:13" ht="18" customHeight="1" x14ac:dyDescent="0.35">
      <c r="A43" s="1175">
        <v>34</v>
      </c>
      <c r="B43" s="1186"/>
      <c r="C43" s="1197"/>
      <c r="D43" s="1210" t="s">
        <v>245</v>
      </c>
      <c r="E43" s="1211"/>
      <c r="F43" s="1212"/>
      <c r="G43" s="1213"/>
      <c r="H43" s="1214"/>
      <c r="I43" s="1215"/>
      <c r="J43" s="1216"/>
      <c r="K43" s="1216"/>
      <c r="L43" s="1217">
        <f>SUM(F43:K43)</f>
        <v>0</v>
      </c>
      <c r="M43" s="1196"/>
    </row>
    <row r="44" spans="1:13" ht="18" customHeight="1" x14ac:dyDescent="0.35">
      <c r="A44" s="1175">
        <v>35</v>
      </c>
      <c r="B44" s="1186"/>
      <c r="C44" s="1197"/>
      <c r="D44" s="1206" t="s">
        <v>233</v>
      </c>
      <c r="E44" s="1218"/>
      <c r="F44" s="1219"/>
      <c r="G44" s="1220"/>
      <c r="H44" s="1221"/>
      <c r="I44" s="1207">
        <f>SUM(I42:I43)</f>
        <v>411</v>
      </c>
      <c r="J44" s="1207">
        <f>SUM(J42:J43)</f>
        <v>490</v>
      </c>
      <c r="K44" s="1208"/>
      <c r="L44" s="1222">
        <f>SUM(F44:K44)</f>
        <v>901</v>
      </c>
      <c r="M44" s="1196"/>
    </row>
    <row r="45" spans="1:13" ht="21.75" customHeight="1" x14ac:dyDescent="0.3">
      <c r="A45" s="1175">
        <v>36</v>
      </c>
      <c r="B45" s="1186"/>
      <c r="C45" s="1197">
        <v>10</v>
      </c>
      <c r="D45" s="1223" t="s">
        <v>778</v>
      </c>
      <c r="E45" s="1189">
        <f>F45+G45+L49+M46</f>
        <v>28519</v>
      </c>
      <c r="F45" s="1190">
        <v>9652</v>
      </c>
      <c r="G45" s="1191">
        <v>980</v>
      </c>
      <c r="H45" s="1192" t="s">
        <v>296</v>
      </c>
      <c r="I45" s="1193"/>
      <c r="J45" s="1194"/>
      <c r="K45" s="1194"/>
      <c r="L45" s="1195"/>
      <c r="M45" s="1196"/>
    </row>
    <row r="46" spans="1:13" ht="18" customHeight="1" x14ac:dyDescent="0.35">
      <c r="A46" s="1175">
        <v>37</v>
      </c>
      <c r="B46" s="1186"/>
      <c r="C46" s="1197"/>
      <c r="D46" s="1198" t="s">
        <v>230</v>
      </c>
      <c r="E46" s="1199"/>
      <c r="F46" s="1200"/>
      <c r="G46" s="1201"/>
      <c r="H46" s="1202"/>
      <c r="I46" s="1203"/>
      <c r="J46" s="1204">
        <v>17887</v>
      </c>
      <c r="K46" s="1204"/>
      <c r="L46" s="1205">
        <f>SUM(I46:K46)</f>
        <v>17887</v>
      </c>
      <c r="M46" s="1196"/>
    </row>
    <row r="47" spans="1:13" ht="18" customHeight="1" x14ac:dyDescent="0.35">
      <c r="A47" s="1175">
        <v>38</v>
      </c>
      <c r="B47" s="1186"/>
      <c r="C47" s="1197"/>
      <c r="D47" s="1206" t="s">
        <v>231</v>
      </c>
      <c r="E47" s="1199"/>
      <c r="F47" s="1200"/>
      <c r="G47" s="1201"/>
      <c r="H47" s="1202"/>
      <c r="I47" s="1207"/>
      <c r="J47" s="1208">
        <v>17887</v>
      </c>
      <c r="K47" s="1208"/>
      <c r="L47" s="1209">
        <f>SUM(I47:K47)</f>
        <v>17887</v>
      </c>
      <c r="M47" s="1196"/>
    </row>
    <row r="48" spans="1:13" ht="18" customHeight="1" x14ac:dyDescent="0.35">
      <c r="A48" s="1175">
        <v>39</v>
      </c>
      <c r="B48" s="1186"/>
      <c r="C48" s="1197"/>
      <c r="D48" s="1210" t="s">
        <v>245</v>
      </c>
      <c r="E48" s="1211"/>
      <c r="F48" s="1212"/>
      <c r="G48" s="1213"/>
      <c r="H48" s="1214"/>
      <c r="I48" s="1215"/>
      <c r="J48" s="1216"/>
      <c r="K48" s="1216"/>
      <c r="L48" s="1217">
        <f>SUM(F48:K48)</f>
        <v>0</v>
      </c>
      <c r="M48" s="1196"/>
    </row>
    <row r="49" spans="1:13" ht="18" customHeight="1" x14ac:dyDescent="0.35">
      <c r="A49" s="1175">
        <v>40</v>
      </c>
      <c r="B49" s="1186"/>
      <c r="C49" s="1197"/>
      <c r="D49" s="1206" t="s">
        <v>233</v>
      </c>
      <c r="E49" s="1218"/>
      <c r="F49" s="1219"/>
      <c r="G49" s="1220"/>
      <c r="H49" s="1221"/>
      <c r="I49" s="1207"/>
      <c r="J49" s="1208">
        <f>SUM(J47:J48)</f>
        <v>17887</v>
      </c>
      <c r="K49" s="1208"/>
      <c r="L49" s="1222">
        <f>SUM(F49:K49)</f>
        <v>17887</v>
      </c>
      <c r="M49" s="1196"/>
    </row>
    <row r="50" spans="1:13" ht="51" customHeight="1" x14ac:dyDescent="0.3">
      <c r="A50" s="1175">
        <v>41</v>
      </c>
      <c r="B50" s="1186"/>
      <c r="C50" s="1187">
        <v>24</v>
      </c>
      <c r="D50" s="1223" t="s">
        <v>779</v>
      </c>
      <c r="E50" s="1189">
        <f>F50+G50+L54+M51</f>
        <v>88900</v>
      </c>
      <c r="F50" s="1190"/>
      <c r="G50" s="1191"/>
      <c r="H50" s="1192" t="s">
        <v>106</v>
      </c>
      <c r="I50" s="1193"/>
      <c r="J50" s="1194"/>
      <c r="K50" s="1194"/>
      <c r="L50" s="1195"/>
      <c r="M50" s="1196"/>
    </row>
    <row r="51" spans="1:13" ht="18" customHeight="1" x14ac:dyDescent="0.35">
      <c r="A51" s="1175">
        <v>42</v>
      </c>
      <c r="B51" s="1186"/>
      <c r="C51" s="1197"/>
      <c r="D51" s="1198" t="s">
        <v>230</v>
      </c>
      <c r="E51" s="1199"/>
      <c r="F51" s="1200"/>
      <c r="G51" s="1201"/>
      <c r="H51" s="1202"/>
      <c r="I51" s="1203"/>
      <c r="J51" s="1204">
        <v>88900</v>
      </c>
      <c r="K51" s="1204"/>
      <c r="L51" s="1205">
        <f>SUM(I51:K51)</f>
        <v>88900</v>
      </c>
      <c r="M51" s="1196"/>
    </row>
    <row r="52" spans="1:13" ht="18" customHeight="1" x14ac:dyDescent="0.35">
      <c r="A52" s="1175">
        <v>43</v>
      </c>
      <c r="B52" s="1186"/>
      <c r="C52" s="1197"/>
      <c r="D52" s="1206" t="s">
        <v>231</v>
      </c>
      <c r="E52" s="1199"/>
      <c r="F52" s="1200"/>
      <c r="G52" s="1201"/>
      <c r="H52" s="1202"/>
      <c r="I52" s="1207"/>
      <c r="J52" s="1208">
        <v>88900</v>
      </c>
      <c r="K52" s="1208"/>
      <c r="L52" s="1209">
        <f>SUM(I52:K52)</f>
        <v>88900</v>
      </c>
      <c r="M52" s="1196"/>
    </row>
    <row r="53" spans="1:13" ht="18" customHeight="1" x14ac:dyDescent="0.35">
      <c r="A53" s="1175">
        <v>44</v>
      </c>
      <c r="B53" s="1186"/>
      <c r="C53" s="1197"/>
      <c r="D53" s="1210" t="s">
        <v>245</v>
      </c>
      <c r="E53" s="1211"/>
      <c r="F53" s="1212"/>
      <c r="G53" s="1213"/>
      <c r="H53" s="1214"/>
      <c r="I53" s="1215"/>
      <c r="J53" s="1216"/>
      <c r="K53" s="1216"/>
      <c r="L53" s="1217">
        <f>SUM(F53:K53)</f>
        <v>0</v>
      </c>
      <c r="M53" s="1196"/>
    </row>
    <row r="54" spans="1:13" ht="18" customHeight="1" x14ac:dyDescent="0.35">
      <c r="A54" s="1175">
        <v>45</v>
      </c>
      <c r="B54" s="1186"/>
      <c r="C54" s="1197"/>
      <c r="D54" s="1206" t="s">
        <v>233</v>
      </c>
      <c r="E54" s="1218"/>
      <c r="F54" s="1219"/>
      <c r="G54" s="1220"/>
      <c r="H54" s="1221"/>
      <c r="I54" s="1207"/>
      <c r="J54" s="1208">
        <f>SUM(J52:J53)</f>
        <v>88900</v>
      </c>
      <c r="K54" s="1208"/>
      <c r="L54" s="1222">
        <f>SUM(F54:K54)</f>
        <v>88900</v>
      </c>
      <c r="M54" s="1196"/>
    </row>
    <row r="55" spans="1:13" ht="37.5" customHeight="1" x14ac:dyDescent="0.3">
      <c r="A55" s="1175">
        <v>46</v>
      </c>
      <c r="B55" s="1186"/>
      <c r="C55" s="1187">
        <v>25</v>
      </c>
      <c r="D55" s="1223" t="s">
        <v>780</v>
      </c>
      <c r="E55" s="1189">
        <f>F55+G55+L59+M56</f>
        <v>114300</v>
      </c>
      <c r="F55" s="1190"/>
      <c r="G55" s="1191"/>
      <c r="H55" s="1192" t="s">
        <v>106</v>
      </c>
      <c r="I55" s="1193"/>
      <c r="J55" s="1194"/>
      <c r="K55" s="1194"/>
      <c r="L55" s="1195"/>
      <c r="M55" s="1196"/>
    </row>
    <row r="56" spans="1:13" ht="18" customHeight="1" x14ac:dyDescent="0.35">
      <c r="A56" s="1175">
        <v>47</v>
      </c>
      <c r="B56" s="1186"/>
      <c r="C56" s="1197"/>
      <c r="D56" s="1198" t="s">
        <v>230</v>
      </c>
      <c r="E56" s="1199"/>
      <c r="F56" s="1200"/>
      <c r="G56" s="1201"/>
      <c r="H56" s="1202"/>
      <c r="I56" s="1203"/>
      <c r="J56" s="1204">
        <v>114300</v>
      </c>
      <c r="K56" s="1204"/>
      <c r="L56" s="1205">
        <f>SUM(I56:K56)</f>
        <v>114300</v>
      </c>
      <c r="M56" s="1196"/>
    </row>
    <row r="57" spans="1:13" ht="18" customHeight="1" x14ac:dyDescent="0.35">
      <c r="A57" s="1175">
        <v>48</v>
      </c>
      <c r="B57" s="1186"/>
      <c r="C57" s="1197"/>
      <c r="D57" s="1206" t="s">
        <v>231</v>
      </c>
      <c r="E57" s="1199"/>
      <c r="F57" s="1200"/>
      <c r="G57" s="1201"/>
      <c r="H57" s="1202"/>
      <c r="I57" s="1207"/>
      <c r="J57" s="1208">
        <v>114300</v>
      </c>
      <c r="K57" s="1208"/>
      <c r="L57" s="1209">
        <f>SUM(I57:K57)</f>
        <v>114300</v>
      </c>
      <c r="M57" s="1196"/>
    </row>
    <row r="58" spans="1:13" ht="18" customHeight="1" x14ac:dyDescent="0.35">
      <c r="A58" s="1175">
        <v>49</v>
      </c>
      <c r="B58" s="1186"/>
      <c r="C58" s="1197"/>
      <c r="D58" s="1210" t="s">
        <v>245</v>
      </c>
      <c r="E58" s="1211"/>
      <c r="F58" s="1212"/>
      <c r="G58" s="1213"/>
      <c r="H58" s="1214"/>
      <c r="I58" s="1215"/>
      <c r="J58" s="1216"/>
      <c r="K58" s="1216"/>
      <c r="L58" s="1217">
        <f>SUM(F58:K58)</f>
        <v>0</v>
      </c>
      <c r="M58" s="1196"/>
    </row>
    <row r="59" spans="1:13" ht="18" customHeight="1" x14ac:dyDescent="0.35">
      <c r="A59" s="1175">
        <v>50</v>
      </c>
      <c r="B59" s="1186"/>
      <c r="C59" s="1197"/>
      <c r="D59" s="1206" t="s">
        <v>233</v>
      </c>
      <c r="E59" s="1218"/>
      <c r="F59" s="1219"/>
      <c r="G59" s="1220"/>
      <c r="H59" s="1221"/>
      <c r="I59" s="1207"/>
      <c r="J59" s="1208">
        <f>SUM(J57:J58)</f>
        <v>114300</v>
      </c>
      <c r="K59" s="1208"/>
      <c r="L59" s="1222">
        <f>SUM(F59:K59)</f>
        <v>114300</v>
      </c>
      <c r="M59" s="1196"/>
    </row>
    <row r="60" spans="1:13" ht="50.25" customHeight="1" x14ac:dyDescent="0.3">
      <c r="A60" s="1175">
        <v>51</v>
      </c>
      <c r="B60" s="1186"/>
      <c r="C60" s="1187">
        <v>26</v>
      </c>
      <c r="D60" s="1223" t="s">
        <v>781</v>
      </c>
      <c r="E60" s="1189">
        <f>F60+G60+L64+M61</f>
        <v>114300</v>
      </c>
      <c r="F60" s="1190"/>
      <c r="G60" s="1191"/>
      <c r="H60" s="1192" t="s">
        <v>106</v>
      </c>
      <c r="I60" s="1193"/>
      <c r="J60" s="1194"/>
      <c r="K60" s="1194"/>
      <c r="L60" s="1195"/>
      <c r="M60" s="1196"/>
    </row>
    <row r="61" spans="1:13" ht="18" customHeight="1" x14ac:dyDescent="0.35">
      <c r="A61" s="1175">
        <v>52</v>
      </c>
      <c r="B61" s="1186"/>
      <c r="C61" s="1197"/>
      <c r="D61" s="1198" t="s">
        <v>230</v>
      </c>
      <c r="E61" s="1199"/>
      <c r="F61" s="1200"/>
      <c r="G61" s="1201"/>
      <c r="H61" s="1202"/>
      <c r="I61" s="1203"/>
      <c r="J61" s="1204">
        <v>114300</v>
      </c>
      <c r="K61" s="1204"/>
      <c r="L61" s="1205">
        <f>SUM(I61:K61)</f>
        <v>114300</v>
      </c>
      <c r="M61" s="1196"/>
    </row>
    <row r="62" spans="1:13" ht="18" customHeight="1" x14ac:dyDescent="0.35">
      <c r="A62" s="1175">
        <v>53</v>
      </c>
      <c r="B62" s="1186"/>
      <c r="C62" s="1197"/>
      <c r="D62" s="1206" t="s">
        <v>231</v>
      </c>
      <c r="E62" s="1199"/>
      <c r="F62" s="1200"/>
      <c r="G62" s="1201"/>
      <c r="H62" s="1202"/>
      <c r="I62" s="1207"/>
      <c r="J62" s="1208">
        <v>114300</v>
      </c>
      <c r="K62" s="1208"/>
      <c r="L62" s="1209">
        <f>SUM(I62:K62)</f>
        <v>114300</v>
      </c>
      <c r="M62" s="1196"/>
    </row>
    <row r="63" spans="1:13" ht="18" customHeight="1" x14ac:dyDescent="0.35">
      <c r="A63" s="1175">
        <v>54</v>
      </c>
      <c r="B63" s="1186"/>
      <c r="C63" s="1197"/>
      <c r="D63" s="1210" t="s">
        <v>245</v>
      </c>
      <c r="E63" s="1211"/>
      <c r="F63" s="1212"/>
      <c r="G63" s="1213"/>
      <c r="H63" s="1214"/>
      <c r="I63" s="1215"/>
      <c r="J63" s="1216"/>
      <c r="K63" s="1216"/>
      <c r="L63" s="1217">
        <f>SUM(F63:K63)</f>
        <v>0</v>
      </c>
      <c r="M63" s="1196"/>
    </row>
    <row r="64" spans="1:13" ht="18" customHeight="1" x14ac:dyDescent="0.35">
      <c r="A64" s="1175">
        <v>55</v>
      </c>
      <c r="B64" s="1186"/>
      <c r="C64" s="1197"/>
      <c r="D64" s="1206" t="s">
        <v>233</v>
      </c>
      <c r="E64" s="1218"/>
      <c r="F64" s="1219"/>
      <c r="G64" s="1220"/>
      <c r="H64" s="1221"/>
      <c r="I64" s="1207"/>
      <c r="J64" s="1208">
        <f>SUM(J62:J63)</f>
        <v>114300</v>
      </c>
      <c r="K64" s="1208"/>
      <c r="L64" s="1222">
        <f>SUM(F64:K64)</f>
        <v>114300</v>
      </c>
      <c r="M64" s="1196"/>
    </row>
    <row r="65" spans="1:251" ht="21.75" customHeight="1" x14ac:dyDescent="0.3">
      <c r="A65" s="1175">
        <v>56</v>
      </c>
      <c r="B65" s="1186"/>
      <c r="C65" s="1197">
        <v>27</v>
      </c>
      <c r="D65" s="1223" t="s">
        <v>22</v>
      </c>
      <c r="E65" s="1189">
        <f>F65+G65+L69+M66</f>
        <v>4496</v>
      </c>
      <c r="F65" s="1190"/>
      <c r="G65" s="1191">
        <v>2473</v>
      </c>
      <c r="H65" s="1192" t="s">
        <v>296</v>
      </c>
      <c r="I65" s="1193"/>
      <c r="J65" s="1194"/>
      <c r="K65" s="1194"/>
      <c r="L65" s="1195"/>
      <c r="M65" s="1196"/>
    </row>
    <row r="66" spans="1:251" ht="18" customHeight="1" x14ac:dyDescent="0.35">
      <c r="A66" s="1175">
        <v>57</v>
      </c>
      <c r="B66" s="1186"/>
      <c r="C66" s="1197"/>
      <c r="D66" s="1198" t="s">
        <v>230</v>
      </c>
      <c r="E66" s="1199"/>
      <c r="F66" s="1200"/>
      <c r="G66" s="1201"/>
      <c r="H66" s="1202"/>
      <c r="I66" s="1203"/>
      <c r="J66" s="1204">
        <v>2023</v>
      </c>
      <c r="K66" s="1204"/>
      <c r="L66" s="1205">
        <f>SUM(I66:K66)</f>
        <v>2023</v>
      </c>
      <c r="M66" s="1196"/>
    </row>
    <row r="67" spans="1:251" ht="18" customHeight="1" x14ac:dyDescent="0.35">
      <c r="A67" s="1175">
        <v>58</v>
      </c>
      <c r="B67" s="1186"/>
      <c r="C67" s="1197"/>
      <c r="D67" s="1206" t="s">
        <v>231</v>
      </c>
      <c r="E67" s="1199"/>
      <c r="F67" s="1200"/>
      <c r="G67" s="1201"/>
      <c r="H67" s="1202"/>
      <c r="I67" s="1207">
        <v>264</v>
      </c>
      <c r="J67" s="1208">
        <v>1759</v>
      </c>
      <c r="K67" s="1208"/>
      <c r="L67" s="1209">
        <f>SUM(I67:K67)</f>
        <v>2023</v>
      </c>
      <c r="M67" s="1196"/>
    </row>
    <row r="68" spans="1:251" ht="18" customHeight="1" x14ac:dyDescent="0.35">
      <c r="A68" s="1175">
        <v>59</v>
      </c>
      <c r="B68" s="1186"/>
      <c r="C68" s="1197"/>
      <c r="D68" s="1210" t="s">
        <v>287</v>
      </c>
      <c r="E68" s="1211"/>
      <c r="F68" s="1212"/>
      <c r="G68" s="1213"/>
      <c r="H68" s="1214"/>
      <c r="I68" s="1215">
        <v>736</v>
      </c>
      <c r="J68" s="1216">
        <v>-736</v>
      </c>
      <c r="K68" s="1216"/>
      <c r="L68" s="1217">
        <f>SUM(F68:K68)</f>
        <v>0</v>
      </c>
      <c r="M68" s="1196"/>
    </row>
    <row r="69" spans="1:251" ht="18" customHeight="1" x14ac:dyDescent="0.35">
      <c r="A69" s="1175">
        <v>60</v>
      </c>
      <c r="B69" s="1186"/>
      <c r="C69" s="1197"/>
      <c r="D69" s="1206" t="s">
        <v>233</v>
      </c>
      <c r="E69" s="1218"/>
      <c r="F69" s="1219"/>
      <c r="G69" s="1220"/>
      <c r="H69" s="1221"/>
      <c r="I69" s="1208">
        <f>SUM(I67:I68)</f>
        <v>1000</v>
      </c>
      <c r="J69" s="1208">
        <f>SUM(J67:J68)</f>
        <v>1023</v>
      </c>
      <c r="K69" s="1208"/>
      <c r="L69" s="1222">
        <f>SUM(F69:K69)</f>
        <v>2023</v>
      </c>
      <c r="M69" s="1196"/>
    </row>
    <row r="70" spans="1:251" ht="69.75" customHeight="1" x14ac:dyDescent="0.3">
      <c r="A70" s="1175">
        <v>61</v>
      </c>
      <c r="B70" s="1186"/>
      <c r="C70" s="1187">
        <v>30</v>
      </c>
      <c r="D70" s="1188" t="s">
        <v>782</v>
      </c>
      <c r="E70" s="1189">
        <f>F70+G70+L74+M71</f>
        <v>6298</v>
      </c>
      <c r="F70" s="1190">
        <f>10+55</f>
        <v>65</v>
      </c>
      <c r="G70" s="1191"/>
      <c r="H70" s="1192" t="s">
        <v>296</v>
      </c>
      <c r="I70" s="1225"/>
      <c r="J70" s="1189"/>
      <c r="K70" s="1189"/>
      <c r="L70" s="1195"/>
      <c r="M70" s="1196"/>
      <c r="N70" s="1226"/>
      <c r="O70" s="1226"/>
      <c r="P70" s="1226"/>
      <c r="Q70" s="1226"/>
      <c r="R70" s="1226"/>
      <c r="S70" s="1226"/>
      <c r="T70" s="1226"/>
      <c r="U70" s="1226"/>
      <c r="V70" s="1226"/>
      <c r="W70" s="1226"/>
      <c r="X70" s="1226"/>
      <c r="Y70" s="1226"/>
      <c r="Z70" s="1226"/>
      <c r="AA70" s="1226"/>
      <c r="AB70" s="1226"/>
      <c r="AC70" s="1226"/>
      <c r="AD70" s="1226"/>
      <c r="AE70" s="1226"/>
      <c r="AF70" s="1226"/>
      <c r="AG70" s="1226"/>
      <c r="AH70" s="1226"/>
      <c r="AI70" s="1226"/>
      <c r="AJ70" s="1226"/>
      <c r="AK70" s="1226"/>
      <c r="AL70" s="1226"/>
      <c r="AM70" s="1226"/>
      <c r="AN70" s="1226"/>
      <c r="AO70" s="1226"/>
      <c r="AP70" s="1226"/>
      <c r="AQ70" s="1226"/>
      <c r="AR70" s="1226"/>
      <c r="AS70" s="1226"/>
      <c r="AT70" s="1226"/>
      <c r="AU70" s="1226"/>
      <c r="AV70" s="1226"/>
      <c r="AW70" s="1226"/>
      <c r="AX70" s="1226"/>
      <c r="AY70" s="1226"/>
      <c r="AZ70" s="1226"/>
      <c r="BA70" s="1226"/>
      <c r="BB70" s="1226"/>
      <c r="BC70" s="1226"/>
      <c r="BD70" s="1226"/>
      <c r="BE70" s="1226"/>
      <c r="BF70" s="1226"/>
      <c r="BG70" s="1226"/>
      <c r="BH70" s="1226"/>
      <c r="BI70" s="1226"/>
      <c r="BJ70" s="1226"/>
      <c r="BK70" s="1226"/>
      <c r="BL70" s="1226"/>
      <c r="BM70" s="1226"/>
      <c r="BN70" s="1226"/>
      <c r="BO70" s="1226"/>
      <c r="BP70" s="1226"/>
      <c r="BQ70" s="1226"/>
      <c r="BR70" s="1226"/>
      <c r="BS70" s="1226"/>
      <c r="BT70" s="1226"/>
      <c r="BU70" s="1226"/>
      <c r="BV70" s="1226"/>
      <c r="BW70" s="1226"/>
      <c r="BX70" s="1226"/>
      <c r="BY70" s="1226"/>
      <c r="BZ70" s="1226"/>
      <c r="CA70" s="1226"/>
      <c r="CB70" s="1226"/>
      <c r="CC70" s="1226"/>
      <c r="CD70" s="1226"/>
      <c r="CE70" s="1226"/>
      <c r="CF70" s="1226"/>
      <c r="CG70" s="1226"/>
      <c r="CH70" s="1226"/>
      <c r="CI70" s="1226"/>
      <c r="CJ70" s="1226"/>
      <c r="CK70" s="1226"/>
      <c r="CL70" s="1226"/>
      <c r="CM70" s="1226"/>
      <c r="CN70" s="1226"/>
      <c r="CO70" s="1226"/>
      <c r="CP70" s="1226"/>
      <c r="CQ70" s="1226"/>
      <c r="CR70" s="1226"/>
      <c r="CS70" s="1226"/>
      <c r="CT70" s="1226"/>
      <c r="CU70" s="1226"/>
      <c r="CV70" s="1226"/>
      <c r="CW70" s="1226"/>
      <c r="CX70" s="1226"/>
      <c r="CY70" s="1226"/>
      <c r="CZ70" s="1226"/>
      <c r="DA70" s="1226"/>
      <c r="DB70" s="1226"/>
      <c r="DC70" s="1226"/>
      <c r="DD70" s="1226"/>
      <c r="DE70" s="1226"/>
      <c r="DF70" s="1226"/>
      <c r="DG70" s="1226"/>
      <c r="DH70" s="1226"/>
      <c r="DI70" s="1226"/>
      <c r="DJ70" s="1226"/>
      <c r="DK70" s="1226"/>
      <c r="DL70" s="1226"/>
      <c r="DM70" s="1226"/>
      <c r="DN70" s="1226"/>
      <c r="DO70" s="1226"/>
      <c r="DP70" s="1226"/>
      <c r="DQ70" s="1226"/>
      <c r="DR70" s="1226"/>
      <c r="DS70" s="1226"/>
      <c r="DT70" s="1226"/>
      <c r="DU70" s="1226"/>
      <c r="DV70" s="1226"/>
      <c r="DW70" s="1226"/>
      <c r="DX70" s="1226"/>
      <c r="DY70" s="1226"/>
      <c r="DZ70" s="1226"/>
      <c r="EA70" s="1226"/>
      <c r="EB70" s="1226"/>
      <c r="EC70" s="1226"/>
      <c r="ED70" s="1226"/>
      <c r="EE70" s="1226"/>
      <c r="EF70" s="1226"/>
      <c r="EG70" s="1226"/>
      <c r="EH70" s="1226"/>
      <c r="EI70" s="1226"/>
      <c r="EJ70" s="1226"/>
      <c r="EK70" s="1226"/>
      <c r="EL70" s="1226"/>
      <c r="EM70" s="1226"/>
      <c r="EN70" s="1226"/>
      <c r="EO70" s="1226"/>
      <c r="EP70" s="1226"/>
      <c r="EQ70" s="1226"/>
      <c r="ER70" s="1226"/>
      <c r="ES70" s="1226"/>
      <c r="ET70" s="1226"/>
      <c r="EU70" s="1226"/>
      <c r="EV70" s="1226"/>
      <c r="EW70" s="1226"/>
      <c r="EX70" s="1226"/>
      <c r="EY70" s="1226"/>
      <c r="EZ70" s="1226"/>
      <c r="FA70" s="1226"/>
      <c r="FB70" s="1226"/>
      <c r="FC70" s="1226"/>
      <c r="FD70" s="1226"/>
      <c r="FE70" s="1226"/>
      <c r="FF70" s="1226"/>
      <c r="FG70" s="1226"/>
      <c r="FH70" s="1226"/>
      <c r="FI70" s="1226"/>
      <c r="FJ70" s="1226"/>
      <c r="FK70" s="1226"/>
      <c r="FL70" s="1226"/>
      <c r="FM70" s="1226"/>
      <c r="FN70" s="1226"/>
      <c r="FO70" s="1226"/>
      <c r="FP70" s="1226"/>
      <c r="FQ70" s="1226"/>
      <c r="FR70" s="1226"/>
      <c r="FS70" s="1226"/>
      <c r="FT70" s="1226"/>
      <c r="FU70" s="1226"/>
      <c r="FV70" s="1226"/>
      <c r="FW70" s="1226"/>
      <c r="FX70" s="1226"/>
      <c r="FY70" s="1226"/>
      <c r="FZ70" s="1226"/>
      <c r="GA70" s="1226"/>
      <c r="GB70" s="1226"/>
      <c r="GC70" s="1226"/>
      <c r="GD70" s="1226"/>
      <c r="GE70" s="1226"/>
      <c r="GF70" s="1226"/>
      <c r="GG70" s="1226"/>
      <c r="GH70" s="1226"/>
      <c r="GI70" s="1226"/>
      <c r="GJ70" s="1226"/>
      <c r="GK70" s="1226"/>
      <c r="GL70" s="1226"/>
      <c r="GM70" s="1226"/>
      <c r="GN70" s="1226"/>
      <c r="GO70" s="1226"/>
      <c r="GP70" s="1226"/>
      <c r="GQ70" s="1226"/>
      <c r="GR70" s="1226"/>
      <c r="GS70" s="1226"/>
      <c r="GT70" s="1226"/>
      <c r="GU70" s="1226"/>
      <c r="GV70" s="1226"/>
      <c r="GW70" s="1226"/>
      <c r="GX70" s="1226"/>
      <c r="GY70" s="1226"/>
      <c r="GZ70" s="1226"/>
      <c r="HA70" s="1226"/>
      <c r="HB70" s="1226"/>
      <c r="HC70" s="1226"/>
      <c r="HD70" s="1226"/>
      <c r="HE70" s="1226"/>
      <c r="HF70" s="1226"/>
      <c r="HG70" s="1226"/>
      <c r="HH70" s="1226"/>
      <c r="HI70" s="1226"/>
      <c r="HJ70" s="1226"/>
      <c r="HK70" s="1226"/>
      <c r="HL70" s="1226"/>
      <c r="HM70" s="1226"/>
      <c r="HN70" s="1226"/>
      <c r="HO70" s="1226"/>
      <c r="HP70" s="1226"/>
      <c r="HQ70" s="1226"/>
      <c r="HR70" s="1226"/>
      <c r="HS70" s="1226"/>
      <c r="HT70" s="1226"/>
      <c r="HU70" s="1226"/>
      <c r="HV70" s="1226"/>
      <c r="HW70" s="1226"/>
      <c r="HX70" s="1226"/>
      <c r="HY70" s="1226"/>
      <c r="HZ70" s="1226"/>
      <c r="IA70" s="1226"/>
      <c r="IB70" s="1226"/>
      <c r="IC70" s="1226"/>
      <c r="ID70" s="1226"/>
      <c r="IE70" s="1226"/>
      <c r="IF70" s="1226"/>
      <c r="IG70" s="1226"/>
      <c r="IH70" s="1226"/>
      <c r="II70" s="1226"/>
      <c r="IJ70" s="1226"/>
      <c r="IK70" s="1226"/>
      <c r="IL70" s="1226"/>
      <c r="IM70" s="1226"/>
      <c r="IN70" s="1226"/>
      <c r="IO70" s="1226"/>
      <c r="IP70" s="1226"/>
      <c r="IQ70" s="1226"/>
    </row>
    <row r="71" spans="1:251" ht="18" customHeight="1" x14ac:dyDescent="0.35">
      <c r="A71" s="1175">
        <v>62</v>
      </c>
      <c r="B71" s="1186"/>
      <c r="C71" s="1197"/>
      <c r="D71" s="1198" t="s">
        <v>230</v>
      </c>
      <c r="E71" s="1199"/>
      <c r="F71" s="1200"/>
      <c r="G71" s="1201"/>
      <c r="H71" s="1202"/>
      <c r="I71" s="1203"/>
      <c r="J71" s="1204">
        <f>3218+3015</f>
        <v>6233</v>
      </c>
      <c r="K71" s="1204"/>
      <c r="L71" s="1205">
        <f>SUM(I71:K71)</f>
        <v>6233</v>
      </c>
      <c r="M71" s="1196"/>
      <c r="N71" s="1226"/>
      <c r="O71" s="1226"/>
      <c r="P71" s="1226"/>
      <c r="Q71" s="1226"/>
      <c r="R71" s="1226"/>
      <c r="S71" s="1226"/>
      <c r="T71" s="1226"/>
      <c r="U71" s="1226"/>
      <c r="V71" s="1226"/>
      <c r="W71" s="1226"/>
      <c r="X71" s="1226"/>
      <c r="Y71" s="1226"/>
      <c r="Z71" s="1226"/>
      <c r="AA71" s="1226"/>
      <c r="AB71" s="1226"/>
      <c r="AC71" s="1226"/>
      <c r="AD71" s="1226"/>
      <c r="AE71" s="1226"/>
      <c r="AF71" s="1226"/>
      <c r="AG71" s="1226"/>
      <c r="AH71" s="1226"/>
      <c r="AI71" s="1226"/>
      <c r="AJ71" s="1226"/>
      <c r="AK71" s="1226"/>
      <c r="AL71" s="1226"/>
      <c r="AM71" s="1226"/>
      <c r="AN71" s="1226"/>
      <c r="AO71" s="1226"/>
      <c r="AP71" s="1226"/>
      <c r="AQ71" s="1226"/>
      <c r="AR71" s="1226"/>
      <c r="AS71" s="1226"/>
      <c r="AT71" s="1226"/>
      <c r="AU71" s="1226"/>
      <c r="AV71" s="1226"/>
      <c r="AW71" s="1226"/>
      <c r="AX71" s="1226"/>
      <c r="AY71" s="1226"/>
      <c r="AZ71" s="1226"/>
      <c r="BA71" s="1226"/>
      <c r="BB71" s="1226"/>
      <c r="BC71" s="1226"/>
      <c r="BD71" s="1226"/>
      <c r="BE71" s="1226"/>
      <c r="BF71" s="1226"/>
      <c r="BG71" s="1226"/>
      <c r="BH71" s="1226"/>
      <c r="BI71" s="1226"/>
      <c r="BJ71" s="1226"/>
      <c r="BK71" s="1226"/>
      <c r="BL71" s="1226"/>
      <c r="BM71" s="1226"/>
      <c r="BN71" s="1226"/>
      <c r="BO71" s="1226"/>
      <c r="BP71" s="1226"/>
      <c r="BQ71" s="1226"/>
      <c r="BR71" s="1226"/>
      <c r="BS71" s="1226"/>
      <c r="BT71" s="1226"/>
      <c r="BU71" s="1226"/>
      <c r="BV71" s="1226"/>
      <c r="BW71" s="1226"/>
      <c r="BX71" s="1226"/>
      <c r="BY71" s="1226"/>
      <c r="BZ71" s="1226"/>
      <c r="CA71" s="1226"/>
      <c r="CB71" s="1226"/>
      <c r="CC71" s="1226"/>
      <c r="CD71" s="1226"/>
      <c r="CE71" s="1226"/>
      <c r="CF71" s="1226"/>
      <c r="CG71" s="1226"/>
      <c r="CH71" s="1226"/>
      <c r="CI71" s="1226"/>
      <c r="CJ71" s="1226"/>
      <c r="CK71" s="1226"/>
      <c r="CL71" s="1226"/>
      <c r="CM71" s="1226"/>
      <c r="CN71" s="1226"/>
      <c r="CO71" s="1226"/>
      <c r="CP71" s="1226"/>
      <c r="CQ71" s="1226"/>
      <c r="CR71" s="1226"/>
      <c r="CS71" s="1226"/>
      <c r="CT71" s="1226"/>
      <c r="CU71" s="1226"/>
      <c r="CV71" s="1226"/>
      <c r="CW71" s="1226"/>
      <c r="CX71" s="1226"/>
      <c r="CY71" s="1226"/>
      <c r="CZ71" s="1226"/>
      <c r="DA71" s="1226"/>
      <c r="DB71" s="1226"/>
      <c r="DC71" s="1226"/>
      <c r="DD71" s="1226"/>
      <c r="DE71" s="1226"/>
      <c r="DF71" s="1226"/>
      <c r="DG71" s="1226"/>
      <c r="DH71" s="1226"/>
      <c r="DI71" s="1226"/>
      <c r="DJ71" s="1226"/>
      <c r="DK71" s="1226"/>
      <c r="DL71" s="1226"/>
      <c r="DM71" s="1226"/>
      <c r="DN71" s="1226"/>
      <c r="DO71" s="1226"/>
      <c r="DP71" s="1226"/>
      <c r="DQ71" s="1226"/>
      <c r="DR71" s="1226"/>
      <c r="DS71" s="1226"/>
      <c r="DT71" s="1226"/>
      <c r="DU71" s="1226"/>
      <c r="DV71" s="1226"/>
      <c r="DW71" s="1226"/>
      <c r="DX71" s="1226"/>
      <c r="DY71" s="1226"/>
      <c r="DZ71" s="1226"/>
      <c r="EA71" s="1226"/>
      <c r="EB71" s="1226"/>
      <c r="EC71" s="1226"/>
      <c r="ED71" s="1226"/>
      <c r="EE71" s="1226"/>
      <c r="EF71" s="1226"/>
      <c r="EG71" s="1226"/>
      <c r="EH71" s="1226"/>
      <c r="EI71" s="1226"/>
      <c r="EJ71" s="1226"/>
      <c r="EK71" s="1226"/>
      <c r="EL71" s="1226"/>
      <c r="EM71" s="1226"/>
      <c r="EN71" s="1226"/>
      <c r="EO71" s="1226"/>
      <c r="EP71" s="1226"/>
      <c r="EQ71" s="1226"/>
      <c r="ER71" s="1226"/>
      <c r="ES71" s="1226"/>
      <c r="ET71" s="1226"/>
      <c r="EU71" s="1226"/>
      <c r="EV71" s="1226"/>
      <c r="EW71" s="1226"/>
      <c r="EX71" s="1226"/>
      <c r="EY71" s="1226"/>
      <c r="EZ71" s="1226"/>
      <c r="FA71" s="1226"/>
      <c r="FB71" s="1226"/>
      <c r="FC71" s="1226"/>
      <c r="FD71" s="1226"/>
      <c r="FE71" s="1226"/>
      <c r="FF71" s="1226"/>
      <c r="FG71" s="1226"/>
      <c r="FH71" s="1226"/>
      <c r="FI71" s="1226"/>
      <c r="FJ71" s="1226"/>
      <c r="FK71" s="1226"/>
      <c r="FL71" s="1226"/>
      <c r="FM71" s="1226"/>
      <c r="FN71" s="1226"/>
      <c r="FO71" s="1226"/>
      <c r="FP71" s="1226"/>
      <c r="FQ71" s="1226"/>
      <c r="FR71" s="1226"/>
      <c r="FS71" s="1226"/>
      <c r="FT71" s="1226"/>
      <c r="FU71" s="1226"/>
      <c r="FV71" s="1226"/>
      <c r="FW71" s="1226"/>
      <c r="FX71" s="1226"/>
      <c r="FY71" s="1226"/>
      <c r="FZ71" s="1226"/>
      <c r="GA71" s="1226"/>
      <c r="GB71" s="1226"/>
      <c r="GC71" s="1226"/>
      <c r="GD71" s="1226"/>
      <c r="GE71" s="1226"/>
      <c r="GF71" s="1226"/>
      <c r="GG71" s="1226"/>
      <c r="GH71" s="1226"/>
      <c r="GI71" s="1226"/>
      <c r="GJ71" s="1226"/>
      <c r="GK71" s="1226"/>
      <c r="GL71" s="1226"/>
      <c r="GM71" s="1226"/>
      <c r="GN71" s="1226"/>
      <c r="GO71" s="1226"/>
      <c r="GP71" s="1226"/>
      <c r="GQ71" s="1226"/>
      <c r="GR71" s="1226"/>
      <c r="GS71" s="1226"/>
      <c r="GT71" s="1226"/>
      <c r="GU71" s="1226"/>
      <c r="GV71" s="1226"/>
      <c r="GW71" s="1226"/>
      <c r="GX71" s="1226"/>
      <c r="GY71" s="1226"/>
      <c r="GZ71" s="1226"/>
      <c r="HA71" s="1226"/>
      <c r="HB71" s="1226"/>
      <c r="HC71" s="1226"/>
      <c r="HD71" s="1226"/>
      <c r="HE71" s="1226"/>
      <c r="HF71" s="1226"/>
      <c r="HG71" s="1226"/>
      <c r="HH71" s="1226"/>
      <c r="HI71" s="1226"/>
      <c r="HJ71" s="1226"/>
      <c r="HK71" s="1226"/>
      <c r="HL71" s="1226"/>
      <c r="HM71" s="1226"/>
      <c r="HN71" s="1226"/>
      <c r="HO71" s="1226"/>
      <c r="HP71" s="1226"/>
      <c r="HQ71" s="1226"/>
      <c r="HR71" s="1226"/>
      <c r="HS71" s="1226"/>
      <c r="HT71" s="1226"/>
      <c r="HU71" s="1226"/>
      <c r="HV71" s="1226"/>
      <c r="HW71" s="1226"/>
      <c r="HX71" s="1226"/>
      <c r="HY71" s="1226"/>
      <c r="HZ71" s="1226"/>
      <c r="IA71" s="1226"/>
      <c r="IB71" s="1226"/>
      <c r="IC71" s="1226"/>
      <c r="ID71" s="1226"/>
      <c r="IE71" s="1226"/>
      <c r="IF71" s="1226"/>
      <c r="IG71" s="1226"/>
      <c r="IH71" s="1226"/>
      <c r="II71" s="1226"/>
      <c r="IJ71" s="1226"/>
      <c r="IK71" s="1226"/>
      <c r="IL71" s="1226"/>
      <c r="IM71" s="1226"/>
      <c r="IN71" s="1226"/>
      <c r="IO71" s="1226"/>
      <c r="IP71" s="1226"/>
      <c r="IQ71" s="1226"/>
    </row>
    <row r="72" spans="1:251" ht="18" customHeight="1" x14ac:dyDescent="0.35">
      <c r="A72" s="1175">
        <v>63</v>
      </c>
      <c r="B72" s="1186"/>
      <c r="C72" s="1197"/>
      <c r="D72" s="1206" t="s">
        <v>231</v>
      </c>
      <c r="E72" s="1199"/>
      <c r="F72" s="1200"/>
      <c r="G72" s="1201"/>
      <c r="H72" s="1202"/>
      <c r="I72" s="1207"/>
      <c r="J72" s="1208">
        <v>6233</v>
      </c>
      <c r="K72" s="1208"/>
      <c r="L72" s="1209">
        <f>SUM(I72:K72)</f>
        <v>6233</v>
      </c>
      <c r="M72" s="1227"/>
      <c r="N72" s="1226"/>
      <c r="O72" s="1226"/>
      <c r="P72" s="1226"/>
      <c r="Q72" s="1226"/>
      <c r="R72" s="1226"/>
      <c r="S72" s="1226"/>
      <c r="T72" s="1226"/>
      <c r="U72" s="1226"/>
      <c r="V72" s="1226"/>
      <c r="W72" s="1226"/>
      <c r="X72" s="1226"/>
      <c r="Y72" s="1226"/>
      <c r="Z72" s="1226"/>
      <c r="AA72" s="1226"/>
      <c r="AB72" s="1226"/>
      <c r="AC72" s="1226"/>
      <c r="AD72" s="1226"/>
      <c r="AE72" s="1226"/>
      <c r="AF72" s="1226"/>
      <c r="AG72" s="1226"/>
      <c r="AH72" s="1226"/>
      <c r="AI72" s="1226"/>
      <c r="AJ72" s="1226"/>
      <c r="AK72" s="1226"/>
      <c r="AL72" s="1226"/>
      <c r="AM72" s="1226"/>
      <c r="AN72" s="1226"/>
      <c r="AO72" s="1226"/>
      <c r="AP72" s="1226"/>
      <c r="AQ72" s="1226"/>
      <c r="AR72" s="1226"/>
      <c r="AS72" s="1226"/>
      <c r="AT72" s="1226"/>
      <c r="AU72" s="1226"/>
      <c r="AV72" s="1226"/>
      <c r="AW72" s="1226"/>
      <c r="AX72" s="1226"/>
      <c r="AY72" s="1226"/>
      <c r="AZ72" s="1226"/>
      <c r="BA72" s="1226"/>
      <c r="BB72" s="1226"/>
      <c r="BC72" s="1226"/>
      <c r="BD72" s="1226"/>
      <c r="BE72" s="1226"/>
      <c r="BF72" s="1226"/>
      <c r="BG72" s="1226"/>
      <c r="BH72" s="1226"/>
      <c r="BI72" s="1226"/>
      <c r="BJ72" s="1226"/>
      <c r="BK72" s="1226"/>
      <c r="BL72" s="1226"/>
      <c r="BM72" s="1226"/>
      <c r="BN72" s="1226"/>
      <c r="BO72" s="1226"/>
      <c r="BP72" s="1226"/>
      <c r="BQ72" s="1226"/>
      <c r="BR72" s="1226"/>
      <c r="BS72" s="1226"/>
      <c r="BT72" s="1226"/>
      <c r="BU72" s="1226"/>
      <c r="BV72" s="1226"/>
      <c r="BW72" s="1226"/>
      <c r="BX72" s="1226"/>
      <c r="BY72" s="1226"/>
      <c r="BZ72" s="1226"/>
      <c r="CA72" s="1226"/>
      <c r="CB72" s="1226"/>
      <c r="CC72" s="1226"/>
      <c r="CD72" s="1226"/>
      <c r="CE72" s="1226"/>
      <c r="CF72" s="1226"/>
      <c r="CG72" s="1226"/>
      <c r="CH72" s="1226"/>
      <c r="CI72" s="1226"/>
      <c r="CJ72" s="1226"/>
      <c r="CK72" s="1226"/>
      <c r="CL72" s="1226"/>
      <c r="CM72" s="1226"/>
      <c r="CN72" s="1226"/>
      <c r="CO72" s="1226"/>
      <c r="CP72" s="1226"/>
      <c r="CQ72" s="1226"/>
      <c r="CR72" s="1226"/>
      <c r="CS72" s="1226"/>
      <c r="CT72" s="1226"/>
      <c r="CU72" s="1226"/>
      <c r="CV72" s="1226"/>
      <c r="CW72" s="1226"/>
      <c r="CX72" s="1226"/>
      <c r="CY72" s="1226"/>
      <c r="CZ72" s="1226"/>
      <c r="DA72" s="1226"/>
      <c r="DB72" s="1226"/>
      <c r="DC72" s="1226"/>
      <c r="DD72" s="1226"/>
      <c r="DE72" s="1226"/>
      <c r="DF72" s="1226"/>
      <c r="DG72" s="1226"/>
      <c r="DH72" s="1226"/>
      <c r="DI72" s="1226"/>
      <c r="DJ72" s="1226"/>
      <c r="DK72" s="1226"/>
      <c r="DL72" s="1226"/>
      <c r="DM72" s="1226"/>
      <c r="DN72" s="1226"/>
      <c r="DO72" s="1226"/>
      <c r="DP72" s="1226"/>
      <c r="DQ72" s="1226"/>
      <c r="DR72" s="1226"/>
      <c r="DS72" s="1226"/>
      <c r="DT72" s="1226"/>
      <c r="DU72" s="1226"/>
      <c r="DV72" s="1226"/>
      <c r="DW72" s="1226"/>
      <c r="DX72" s="1226"/>
      <c r="DY72" s="1226"/>
      <c r="DZ72" s="1226"/>
      <c r="EA72" s="1226"/>
      <c r="EB72" s="1226"/>
      <c r="EC72" s="1226"/>
      <c r="ED72" s="1226"/>
      <c r="EE72" s="1226"/>
      <c r="EF72" s="1226"/>
      <c r="EG72" s="1226"/>
      <c r="EH72" s="1226"/>
      <c r="EI72" s="1226"/>
      <c r="EJ72" s="1226"/>
      <c r="EK72" s="1226"/>
      <c r="EL72" s="1226"/>
      <c r="EM72" s="1226"/>
      <c r="EN72" s="1226"/>
      <c r="EO72" s="1226"/>
      <c r="EP72" s="1226"/>
      <c r="EQ72" s="1226"/>
      <c r="ER72" s="1226"/>
      <c r="ES72" s="1226"/>
      <c r="ET72" s="1226"/>
      <c r="EU72" s="1226"/>
      <c r="EV72" s="1226"/>
      <c r="EW72" s="1226"/>
      <c r="EX72" s="1226"/>
      <c r="EY72" s="1226"/>
      <c r="EZ72" s="1226"/>
      <c r="FA72" s="1226"/>
      <c r="FB72" s="1226"/>
      <c r="FC72" s="1226"/>
      <c r="FD72" s="1226"/>
      <c r="FE72" s="1226"/>
      <c r="FF72" s="1226"/>
      <c r="FG72" s="1226"/>
      <c r="FH72" s="1226"/>
      <c r="FI72" s="1226"/>
      <c r="FJ72" s="1226"/>
      <c r="FK72" s="1226"/>
      <c r="FL72" s="1226"/>
      <c r="FM72" s="1226"/>
      <c r="FN72" s="1226"/>
      <c r="FO72" s="1226"/>
      <c r="FP72" s="1226"/>
      <c r="FQ72" s="1226"/>
      <c r="FR72" s="1226"/>
      <c r="FS72" s="1226"/>
      <c r="FT72" s="1226"/>
      <c r="FU72" s="1226"/>
      <c r="FV72" s="1226"/>
      <c r="FW72" s="1226"/>
      <c r="FX72" s="1226"/>
      <c r="FY72" s="1226"/>
      <c r="FZ72" s="1226"/>
      <c r="GA72" s="1226"/>
      <c r="GB72" s="1226"/>
      <c r="GC72" s="1226"/>
      <c r="GD72" s="1226"/>
      <c r="GE72" s="1226"/>
      <c r="GF72" s="1226"/>
      <c r="GG72" s="1226"/>
      <c r="GH72" s="1226"/>
      <c r="GI72" s="1226"/>
      <c r="GJ72" s="1226"/>
      <c r="GK72" s="1226"/>
      <c r="GL72" s="1226"/>
      <c r="GM72" s="1226"/>
      <c r="GN72" s="1226"/>
      <c r="GO72" s="1226"/>
      <c r="GP72" s="1226"/>
      <c r="GQ72" s="1226"/>
      <c r="GR72" s="1226"/>
      <c r="GS72" s="1226"/>
      <c r="GT72" s="1226"/>
      <c r="GU72" s="1226"/>
      <c r="GV72" s="1226"/>
      <c r="GW72" s="1226"/>
      <c r="GX72" s="1226"/>
      <c r="GY72" s="1226"/>
      <c r="GZ72" s="1226"/>
      <c r="HA72" s="1226"/>
      <c r="HB72" s="1226"/>
      <c r="HC72" s="1226"/>
      <c r="HD72" s="1226"/>
      <c r="HE72" s="1226"/>
      <c r="HF72" s="1226"/>
      <c r="HG72" s="1226"/>
      <c r="HH72" s="1226"/>
      <c r="HI72" s="1226"/>
      <c r="HJ72" s="1226"/>
      <c r="HK72" s="1226"/>
      <c r="HL72" s="1226"/>
      <c r="HM72" s="1226"/>
      <c r="HN72" s="1226"/>
      <c r="HO72" s="1226"/>
      <c r="HP72" s="1226"/>
      <c r="HQ72" s="1226"/>
      <c r="HR72" s="1226"/>
      <c r="HS72" s="1226"/>
      <c r="HT72" s="1226"/>
      <c r="HU72" s="1226"/>
      <c r="HV72" s="1226"/>
      <c r="HW72" s="1226"/>
      <c r="HX72" s="1226"/>
      <c r="HY72" s="1226"/>
      <c r="HZ72" s="1226"/>
      <c r="IA72" s="1226"/>
      <c r="IB72" s="1226"/>
      <c r="IC72" s="1226"/>
      <c r="ID72" s="1226"/>
      <c r="IE72" s="1226"/>
      <c r="IF72" s="1226"/>
      <c r="IG72" s="1226"/>
      <c r="IH72" s="1226"/>
      <c r="II72" s="1226"/>
      <c r="IJ72" s="1226"/>
      <c r="IK72" s="1226"/>
      <c r="IL72" s="1226"/>
      <c r="IM72" s="1226"/>
      <c r="IN72" s="1226"/>
      <c r="IO72" s="1226"/>
      <c r="IP72" s="1226"/>
      <c r="IQ72" s="1226"/>
    </row>
    <row r="73" spans="1:251" ht="18" customHeight="1" x14ac:dyDescent="0.35">
      <c r="A73" s="1175">
        <v>64</v>
      </c>
      <c r="B73" s="1186"/>
      <c r="C73" s="1197"/>
      <c r="D73" s="1210" t="s">
        <v>245</v>
      </c>
      <c r="E73" s="1211"/>
      <c r="F73" s="1212"/>
      <c r="G73" s="1213"/>
      <c r="H73" s="1214"/>
      <c r="I73" s="1215"/>
      <c r="J73" s="1216"/>
      <c r="K73" s="1216"/>
      <c r="L73" s="1217">
        <f>SUM(F73:K73)</f>
        <v>0</v>
      </c>
      <c r="M73" s="1227"/>
      <c r="N73" s="1226"/>
      <c r="O73" s="1226"/>
      <c r="P73" s="1226"/>
      <c r="Q73" s="1226"/>
      <c r="R73" s="1226"/>
      <c r="S73" s="1226"/>
      <c r="T73" s="1226"/>
      <c r="U73" s="1226"/>
      <c r="V73" s="1226"/>
      <c r="W73" s="1226"/>
      <c r="X73" s="1226"/>
      <c r="Y73" s="1226"/>
      <c r="Z73" s="1226"/>
      <c r="AA73" s="1226"/>
      <c r="AB73" s="1226"/>
      <c r="AC73" s="1226"/>
      <c r="AD73" s="1226"/>
      <c r="AE73" s="1226"/>
      <c r="AF73" s="1226"/>
      <c r="AG73" s="1226"/>
      <c r="AH73" s="1226"/>
      <c r="AI73" s="1226"/>
      <c r="AJ73" s="1226"/>
      <c r="AK73" s="1226"/>
      <c r="AL73" s="1226"/>
      <c r="AM73" s="1226"/>
      <c r="AN73" s="1226"/>
      <c r="AO73" s="1226"/>
      <c r="AP73" s="1226"/>
      <c r="AQ73" s="1226"/>
      <c r="AR73" s="1226"/>
      <c r="AS73" s="1226"/>
      <c r="AT73" s="1226"/>
      <c r="AU73" s="1226"/>
      <c r="AV73" s="1226"/>
      <c r="AW73" s="1226"/>
      <c r="AX73" s="1226"/>
      <c r="AY73" s="1226"/>
      <c r="AZ73" s="1226"/>
      <c r="BA73" s="1226"/>
      <c r="BB73" s="1226"/>
      <c r="BC73" s="1226"/>
      <c r="BD73" s="1226"/>
      <c r="BE73" s="1226"/>
      <c r="BF73" s="1226"/>
      <c r="BG73" s="1226"/>
      <c r="BH73" s="1226"/>
      <c r="BI73" s="1226"/>
      <c r="BJ73" s="1226"/>
      <c r="BK73" s="1226"/>
      <c r="BL73" s="1226"/>
      <c r="BM73" s="1226"/>
      <c r="BN73" s="1226"/>
      <c r="BO73" s="1226"/>
      <c r="BP73" s="1226"/>
      <c r="BQ73" s="1226"/>
      <c r="BR73" s="1226"/>
      <c r="BS73" s="1226"/>
      <c r="BT73" s="1226"/>
      <c r="BU73" s="1226"/>
      <c r="BV73" s="1226"/>
      <c r="BW73" s="1226"/>
      <c r="BX73" s="1226"/>
      <c r="BY73" s="1226"/>
      <c r="BZ73" s="1226"/>
      <c r="CA73" s="1226"/>
      <c r="CB73" s="1226"/>
      <c r="CC73" s="1226"/>
      <c r="CD73" s="1226"/>
      <c r="CE73" s="1226"/>
      <c r="CF73" s="1226"/>
      <c r="CG73" s="1226"/>
      <c r="CH73" s="1226"/>
      <c r="CI73" s="1226"/>
      <c r="CJ73" s="1226"/>
      <c r="CK73" s="1226"/>
      <c r="CL73" s="1226"/>
      <c r="CM73" s="1226"/>
      <c r="CN73" s="1226"/>
      <c r="CO73" s="1226"/>
      <c r="CP73" s="1226"/>
      <c r="CQ73" s="1226"/>
      <c r="CR73" s="1226"/>
      <c r="CS73" s="1226"/>
      <c r="CT73" s="1226"/>
      <c r="CU73" s="1226"/>
      <c r="CV73" s="1226"/>
      <c r="CW73" s="1226"/>
      <c r="CX73" s="1226"/>
      <c r="CY73" s="1226"/>
      <c r="CZ73" s="1226"/>
      <c r="DA73" s="1226"/>
      <c r="DB73" s="1226"/>
      <c r="DC73" s="1226"/>
      <c r="DD73" s="1226"/>
      <c r="DE73" s="1226"/>
      <c r="DF73" s="1226"/>
      <c r="DG73" s="1226"/>
      <c r="DH73" s="1226"/>
      <c r="DI73" s="1226"/>
      <c r="DJ73" s="1226"/>
      <c r="DK73" s="1226"/>
      <c r="DL73" s="1226"/>
      <c r="DM73" s="1226"/>
      <c r="DN73" s="1226"/>
      <c r="DO73" s="1226"/>
      <c r="DP73" s="1226"/>
      <c r="DQ73" s="1226"/>
      <c r="DR73" s="1226"/>
      <c r="DS73" s="1226"/>
      <c r="DT73" s="1226"/>
      <c r="DU73" s="1226"/>
      <c r="DV73" s="1226"/>
      <c r="DW73" s="1226"/>
      <c r="DX73" s="1226"/>
      <c r="DY73" s="1226"/>
      <c r="DZ73" s="1226"/>
      <c r="EA73" s="1226"/>
      <c r="EB73" s="1226"/>
      <c r="EC73" s="1226"/>
      <c r="ED73" s="1226"/>
      <c r="EE73" s="1226"/>
      <c r="EF73" s="1226"/>
      <c r="EG73" s="1226"/>
      <c r="EH73" s="1226"/>
      <c r="EI73" s="1226"/>
      <c r="EJ73" s="1226"/>
      <c r="EK73" s="1226"/>
      <c r="EL73" s="1226"/>
      <c r="EM73" s="1226"/>
      <c r="EN73" s="1226"/>
      <c r="EO73" s="1226"/>
      <c r="EP73" s="1226"/>
      <c r="EQ73" s="1226"/>
      <c r="ER73" s="1226"/>
      <c r="ES73" s="1226"/>
      <c r="ET73" s="1226"/>
      <c r="EU73" s="1226"/>
      <c r="EV73" s="1226"/>
      <c r="EW73" s="1226"/>
      <c r="EX73" s="1226"/>
      <c r="EY73" s="1226"/>
      <c r="EZ73" s="1226"/>
      <c r="FA73" s="1226"/>
      <c r="FB73" s="1226"/>
      <c r="FC73" s="1226"/>
      <c r="FD73" s="1226"/>
      <c r="FE73" s="1226"/>
      <c r="FF73" s="1226"/>
      <c r="FG73" s="1226"/>
      <c r="FH73" s="1226"/>
      <c r="FI73" s="1226"/>
      <c r="FJ73" s="1226"/>
      <c r="FK73" s="1226"/>
      <c r="FL73" s="1226"/>
      <c r="FM73" s="1226"/>
      <c r="FN73" s="1226"/>
      <c r="FO73" s="1226"/>
      <c r="FP73" s="1226"/>
      <c r="FQ73" s="1226"/>
      <c r="FR73" s="1226"/>
      <c r="FS73" s="1226"/>
      <c r="FT73" s="1226"/>
      <c r="FU73" s="1226"/>
      <c r="FV73" s="1226"/>
      <c r="FW73" s="1226"/>
      <c r="FX73" s="1226"/>
      <c r="FY73" s="1226"/>
      <c r="FZ73" s="1226"/>
      <c r="GA73" s="1226"/>
      <c r="GB73" s="1226"/>
      <c r="GC73" s="1226"/>
      <c r="GD73" s="1226"/>
      <c r="GE73" s="1226"/>
      <c r="GF73" s="1226"/>
      <c r="GG73" s="1226"/>
      <c r="GH73" s="1226"/>
      <c r="GI73" s="1226"/>
      <c r="GJ73" s="1226"/>
      <c r="GK73" s="1226"/>
      <c r="GL73" s="1226"/>
      <c r="GM73" s="1226"/>
      <c r="GN73" s="1226"/>
      <c r="GO73" s="1226"/>
      <c r="GP73" s="1226"/>
      <c r="GQ73" s="1226"/>
      <c r="GR73" s="1226"/>
      <c r="GS73" s="1226"/>
      <c r="GT73" s="1226"/>
      <c r="GU73" s="1226"/>
      <c r="GV73" s="1226"/>
      <c r="GW73" s="1226"/>
      <c r="GX73" s="1226"/>
      <c r="GY73" s="1226"/>
      <c r="GZ73" s="1226"/>
      <c r="HA73" s="1226"/>
      <c r="HB73" s="1226"/>
      <c r="HC73" s="1226"/>
      <c r="HD73" s="1226"/>
      <c r="HE73" s="1226"/>
      <c r="HF73" s="1226"/>
      <c r="HG73" s="1226"/>
      <c r="HH73" s="1226"/>
      <c r="HI73" s="1226"/>
      <c r="HJ73" s="1226"/>
      <c r="HK73" s="1226"/>
      <c r="HL73" s="1226"/>
      <c r="HM73" s="1226"/>
      <c r="HN73" s="1226"/>
      <c r="HO73" s="1226"/>
      <c r="HP73" s="1226"/>
      <c r="HQ73" s="1226"/>
      <c r="HR73" s="1226"/>
      <c r="HS73" s="1226"/>
      <c r="HT73" s="1226"/>
      <c r="HU73" s="1226"/>
      <c r="HV73" s="1226"/>
      <c r="HW73" s="1226"/>
      <c r="HX73" s="1226"/>
      <c r="HY73" s="1226"/>
      <c r="HZ73" s="1226"/>
      <c r="IA73" s="1226"/>
      <c r="IB73" s="1226"/>
      <c r="IC73" s="1226"/>
      <c r="ID73" s="1226"/>
      <c r="IE73" s="1226"/>
      <c r="IF73" s="1226"/>
      <c r="IG73" s="1226"/>
      <c r="IH73" s="1226"/>
      <c r="II73" s="1226"/>
      <c r="IJ73" s="1226"/>
      <c r="IK73" s="1226"/>
      <c r="IL73" s="1226"/>
      <c r="IM73" s="1226"/>
      <c r="IN73" s="1226"/>
      <c r="IO73" s="1226"/>
      <c r="IP73" s="1226"/>
      <c r="IQ73" s="1226"/>
    </row>
    <row r="74" spans="1:251" ht="18" customHeight="1" x14ac:dyDescent="0.35">
      <c r="A74" s="1175">
        <v>65</v>
      </c>
      <c r="B74" s="1186"/>
      <c r="C74" s="1197"/>
      <c r="D74" s="1206" t="s">
        <v>233</v>
      </c>
      <c r="E74" s="1218"/>
      <c r="F74" s="1219"/>
      <c r="G74" s="1220"/>
      <c r="H74" s="1221"/>
      <c r="I74" s="1207"/>
      <c r="J74" s="1208">
        <f>SUM(J72:J73)</f>
        <v>6233</v>
      </c>
      <c r="K74" s="1208"/>
      <c r="L74" s="1222">
        <f>SUM(F74:K74)</f>
        <v>6233</v>
      </c>
      <c r="M74" s="1227"/>
      <c r="N74" s="1226"/>
      <c r="O74" s="1226"/>
      <c r="P74" s="1226"/>
      <c r="Q74" s="1226"/>
      <c r="R74" s="1226"/>
      <c r="S74" s="1226"/>
      <c r="T74" s="1226"/>
      <c r="U74" s="1226"/>
      <c r="V74" s="1226"/>
      <c r="W74" s="1226"/>
      <c r="X74" s="1226"/>
      <c r="Y74" s="1226"/>
      <c r="Z74" s="1226"/>
      <c r="AA74" s="1226"/>
      <c r="AB74" s="1226"/>
      <c r="AC74" s="1226"/>
      <c r="AD74" s="1226"/>
      <c r="AE74" s="1226"/>
      <c r="AF74" s="1226"/>
      <c r="AG74" s="1226"/>
      <c r="AH74" s="1226"/>
      <c r="AI74" s="1226"/>
      <c r="AJ74" s="1226"/>
      <c r="AK74" s="1226"/>
      <c r="AL74" s="1226"/>
      <c r="AM74" s="1226"/>
      <c r="AN74" s="1226"/>
      <c r="AO74" s="1226"/>
      <c r="AP74" s="1226"/>
      <c r="AQ74" s="1226"/>
      <c r="AR74" s="1226"/>
      <c r="AS74" s="1226"/>
      <c r="AT74" s="1226"/>
      <c r="AU74" s="1226"/>
      <c r="AV74" s="1226"/>
      <c r="AW74" s="1226"/>
      <c r="AX74" s="1226"/>
      <c r="AY74" s="1226"/>
      <c r="AZ74" s="1226"/>
      <c r="BA74" s="1226"/>
      <c r="BB74" s="1226"/>
      <c r="BC74" s="1226"/>
      <c r="BD74" s="1226"/>
      <c r="BE74" s="1226"/>
      <c r="BF74" s="1226"/>
      <c r="BG74" s="1226"/>
      <c r="BH74" s="1226"/>
      <c r="BI74" s="1226"/>
      <c r="BJ74" s="1226"/>
      <c r="BK74" s="1226"/>
      <c r="BL74" s="1226"/>
      <c r="BM74" s="1226"/>
      <c r="BN74" s="1226"/>
      <c r="BO74" s="1226"/>
      <c r="BP74" s="1226"/>
      <c r="BQ74" s="1226"/>
      <c r="BR74" s="1226"/>
      <c r="BS74" s="1226"/>
      <c r="BT74" s="1226"/>
      <c r="BU74" s="1226"/>
      <c r="BV74" s="1226"/>
      <c r="BW74" s="1226"/>
      <c r="BX74" s="1226"/>
      <c r="BY74" s="1226"/>
      <c r="BZ74" s="1226"/>
      <c r="CA74" s="1226"/>
      <c r="CB74" s="1226"/>
      <c r="CC74" s="1226"/>
      <c r="CD74" s="1226"/>
      <c r="CE74" s="1226"/>
      <c r="CF74" s="1226"/>
      <c r="CG74" s="1226"/>
      <c r="CH74" s="1226"/>
      <c r="CI74" s="1226"/>
      <c r="CJ74" s="1226"/>
      <c r="CK74" s="1226"/>
      <c r="CL74" s="1226"/>
      <c r="CM74" s="1226"/>
      <c r="CN74" s="1226"/>
      <c r="CO74" s="1226"/>
      <c r="CP74" s="1226"/>
      <c r="CQ74" s="1226"/>
      <c r="CR74" s="1226"/>
      <c r="CS74" s="1226"/>
      <c r="CT74" s="1226"/>
      <c r="CU74" s="1226"/>
      <c r="CV74" s="1226"/>
      <c r="CW74" s="1226"/>
      <c r="CX74" s="1226"/>
      <c r="CY74" s="1226"/>
      <c r="CZ74" s="1226"/>
      <c r="DA74" s="1226"/>
      <c r="DB74" s="1226"/>
      <c r="DC74" s="1226"/>
      <c r="DD74" s="1226"/>
      <c r="DE74" s="1226"/>
      <c r="DF74" s="1226"/>
      <c r="DG74" s="1226"/>
      <c r="DH74" s="1226"/>
      <c r="DI74" s="1226"/>
      <c r="DJ74" s="1226"/>
      <c r="DK74" s="1226"/>
      <c r="DL74" s="1226"/>
      <c r="DM74" s="1226"/>
      <c r="DN74" s="1226"/>
      <c r="DO74" s="1226"/>
      <c r="DP74" s="1226"/>
      <c r="DQ74" s="1226"/>
      <c r="DR74" s="1226"/>
      <c r="DS74" s="1226"/>
      <c r="DT74" s="1226"/>
      <c r="DU74" s="1226"/>
      <c r="DV74" s="1226"/>
      <c r="DW74" s="1226"/>
      <c r="DX74" s="1226"/>
      <c r="DY74" s="1226"/>
      <c r="DZ74" s="1226"/>
      <c r="EA74" s="1226"/>
      <c r="EB74" s="1226"/>
      <c r="EC74" s="1226"/>
      <c r="ED74" s="1226"/>
      <c r="EE74" s="1226"/>
      <c r="EF74" s="1226"/>
      <c r="EG74" s="1226"/>
      <c r="EH74" s="1226"/>
      <c r="EI74" s="1226"/>
      <c r="EJ74" s="1226"/>
      <c r="EK74" s="1226"/>
      <c r="EL74" s="1226"/>
      <c r="EM74" s="1226"/>
      <c r="EN74" s="1226"/>
      <c r="EO74" s="1226"/>
      <c r="EP74" s="1226"/>
      <c r="EQ74" s="1226"/>
      <c r="ER74" s="1226"/>
      <c r="ES74" s="1226"/>
      <c r="ET74" s="1226"/>
      <c r="EU74" s="1226"/>
      <c r="EV74" s="1226"/>
      <c r="EW74" s="1226"/>
      <c r="EX74" s="1226"/>
      <c r="EY74" s="1226"/>
      <c r="EZ74" s="1226"/>
      <c r="FA74" s="1226"/>
      <c r="FB74" s="1226"/>
      <c r="FC74" s="1226"/>
      <c r="FD74" s="1226"/>
      <c r="FE74" s="1226"/>
      <c r="FF74" s="1226"/>
      <c r="FG74" s="1226"/>
      <c r="FH74" s="1226"/>
      <c r="FI74" s="1226"/>
      <c r="FJ74" s="1226"/>
      <c r="FK74" s="1226"/>
      <c r="FL74" s="1226"/>
      <c r="FM74" s="1226"/>
      <c r="FN74" s="1226"/>
      <c r="FO74" s="1226"/>
      <c r="FP74" s="1226"/>
      <c r="FQ74" s="1226"/>
      <c r="FR74" s="1226"/>
      <c r="FS74" s="1226"/>
      <c r="FT74" s="1226"/>
      <c r="FU74" s="1226"/>
      <c r="FV74" s="1226"/>
      <c r="FW74" s="1226"/>
      <c r="FX74" s="1226"/>
      <c r="FY74" s="1226"/>
      <c r="FZ74" s="1226"/>
      <c r="GA74" s="1226"/>
      <c r="GB74" s="1226"/>
      <c r="GC74" s="1226"/>
      <c r="GD74" s="1226"/>
      <c r="GE74" s="1226"/>
      <c r="GF74" s="1226"/>
      <c r="GG74" s="1226"/>
      <c r="GH74" s="1226"/>
      <c r="GI74" s="1226"/>
      <c r="GJ74" s="1226"/>
      <c r="GK74" s="1226"/>
      <c r="GL74" s="1226"/>
      <c r="GM74" s="1226"/>
      <c r="GN74" s="1226"/>
      <c r="GO74" s="1226"/>
      <c r="GP74" s="1226"/>
      <c r="GQ74" s="1226"/>
      <c r="GR74" s="1226"/>
      <c r="GS74" s="1226"/>
      <c r="GT74" s="1226"/>
      <c r="GU74" s="1226"/>
      <c r="GV74" s="1226"/>
      <c r="GW74" s="1226"/>
      <c r="GX74" s="1226"/>
      <c r="GY74" s="1226"/>
      <c r="GZ74" s="1226"/>
      <c r="HA74" s="1226"/>
      <c r="HB74" s="1226"/>
      <c r="HC74" s="1226"/>
      <c r="HD74" s="1226"/>
      <c r="HE74" s="1226"/>
      <c r="HF74" s="1226"/>
      <c r="HG74" s="1226"/>
      <c r="HH74" s="1226"/>
      <c r="HI74" s="1226"/>
      <c r="HJ74" s="1226"/>
      <c r="HK74" s="1226"/>
      <c r="HL74" s="1226"/>
      <c r="HM74" s="1226"/>
      <c r="HN74" s="1226"/>
      <c r="HO74" s="1226"/>
      <c r="HP74" s="1226"/>
      <c r="HQ74" s="1226"/>
      <c r="HR74" s="1226"/>
      <c r="HS74" s="1226"/>
      <c r="HT74" s="1226"/>
      <c r="HU74" s="1226"/>
      <c r="HV74" s="1226"/>
      <c r="HW74" s="1226"/>
      <c r="HX74" s="1226"/>
      <c r="HY74" s="1226"/>
      <c r="HZ74" s="1226"/>
      <c r="IA74" s="1226"/>
      <c r="IB74" s="1226"/>
      <c r="IC74" s="1226"/>
      <c r="ID74" s="1226"/>
      <c r="IE74" s="1226"/>
      <c r="IF74" s="1226"/>
      <c r="IG74" s="1226"/>
      <c r="IH74" s="1226"/>
      <c r="II74" s="1226"/>
      <c r="IJ74" s="1226"/>
      <c r="IK74" s="1226"/>
      <c r="IL74" s="1226"/>
      <c r="IM74" s="1226"/>
      <c r="IN74" s="1226"/>
      <c r="IO74" s="1226"/>
      <c r="IP74" s="1226"/>
      <c r="IQ74" s="1226"/>
    </row>
    <row r="75" spans="1:251" ht="21.75" customHeight="1" x14ac:dyDescent="0.3">
      <c r="A75" s="1175">
        <v>66</v>
      </c>
      <c r="B75" s="1186"/>
      <c r="C75" s="1197">
        <v>31</v>
      </c>
      <c r="D75" s="1223" t="s">
        <v>783</v>
      </c>
      <c r="E75" s="1189">
        <f>F75+G75+L79+M76</f>
        <v>5000</v>
      </c>
      <c r="F75" s="1190"/>
      <c r="G75" s="1191">
        <v>3359</v>
      </c>
      <c r="H75" s="1192" t="s">
        <v>296</v>
      </c>
      <c r="I75" s="1225"/>
      <c r="J75" s="1189"/>
      <c r="K75" s="1189"/>
      <c r="L75" s="1195"/>
      <c r="M75" s="1227"/>
    </row>
    <row r="76" spans="1:251" ht="18" customHeight="1" x14ac:dyDescent="0.35">
      <c r="A76" s="1175">
        <v>67</v>
      </c>
      <c r="B76" s="1186"/>
      <c r="C76" s="1197"/>
      <c r="D76" s="1198" t="s">
        <v>230</v>
      </c>
      <c r="E76" s="1199"/>
      <c r="F76" s="1200"/>
      <c r="G76" s="1201"/>
      <c r="H76" s="1202"/>
      <c r="I76" s="1203"/>
      <c r="J76" s="1204">
        <v>1641</v>
      </c>
      <c r="K76" s="1204"/>
      <c r="L76" s="1205">
        <f>SUM(I76:K76)</f>
        <v>1641</v>
      </c>
      <c r="M76" s="1227"/>
    </row>
    <row r="77" spans="1:251" ht="18" customHeight="1" x14ac:dyDescent="0.35">
      <c r="A77" s="1175">
        <v>68</v>
      </c>
      <c r="B77" s="1186"/>
      <c r="C77" s="1197"/>
      <c r="D77" s="1206" t="s">
        <v>231</v>
      </c>
      <c r="E77" s="1199"/>
      <c r="F77" s="1200"/>
      <c r="G77" s="1201"/>
      <c r="H77" s="1202"/>
      <c r="I77" s="1207"/>
      <c r="J77" s="1208">
        <v>1641</v>
      </c>
      <c r="K77" s="1208"/>
      <c r="L77" s="1209">
        <f>SUM(I77:K77)</f>
        <v>1641</v>
      </c>
      <c r="M77" s="1227"/>
    </row>
    <row r="78" spans="1:251" ht="18" customHeight="1" x14ac:dyDescent="0.35">
      <c r="A78" s="1175">
        <v>69</v>
      </c>
      <c r="B78" s="1186"/>
      <c r="C78" s="1197"/>
      <c r="D78" s="1210" t="s">
        <v>245</v>
      </c>
      <c r="E78" s="1211"/>
      <c r="F78" s="1212"/>
      <c r="G78" s="1213"/>
      <c r="H78" s="1214"/>
      <c r="I78" s="1215"/>
      <c r="J78" s="1216"/>
      <c r="K78" s="1216"/>
      <c r="L78" s="1217">
        <f>SUM(F78:K78)</f>
        <v>0</v>
      </c>
      <c r="M78" s="1227"/>
    </row>
    <row r="79" spans="1:251" ht="18" customHeight="1" x14ac:dyDescent="0.35">
      <c r="A79" s="1175">
        <v>70</v>
      </c>
      <c r="B79" s="1186"/>
      <c r="C79" s="1197"/>
      <c r="D79" s="1206" t="s">
        <v>233</v>
      </c>
      <c r="E79" s="1218"/>
      <c r="F79" s="1219"/>
      <c r="G79" s="1220"/>
      <c r="H79" s="1221"/>
      <c r="I79" s="1207"/>
      <c r="J79" s="1208">
        <f>SUM(J77:J78)</f>
        <v>1641</v>
      </c>
      <c r="K79" s="1208"/>
      <c r="L79" s="1222">
        <f>SUM(F79:K79)</f>
        <v>1641</v>
      </c>
      <c r="M79" s="1227"/>
    </row>
    <row r="80" spans="1:251" ht="21.75" customHeight="1" x14ac:dyDescent="0.35">
      <c r="A80" s="1175">
        <v>71</v>
      </c>
      <c r="B80" s="1186"/>
      <c r="C80" s="1197">
        <v>37</v>
      </c>
      <c r="D80" s="1228" t="s">
        <v>715</v>
      </c>
      <c r="E80" s="1189">
        <f>F80+G80+L84+M81</f>
        <v>10506</v>
      </c>
      <c r="F80" s="1190"/>
      <c r="G80" s="1191">
        <v>850</v>
      </c>
      <c r="H80" s="1192" t="s">
        <v>296</v>
      </c>
      <c r="I80" s="1189"/>
      <c r="J80" s="1189"/>
      <c r="K80" s="1189"/>
      <c r="L80" s="1229"/>
      <c r="M80" s="1227"/>
    </row>
    <row r="81" spans="1:13" ht="18" customHeight="1" x14ac:dyDescent="0.35">
      <c r="A81" s="1175">
        <v>72</v>
      </c>
      <c r="B81" s="1186"/>
      <c r="C81" s="1197"/>
      <c r="D81" s="1230" t="s">
        <v>230</v>
      </c>
      <c r="E81" s="1189"/>
      <c r="F81" s="1190"/>
      <c r="G81" s="1191"/>
      <c r="H81" s="1192"/>
      <c r="I81" s="1189"/>
      <c r="J81" s="1218">
        <f>J91+J96+J101+J106+J111+J116+J121+J126+J131+J86</f>
        <v>5188</v>
      </c>
      <c r="K81" s="1218">
        <f>K91+K96+K101+K106+K111+K116+K121+K126+K131+K86</f>
        <v>150</v>
      </c>
      <c r="L81" s="1231">
        <f>SUM(I81:K81)</f>
        <v>5338</v>
      </c>
      <c r="M81" s="1227"/>
    </row>
    <row r="82" spans="1:13" ht="18" customHeight="1" x14ac:dyDescent="0.35">
      <c r="A82" s="1175">
        <v>73</v>
      </c>
      <c r="B82" s="1186"/>
      <c r="C82" s="1197"/>
      <c r="D82" s="1206" t="s">
        <v>231</v>
      </c>
      <c r="E82" s="1189"/>
      <c r="F82" s="1190"/>
      <c r="G82" s="1191"/>
      <c r="H82" s="1192"/>
      <c r="I82" s="1189"/>
      <c r="J82" s="1218">
        <f>J92+J97+J102+J107+J112+J117+J122+J127+J132+J87+J136+J140+J144+J148+J152+J156+J160+J164+J168+J172+J176+J180+J184+J188+J192+J196+J200+J204</f>
        <v>8856</v>
      </c>
      <c r="K82" s="1218">
        <f>K92+K97+K102+K107+K112+K117+K122+K127+K132+K87+K136+K140+K144+K148+K152+K156+K160+K164+K168+K172+K176+K180+K184+K188+K192+K196+K200+K204</f>
        <v>800</v>
      </c>
      <c r="L82" s="1231">
        <f>SUM(I82:K82)</f>
        <v>9656</v>
      </c>
      <c r="M82" s="1227"/>
    </row>
    <row r="83" spans="1:13" ht="18" customHeight="1" x14ac:dyDescent="0.35">
      <c r="A83" s="1175">
        <v>74</v>
      </c>
      <c r="B83" s="1186"/>
      <c r="C83" s="1197"/>
      <c r="D83" s="1210" t="s">
        <v>245</v>
      </c>
      <c r="E83" s="1189"/>
      <c r="F83" s="1190"/>
      <c r="G83" s="1191"/>
      <c r="H83" s="1192"/>
      <c r="I83" s="1211"/>
      <c r="J83" s="1211">
        <f>J88+J93+J98+J103+J108+J113+J118+J123+J128+J133+J149+J153+J157+J193+J197+J189+J161+J165+J169+J173+J177+J181+J185+J137+J141+J145+J201+J205</f>
        <v>0</v>
      </c>
      <c r="K83" s="1211">
        <f>K88+K93+K98+K103+K108+K113+K118+K123+K128+K133+K149+K153+K157+K193+K197+K189+K161+K165+K169+K173+K177+K181+K185+K137+K141+K145+K201+K205</f>
        <v>0</v>
      </c>
      <c r="L83" s="1217">
        <f>SUM(F83:K83)</f>
        <v>0</v>
      </c>
      <c r="M83" s="1227"/>
    </row>
    <row r="84" spans="1:13" ht="18" customHeight="1" x14ac:dyDescent="0.35">
      <c r="A84" s="1175">
        <v>75</v>
      </c>
      <c r="B84" s="1186"/>
      <c r="C84" s="1197"/>
      <c r="D84" s="1206" t="s">
        <v>233</v>
      </c>
      <c r="E84" s="1189"/>
      <c r="F84" s="1190"/>
      <c r="G84" s="1191"/>
      <c r="H84" s="1192"/>
      <c r="I84" s="1218"/>
      <c r="J84" s="1218">
        <f>SUM(J82:J83)</f>
        <v>8856</v>
      </c>
      <c r="K84" s="1218">
        <f>SUM(K82:K83)</f>
        <v>800</v>
      </c>
      <c r="L84" s="1222">
        <f>SUM(F84:K84)</f>
        <v>9656</v>
      </c>
      <c r="M84" s="1227"/>
    </row>
    <row r="85" spans="1:13" ht="33.75" customHeight="1" x14ac:dyDescent="0.3">
      <c r="A85" s="1175">
        <v>76</v>
      </c>
      <c r="B85" s="1186"/>
      <c r="C85" s="1197"/>
      <c r="D85" s="919" t="s">
        <v>784</v>
      </c>
      <c r="E85" s="1232">
        <f>F85+G85+L89</f>
        <v>150</v>
      </c>
      <c r="F85" s="1233"/>
      <c r="G85" s="1234"/>
      <c r="H85" s="1235"/>
      <c r="I85" s="1236"/>
      <c r="J85" s="1237"/>
      <c r="K85" s="1237"/>
      <c r="L85" s="1238"/>
      <c r="M85" s="1239"/>
    </row>
    <row r="86" spans="1:13" ht="18" customHeight="1" x14ac:dyDescent="0.3">
      <c r="A86" s="1175">
        <v>77</v>
      </c>
      <c r="B86" s="1186"/>
      <c r="C86" s="1197"/>
      <c r="D86" s="938" t="s">
        <v>230</v>
      </c>
      <c r="E86" s="1240"/>
      <c r="F86" s="1241"/>
      <c r="G86" s="1242"/>
      <c r="H86" s="1243"/>
      <c r="I86" s="1240"/>
      <c r="J86" s="1240"/>
      <c r="K86" s="1244">
        <v>150</v>
      </c>
      <c r="L86" s="1245">
        <f>SUM(I86:K86)</f>
        <v>150</v>
      </c>
      <c r="M86" s="1239"/>
    </row>
    <row r="87" spans="1:13" ht="18" customHeight="1" x14ac:dyDescent="0.3">
      <c r="A87" s="1175">
        <v>78</v>
      </c>
      <c r="B87" s="1186"/>
      <c r="C87" s="1197"/>
      <c r="D87" s="1246" t="s">
        <v>231</v>
      </c>
      <c r="E87" s="1240"/>
      <c r="F87" s="1241"/>
      <c r="G87" s="1242"/>
      <c r="H87" s="1243"/>
      <c r="I87" s="1240"/>
      <c r="J87" s="1240"/>
      <c r="K87" s="1247">
        <v>150</v>
      </c>
      <c r="L87" s="1245">
        <f>SUM(I87:K87)</f>
        <v>150</v>
      </c>
      <c r="M87" s="1239"/>
    </row>
    <row r="88" spans="1:13" ht="18" customHeight="1" x14ac:dyDescent="0.3">
      <c r="A88" s="1175">
        <v>79</v>
      </c>
      <c r="B88" s="1186"/>
      <c r="C88" s="1197"/>
      <c r="D88" s="925" t="s">
        <v>245</v>
      </c>
      <c r="E88" s="1236"/>
      <c r="F88" s="1233"/>
      <c r="G88" s="1234"/>
      <c r="H88" s="1235"/>
      <c r="I88" s="1236"/>
      <c r="J88" s="1237"/>
      <c r="K88" s="1232"/>
      <c r="L88" s="1248">
        <f>SUM(F88:K88)</f>
        <v>0</v>
      </c>
      <c r="M88" s="1239"/>
    </row>
    <row r="89" spans="1:13" ht="18" customHeight="1" x14ac:dyDescent="0.3">
      <c r="A89" s="1175">
        <v>80</v>
      </c>
      <c r="B89" s="1186"/>
      <c r="C89" s="1197"/>
      <c r="D89" s="1246" t="s">
        <v>233</v>
      </c>
      <c r="E89" s="1249"/>
      <c r="F89" s="1250"/>
      <c r="G89" s="1251"/>
      <c r="H89" s="1252"/>
      <c r="I89" s="1249"/>
      <c r="J89" s="1249"/>
      <c r="K89" s="1247">
        <f>SUM(K87:K88)</f>
        <v>150</v>
      </c>
      <c r="L89" s="1253">
        <f>SUM(F89:K89)</f>
        <v>150</v>
      </c>
      <c r="M89" s="1239"/>
    </row>
    <row r="90" spans="1:13" ht="21.75" customHeight="1" x14ac:dyDescent="0.3">
      <c r="A90" s="1175">
        <v>81</v>
      </c>
      <c r="B90" s="1186"/>
      <c r="C90" s="1197"/>
      <c r="D90" s="919" t="s">
        <v>785</v>
      </c>
      <c r="E90" s="1232">
        <f>F90+G90+L94</f>
        <v>740</v>
      </c>
      <c r="F90" s="1233"/>
      <c r="G90" s="1234"/>
      <c r="H90" s="1235"/>
      <c r="I90" s="1236"/>
      <c r="J90" s="1236"/>
      <c r="K90" s="1236"/>
      <c r="L90" s="1254"/>
      <c r="M90" s="1239"/>
    </row>
    <row r="91" spans="1:13" ht="18" customHeight="1" x14ac:dyDescent="0.3">
      <c r="A91" s="1175">
        <v>82</v>
      </c>
      <c r="B91" s="1186"/>
      <c r="C91" s="1197"/>
      <c r="D91" s="938" t="s">
        <v>230</v>
      </c>
      <c r="E91" s="1240"/>
      <c r="F91" s="1241"/>
      <c r="G91" s="1242"/>
      <c r="H91" s="1243"/>
      <c r="I91" s="1240"/>
      <c r="J91" s="1240">
        <v>740</v>
      </c>
      <c r="K91" s="1244"/>
      <c r="L91" s="1245">
        <f>SUM(I91:K91)</f>
        <v>740</v>
      </c>
      <c r="M91" s="1239"/>
    </row>
    <row r="92" spans="1:13" ht="18" customHeight="1" x14ac:dyDescent="0.3">
      <c r="A92" s="1175">
        <v>83</v>
      </c>
      <c r="B92" s="1186"/>
      <c r="C92" s="1197"/>
      <c r="D92" s="1246" t="s">
        <v>231</v>
      </c>
      <c r="E92" s="1240"/>
      <c r="F92" s="1241"/>
      <c r="G92" s="1242"/>
      <c r="H92" s="1243"/>
      <c r="I92" s="1249"/>
      <c r="J92" s="1249">
        <v>740</v>
      </c>
      <c r="K92" s="1247"/>
      <c r="L92" s="1255">
        <f>SUM(I92:K92)</f>
        <v>740</v>
      </c>
      <c r="M92" s="1239"/>
    </row>
    <row r="93" spans="1:13" ht="18" customHeight="1" x14ac:dyDescent="0.3">
      <c r="A93" s="1175">
        <v>84</v>
      </c>
      <c r="B93" s="1186"/>
      <c r="C93" s="1197"/>
      <c r="D93" s="925" t="s">
        <v>245</v>
      </c>
      <c r="E93" s="1236"/>
      <c r="F93" s="1233"/>
      <c r="G93" s="1234"/>
      <c r="H93" s="1235"/>
      <c r="I93" s="1236"/>
      <c r="J93" s="1237"/>
      <c r="K93" s="1232"/>
      <c r="L93" s="1248">
        <f>SUM(F93:K93)</f>
        <v>0</v>
      </c>
      <c r="M93" s="1239"/>
    </row>
    <row r="94" spans="1:13" ht="18" customHeight="1" x14ac:dyDescent="0.3">
      <c r="A94" s="1175">
        <v>85</v>
      </c>
      <c r="B94" s="1186"/>
      <c r="C94" s="1197"/>
      <c r="D94" s="1246" t="s">
        <v>233</v>
      </c>
      <c r="E94" s="1249"/>
      <c r="F94" s="1250"/>
      <c r="G94" s="1251"/>
      <c r="H94" s="1252"/>
      <c r="I94" s="1249"/>
      <c r="J94" s="1249">
        <f>SUM(J92:J93)</f>
        <v>740</v>
      </c>
      <c r="K94" s="1247"/>
      <c r="L94" s="1253">
        <f>SUM(F94:K94)</f>
        <v>740</v>
      </c>
      <c r="M94" s="1239"/>
    </row>
    <row r="95" spans="1:13" ht="32.25" customHeight="1" x14ac:dyDescent="0.3">
      <c r="A95" s="1175">
        <v>86</v>
      </c>
      <c r="B95" s="1186"/>
      <c r="C95" s="1197"/>
      <c r="D95" s="919" t="s">
        <v>786</v>
      </c>
      <c r="E95" s="1232">
        <f>F95+G95+L99</f>
        <v>272</v>
      </c>
      <c r="F95" s="1233"/>
      <c r="G95" s="1234"/>
      <c r="H95" s="1235"/>
      <c r="I95" s="1236"/>
      <c r="J95" s="1232"/>
      <c r="K95" s="1232"/>
      <c r="L95" s="1256"/>
      <c r="M95" s="1239"/>
    </row>
    <row r="96" spans="1:13" ht="18" customHeight="1" x14ac:dyDescent="0.3">
      <c r="A96" s="1175">
        <v>87</v>
      </c>
      <c r="B96" s="1186"/>
      <c r="C96" s="1197"/>
      <c r="D96" s="938" t="s">
        <v>230</v>
      </c>
      <c r="E96" s="1240"/>
      <c r="F96" s="1241"/>
      <c r="G96" s="1242"/>
      <c r="H96" s="1243"/>
      <c r="I96" s="1240"/>
      <c r="J96" s="1240">
        <v>272</v>
      </c>
      <c r="K96" s="1244"/>
      <c r="L96" s="1245">
        <f>SUM(I96:K96)</f>
        <v>272</v>
      </c>
      <c r="M96" s="1239"/>
    </row>
    <row r="97" spans="1:13" ht="18" customHeight="1" x14ac:dyDescent="0.3">
      <c r="A97" s="1175">
        <v>88</v>
      </c>
      <c r="B97" s="1186"/>
      <c r="C97" s="1197"/>
      <c r="D97" s="1246" t="s">
        <v>231</v>
      </c>
      <c r="E97" s="1240"/>
      <c r="F97" s="1241"/>
      <c r="G97" s="1242"/>
      <c r="H97" s="1243"/>
      <c r="I97" s="1249"/>
      <c r="J97" s="1249">
        <v>272</v>
      </c>
      <c r="K97" s="1247"/>
      <c r="L97" s="1255">
        <f>SUM(I97:K97)</f>
        <v>272</v>
      </c>
      <c r="M97" s="1239"/>
    </row>
    <row r="98" spans="1:13" ht="18" customHeight="1" x14ac:dyDescent="0.3">
      <c r="A98" s="1175">
        <v>89</v>
      </c>
      <c r="B98" s="1186"/>
      <c r="C98" s="1197"/>
      <c r="D98" s="925" t="s">
        <v>245</v>
      </c>
      <c r="E98" s="1236"/>
      <c r="F98" s="1233"/>
      <c r="G98" s="1234"/>
      <c r="H98" s="1235"/>
      <c r="I98" s="1236"/>
      <c r="J98" s="1237"/>
      <c r="K98" s="1232"/>
      <c r="L98" s="1248">
        <f>SUM(F98:K98)</f>
        <v>0</v>
      </c>
      <c r="M98" s="1239"/>
    </row>
    <row r="99" spans="1:13" ht="18" customHeight="1" x14ac:dyDescent="0.3">
      <c r="A99" s="1175">
        <v>90</v>
      </c>
      <c r="B99" s="1186"/>
      <c r="C99" s="1197"/>
      <c r="D99" s="1246" t="s">
        <v>233</v>
      </c>
      <c r="E99" s="1249"/>
      <c r="F99" s="1250"/>
      <c r="G99" s="1251"/>
      <c r="H99" s="1252"/>
      <c r="I99" s="1249"/>
      <c r="J99" s="1249">
        <f>SUM(J97:J98)</f>
        <v>272</v>
      </c>
      <c r="K99" s="1247"/>
      <c r="L99" s="1253">
        <f>SUM(F99:K99)</f>
        <v>272</v>
      </c>
      <c r="M99" s="1239"/>
    </row>
    <row r="100" spans="1:13" ht="19.5" customHeight="1" x14ac:dyDescent="0.3">
      <c r="A100" s="1175">
        <v>91</v>
      </c>
      <c r="B100" s="1186"/>
      <c r="C100" s="1197"/>
      <c r="D100" s="919" t="s">
        <v>787</v>
      </c>
      <c r="E100" s="1232">
        <f>F100+G100+L104</f>
        <v>660</v>
      </c>
      <c r="F100" s="1233"/>
      <c r="G100" s="1234"/>
      <c r="H100" s="1235"/>
      <c r="I100" s="1236"/>
      <c r="J100" s="1232"/>
      <c r="K100" s="1232"/>
      <c r="L100" s="1256"/>
      <c r="M100" s="1239"/>
    </row>
    <row r="101" spans="1:13" ht="18" customHeight="1" x14ac:dyDescent="0.3">
      <c r="A101" s="1175">
        <v>92</v>
      </c>
      <c r="B101" s="1186"/>
      <c r="C101" s="1197"/>
      <c r="D101" s="938" t="s">
        <v>230</v>
      </c>
      <c r="E101" s="1240"/>
      <c r="F101" s="1241"/>
      <c r="G101" s="1242"/>
      <c r="H101" s="1243"/>
      <c r="I101" s="1240"/>
      <c r="J101" s="1240">
        <v>550</v>
      </c>
      <c r="K101" s="1244"/>
      <c r="L101" s="1245">
        <f>SUM(I101:K101)</f>
        <v>550</v>
      </c>
      <c r="M101" s="1239"/>
    </row>
    <row r="102" spans="1:13" ht="18" customHeight="1" x14ac:dyDescent="0.3">
      <c r="A102" s="1175">
        <v>93</v>
      </c>
      <c r="B102" s="1186"/>
      <c r="C102" s="1197"/>
      <c r="D102" s="1246" t="s">
        <v>231</v>
      </c>
      <c r="E102" s="1240"/>
      <c r="F102" s="1241"/>
      <c r="G102" s="1242"/>
      <c r="H102" s="1243"/>
      <c r="I102" s="1240"/>
      <c r="J102" s="1247">
        <v>660</v>
      </c>
      <c r="K102" s="1244"/>
      <c r="L102" s="1245">
        <f>SUM(I102:K102)</f>
        <v>660</v>
      </c>
      <c r="M102" s="1239"/>
    </row>
    <row r="103" spans="1:13" ht="18" customHeight="1" x14ac:dyDescent="0.3">
      <c r="A103" s="1175">
        <v>94</v>
      </c>
      <c r="B103" s="1186"/>
      <c r="C103" s="1197"/>
      <c r="D103" s="925" t="s">
        <v>245</v>
      </c>
      <c r="E103" s="1236"/>
      <c r="F103" s="1233"/>
      <c r="G103" s="1234"/>
      <c r="H103" s="1235"/>
      <c r="I103" s="1236"/>
      <c r="J103" s="1232"/>
      <c r="K103" s="1232"/>
      <c r="L103" s="1248">
        <f>SUM(F103:K103)</f>
        <v>0</v>
      </c>
      <c r="M103" s="1239"/>
    </row>
    <row r="104" spans="1:13" ht="18" customHeight="1" x14ac:dyDescent="0.3">
      <c r="A104" s="1175">
        <v>95</v>
      </c>
      <c r="B104" s="1186"/>
      <c r="C104" s="1197"/>
      <c r="D104" s="1246" t="s">
        <v>233</v>
      </c>
      <c r="E104" s="1249"/>
      <c r="F104" s="1250"/>
      <c r="G104" s="1251"/>
      <c r="H104" s="1252"/>
      <c r="I104" s="1249"/>
      <c r="J104" s="1249">
        <f>SUM(J102:J103)</f>
        <v>660</v>
      </c>
      <c r="K104" s="1247"/>
      <c r="L104" s="1253">
        <f>SUM(F104:K104)</f>
        <v>660</v>
      </c>
      <c r="M104" s="1239"/>
    </row>
    <row r="105" spans="1:13" ht="19.5" customHeight="1" x14ac:dyDescent="0.3">
      <c r="A105" s="1175">
        <v>96</v>
      </c>
      <c r="B105" s="1186"/>
      <c r="C105" s="1197"/>
      <c r="D105" s="919" t="s">
        <v>788</v>
      </c>
      <c r="E105" s="1232">
        <f>F105+G105+L109</f>
        <v>0</v>
      </c>
      <c r="F105" s="1233"/>
      <c r="G105" s="1234"/>
      <c r="H105" s="1235"/>
      <c r="I105" s="1236"/>
      <c r="J105" s="1232"/>
      <c r="K105" s="1232"/>
      <c r="L105" s="1256"/>
      <c r="M105" s="1239"/>
    </row>
    <row r="106" spans="1:13" ht="18" customHeight="1" x14ac:dyDescent="0.3">
      <c r="A106" s="1175">
        <v>97</v>
      </c>
      <c r="B106" s="1186"/>
      <c r="C106" s="1197"/>
      <c r="D106" s="938" t="s">
        <v>230</v>
      </c>
      <c r="E106" s="1240"/>
      <c r="F106" s="1241"/>
      <c r="G106" s="1242"/>
      <c r="H106" s="1243"/>
      <c r="I106" s="1240"/>
      <c r="J106" s="1244">
        <v>600</v>
      </c>
      <c r="K106" s="1244"/>
      <c r="L106" s="1245">
        <f>SUM(I106:K106)</f>
        <v>600</v>
      </c>
      <c r="M106" s="1239"/>
    </row>
    <row r="107" spans="1:13" ht="18" customHeight="1" x14ac:dyDescent="0.3">
      <c r="A107" s="1175">
        <v>98</v>
      </c>
      <c r="B107" s="1186"/>
      <c r="C107" s="1197"/>
      <c r="D107" s="1246" t="s">
        <v>231</v>
      </c>
      <c r="E107" s="1240"/>
      <c r="F107" s="1241"/>
      <c r="G107" s="1242"/>
      <c r="H107" s="1243"/>
      <c r="I107" s="1249"/>
      <c r="J107" s="1247">
        <v>0</v>
      </c>
      <c r="K107" s="1247"/>
      <c r="L107" s="1255">
        <f>SUM(I107:K107)</f>
        <v>0</v>
      </c>
      <c r="M107" s="1239"/>
    </row>
    <row r="108" spans="1:13" ht="18" customHeight="1" x14ac:dyDescent="0.3">
      <c r="A108" s="1175">
        <v>99</v>
      </c>
      <c r="B108" s="1186"/>
      <c r="C108" s="1197"/>
      <c r="D108" s="925" t="s">
        <v>245</v>
      </c>
      <c r="E108" s="1236"/>
      <c r="F108" s="1233"/>
      <c r="G108" s="1234"/>
      <c r="H108" s="1235"/>
      <c r="I108" s="1236"/>
      <c r="J108" s="1232"/>
      <c r="K108" s="1232"/>
      <c r="L108" s="1248">
        <f>SUM(F108:K108)</f>
        <v>0</v>
      </c>
      <c r="M108" s="1239"/>
    </row>
    <row r="109" spans="1:13" ht="18" customHeight="1" x14ac:dyDescent="0.3">
      <c r="A109" s="1175">
        <v>100</v>
      </c>
      <c r="B109" s="1186"/>
      <c r="C109" s="1197"/>
      <c r="D109" s="1246" t="s">
        <v>233</v>
      </c>
      <c r="E109" s="1249"/>
      <c r="F109" s="1250"/>
      <c r="G109" s="1251"/>
      <c r="H109" s="1252"/>
      <c r="I109" s="1249"/>
      <c r="J109" s="1247">
        <f>SUM(J107:J108)</f>
        <v>0</v>
      </c>
      <c r="K109" s="1247"/>
      <c r="L109" s="1257">
        <f>SUM(F109:K109)</f>
        <v>0</v>
      </c>
      <c r="M109" s="1239"/>
    </row>
    <row r="110" spans="1:13" ht="18" customHeight="1" x14ac:dyDescent="0.3">
      <c r="A110" s="1175">
        <v>101</v>
      </c>
      <c r="B110" s="1186"/>
      <c r="C110" s="1197"/>
      <c r="D110" s="919" t="s">
        <v>789</v>
      </c>
      <c r="E110" s="1232">
        <f>F110+G110+L114</f>
        <v>180</v>
      </c>
      <c r="F110" s="1233"/>
      <c r="G110" s="1234"/>
      <c r="H110" s="1235"/>
      <c r="I110" s="1236"/>
      <c r="J110" s="1232"/>
      <c r="K110" s="1232"/>
      <c r="L110" s="1256"/>
      <c r="M110" s="1239"/>
    </row>
    <row r="111" spans="1:13" ht="18" customHeight="1" x14ac:dyDescent="0.3">
      <c r="A111" s="1175">
        <v>102</v>
      </c>
      <c r="B111" s="1186"/>
      <c r="C111" s="1197"/>
      <c r="D111" s="938" t="s">
        <v>230</v>
      </c>
      <c r="E111" s="1240"/>
      <c r="F111" s="1241"/>
      <c r="G111" s="1242"/>
      <c r="H111" s="1243"/>
      <c r="I111" s="1240"/>
      <c r="J111" s="1240">
        <v>180</v>
      </c>
      <c r="K111" s="1244"/>
      <c r="L111" s="1245">
        <f>SUM(I111:K111)</f>
        <v>180</v>
      </c>
      <c r="M111" s="1239"/>
    </row>
    <row r="112" spans="1:13" ht="18" customHeight="1" x14ac:dyDescent="0.3">
      <c r="A112" s="1175">
        <v>103</v>
      </c>
      <c r="B112" s="1186"/>
      <c r="C112" s="1197"/>
      <c r="D112" s="1246" t="s">
        <v>231</v>
      </c>
      <c r="E112" s="1240"/>
      <c r="F112" s="1241"/>
      <c r="G112" s="1242"/>
      <c r="H112" s="1243"/>
      <c r="I112" s="1249"/>
      <c r="J112" s="1249">
        <v>180</v>
      </c>
      <c r="K112" s="1247"/>
      <c r="L112" s="1255">
        <f>SUM(I112:K112)</f>
        <v>180</v>
      </c>
      <c r="M112" s="1239"/>
    </row>
    <row r="113" spans="1:13" ht="18" customHeight="1" x14ac:dyDescent="0.3">
      <c r="A113" s="1175">
        <v>104</v>
      </c>
      <c r="B113" s="1186"/>
      <c r="C113" s="1197"/>
      <c r="D113" s="925" t="s">
        <v>245</v>
      </c>
      <c r="E113" s="1236"/>
      <c r="F113" s="1233"/>
      <c r="G113" s="1234"/>
      <c r="H113" s="1235"/>
      <c r="I113" s="1236"/>
      <c r="J113" s="1237"/>
      <c r="K113" s="1232"/>
      <c r="L113" s="1248">
        <f>SUM(F113:K113)</f>
        <v>0</v>
      </c>
      <c r="M113" s="1239"/>
    </row>
    <row r="114" spans="1:13" ht="18" customHeight="1" x14ac:dyDescent="0.3">
      <c r="A114" s="1175">
        <v>105</v>
      </c>
      <c r="B114" s="1186"/>
      <c r="C114" s="1197"/>
      <c r="D114" s="1246" t="s">
        <v>233</v>
      </c>
      <c r="E114" s="1249"/>
      <c r="F114" s="1250"/>
      <c r="G114" s="1251"/>
      <c r="H114" s="1252"/>
      <c r="I114" s="1249"/>
      <c r="J114" s="1249">
        <f>SUM(J112:J113)</f>
        <v>180</v>
      </c>
      <c r="K114" s="1247"/>
      <c r="L114" s="1253">
        <f>SUM(F114:K114)</f>
        <v>180</v>
      </c>
      <c r="M114" s="1239"/>
    </row>
    <row r="115" spans="1:13" ht="18" customHeight="1" x14ac:dyDescent="0.3">
      <c r="A115" s="1175">
        <v>106</v>
      </c>
      <c r="B115" s="1186"/>
      <c r="C115" s="1197"/>
      <c r="D115" s="919" t="s">
        <v>790</v>
      </c>
      <c r="E115" s="1232">
        <f>F115+G115+L119</f>
        <v>0</v>
      </c>
      <c r="F115" s="1233"/>
      <c r="G115" s="1234"/>
      <c r="H115" s="1235"/>
      <c r="I115" s="1236"/>
      <c r="J115" s="1232"/>
      <c r="K115" s="1232"/>
      <c r="L115" s="1256"/>
      <c r="M115" s="1239"/>
    </row>
    <row r="116" spans="1:13" ht="18" customHeight="1" x14ac:dyDescent="0.3">
      <c r="A116" s="1175">
        <v>107</v>
      </c>
      <c r="B116" s="1186"/>
      <c r="C116" s="1197"/>
      <c r="D116" s="938" t="s">
        <v>230</v>
      </c>
      <c r="E116" s="1240"/>
      <c r="F116" s="1241"/>
      <c r="G116" s="1242"/>
      <c r="H116" s="1243"/>
      <c r="I116" s="1240"/>
      <c r="J116" s="1240">
        <v>320</v>
      </c>
      <c r="K116" s="1244"/>
      <c r="L116" s="1245">
        <f>SUM(I116:K116)</f>
        <v>320</v>
      </c>
      <c r="M116" s="1239"/>
    </row>
    <row r="117" spans="1:13" ht="18" customHeight="1" x14ac:dyDescent="0.3">
      <c r="A117" s="1175">
        <v>108</v>
      </c>
      <c r="B117" s="1186"/>
      <c r="C117" s="1197"/>
      <c r="D117" s="1246" t="s">
        <v>231</v>
      </c>
      <c r="E117" s="1240"/>
      <c r="F117" s="1241"/>
      <c r="G117" s="1242"/>
      <c r="H117" s="1243"/>
      <c r="I117" s="1247"/>
      <c r="J117" s="1247">
        <v>0</v>
      </c>
      <c r="K117" s="1247"/>
      <c r="L117" s="1255">
        <f>SUM(I117:K117)</f>
        <v>0</v>
      </c>
      <c r="M117" s="1239"/>
    </row>
    <row r="118" spans="1:13" ht="18" customHeight="1" x14ac:dyDescent="0.3">
      <c r="A118" s="1175">
        <v>109</v>
      </c>
      <c r="B118" s="1186"/>
      <c r="C118" s="1197"/>
      <c r="D118" s="925" t="s">
        <v>245</v>
      </c>
      <c r="E118" s="1236"/>
      <c r="F118" s="1233"/>
      <c r="G118" s="1234"/>
      <c r="H118" s="1235"/>
      <c r="I118" s="1247"/>
      <c r="J118" s="1247"/>
      <c r="K118" s="1247"/>
      <c r="L118" s="1248">
        <f>SUM(F118:K118)</f>
        <v>0</v>
      </c>
      <c r="M118" s="1239"/>
    </row>
    <row r="119" spans="1:13" ht="18" customHeight="1" x14ac:dyDescent="0.3">
      <c r="A119" s="1175">
        <v>110</v>
      </c>
      <c r="B119" s="1186"/>
      <c r="C119" s="1197"/>
      <c r="D119" s="1246" t="s">
        <v>233</v>
      </c>
      <c r="E119" s="1249"/>
      <c r="F119" s="1250"/>
      <c r="G119" s="1251"/>
      <c r="H119" s="1252"/>
      <c r="I119" s="1247"/>
      <c r="J119" s="1247">
        <f>SUM(J117:J118)</f>
        <v>0</v>
      </c>
      <c r="K119" s="1247"/>
      <c r="L119" s="1257">
        <f>SUM(F119:K119)</f>
        <v>0</v>
      </c>
      <c r="M119" s="1239"/>
    </row>
    <row r="120" spans="1:13" ht="28.5" customHeight="1" x14ac:dyDescent="0.3">
      <c r="A120" s="1175">
        <v>111</v>
      </c>
      <c r="B120" s="1186"/>
      <c r="C120" s="1197"/>
      <c r="D120" s="919" t="s">
        <v>791</v>
      </c>
      <c r="E120" s="1232">
        <f>F120+G120+L124</f>
        <v>0</v>
      </c>
      <c r="F120" s="1233"/>
      <c r="G120" s="1234"/>
      <c r="H120" s="1235"/>
      <c r="I120" s="1236"/>
      <c r="J120" s="1232"/>
      <c r="K120" s="1232"/>
      <c r="L120" s="1256"/>
      <c r="M120" s="1239"/>
    </row>
    <row r="121" spans="1:13" ht="18" customHeight="1" x14ac:dyDescent="0.3">
      <c r="A121" s="1175">
        <v>112</v>
      </c>
      <c r="B121" s="1186"/>
      <c r="C121" s="1197"/>
      <c r="D121" s="938" t="s">
        <v>230</v>
      </c>
      <c r="E121" s="1240"/>
      <c r="F121" s="1241"/>
      <c r="G121" s="1242"/>
      <c r="H121" s="1243"/>
      <c r="I121" s="1240"/>
      <c r="J121" s="1240">
        <v>1345</v>
      </c>
      <c r="K121" s="1244"/>
      <c r="L121" s="1245">
        <f>SUM(I121:K121)</f>
        <v>1345</v>
      </c>
      <c r="M121" s="1239"/>
    </row>
    <row r="122" spans="1:13" ht="18" customHeight="1" x14ac:dyDescent="0.3">
      <c r="A122" s="1175">
        <v>113</v>
      </c>
      <c r="B122" s="1186"/>
      <c r="C122" s="1197"/>
      <c r="D122" s="1246" t="s">
        <v>231</v>
      </c>
      <c r="E122" s="1240"/>
      <c r="F122" s="1241"/>
      <c r="G122" s="1242"/>
      <c r="H122" s="1243"/>
      <c r="I122" s="1240"/>
      <c r="J122" s="1240">
        <v>0</v>
      </c>
      <c r="K122" s="1244"/>
      <c r="L122" s="1245">
        <f>SUM(I122:K122)</f>
        <v>0</v>
      </c>
      <c r="M122" s="1239"/>
    </row>
    <row r="123" spans="1:13" ht="18" customHeight="1" x14ac:dyDescent="0.3">
      <c r="A123" s="1175">
        <v>114</v>
      </c>
      <c r="B123" s="1186"/>
      <c r="C123" s="1197"/>
      <c r="D123" s="925" t="s">
        <v>245</v>
      </c>
      <c r="E123" s="1236"/>
      <c r="F123" s="1233"/>
      <c r="G123" s="1234"/>
      <c r="H123" s="1235"/>
      <c r="I123" s="1236"/>
      <c r="J123" s="1237"/>
      <c r="K123" s="1232"/>
      <c r="L123" s="1248">
        <f>SUM(F123:K123)</f>
        <v>0</v>
      </c>
      <c r="M123" s="1239"/>
    </row>
    <row r="124" spans="1:13" ht="18" customHeight="1" x14ac:dyDescent="0.3">
      <c r="A124" s="1175">
        <v>115</v>
      </c>
      <c r="B124" s="1186"/>
      <c r="C124" s="1197"/>
      <c r="D124" s="1246" t="s">
        <v>233</v>
      </c>
      <c r="E124" s="1249"/>
      <c r="F124" s="1250"/>
      <c r="G124" s="1251"/>
      <c r="H124" s="1252"/>
      <c r="I124" s="1249"/>
      <c r="J124" s="1249">
        <f>SUM(J122:J123)</f>
        <v>0</v>
      </c>
      <c r="K124" s="1247"/>
      <c r="L124" s="1253">
        <f>SUM(F124:K124)</f>
        <v>0</v>
      </c>
      <c r="M124" s="1239"/>
    </row>
    <row r="125" spans="1:13" ht="31.5" customHeight="1" x14ac:dyDescent="0.3">
      <c r="A125" s="1175">
        <v>116</v>
      </c>
      <c r="B125" s="1186"/>
      <c r="C125" s="1197"/>
      <c r="D125" s="919" t="s">
        <v>792</v>
      </c>
      <c r="E125" s="1232">
        <f>F125+G125+L129</f>
        <v>0</v>
      </c>
      <c r="F125" s="1233"/>
      <c r="G125" s="1234"/>
      <c r="H125" s="1235"/>
      <c r="I125" s="1236"/>
      <c r="J125" s="1232"/>
      <c r="K125" s="1232"/>
      <c r="L125" s="1256"/>
      <c r="M125" s="1239"/>
    </row>
    <row r="126" spans="1:13" ht="18" customHeight="1" x14ac:dyDescent="0.3">
      <c r="A126" s="1175">
        <v>117</v>
      </c>
      <c r="B126" s="1186"/>
      <c r="C126" s="1197"/>
      <c r="D126" s="938" t="s">
        <v>230</v>
      </c>
      <c r="E126" s="1240"/>
      <c r="F126" s="1241"/>
      <c r="G126" s="1242"/>
      <c r="H126" s="1243"/>
      <c r="I126" s="1240"/>
      <c r="J126" s="1240">
        <v>300</v>
      </c>
      <c r="K126" s="1244"/>
      <c r="L126" s="1245">
        <f>SUM(I126:K126)</f>
        <v>300</v>
      </c>
      <c r="M126" s="1239"/>
    </row>
    <row r="127" spans="1:13" ht="18" customHeight="1" x14ac:dyDescent="0.3">
      <c r="A127" s="1175">
        <v>118</v>
      </c>
      <c r="B127" s="1186"/>
      <c r="C127" s="1197"/>
      <c r="D127" s="1246" t="s">
        <v>231</v>
      </c>
      <c r="E127" s="1240"/>
      <c r="F127" s="1241"/>
      <c r="G127" s="1242"/>
      <c r="H127" s="1243"/>
      <c r="I127" s="1249"/>
      <c r="J127" s="1249">
        <v>0</v>
      </c>
      <c r="K127" s="1247"/>
      <c r="L127" s="1255">
        <f>SUM(I127:K127)</f>
        <v>0</v>
      </c>
      <c r="M127" s="1239"/>
    </row>
    <row r="128" spans="1:13" ht="18" customHeight="1" x14ac:dyDescent="0.3">
      <c r="A128" s="1175">
        <v>119</v>
      </c>
      <c r="B128" s="1186"/>
      <c r="C128" s="1197"/>
      <c r="D128" s="925" t="s">
        <v>232</v>
      </c>
      <c r="E128" s="1236"/>
      <c r="F128" s="1233"/>
      <c r="G128" s="1234"/>
      <c r="H128" s="1235"/>
      <c r="I128" s="1236"/>
      <c r="J128" s="1232"/>
      <c r="K128" s="1232"/>
      <c r="L128" s="1248">
        <f>SUM(F128:K128)</f>
        <v>0</v>
      </c>
      <c r="M128" s="1239"/>
    </row>
    <row r="129" spans="1:13" ht="18" customHeight="1" x14ac:dyDescent="0.3">
      <c r="A129" s="1175">
        <v>120</v>
      </c>
      <c r="B129" s="1186"/>
      <c r="C129" s="1197"/>
      <c r="D129" s="1246" t="s">
        <v>233</v>
      </c>
      <c r="E129" s="1249"/>
      <c r="F129" s="1250"/>
      <c r="G129" s="1251"/>
      <c r="H129" s="1252"/>
      <c r="I129" s="1249"/>
      <c r="J129" s="1249">
        <f>SUM(J127:J128)</f>
        <v>0</v>
      </c>
      <c r="K129" s="1247"/>
      <c r="L129" s="1253">
        <f>SUM(F129:K129)</f>
        <v>0</v>
      </c>
      <c r="M129" s="1239"/>
    </row>
    <row r="130" spans="1:13" ht="30.75" customHeight="1" x14ac:dyDescent="0.3">
      <c r="A130" s="1175">
        <v>121</v>
      </c>
      <c r="B130" s="1186"/>
      <c r="C130" s="1197"/>
      <c r="D130" s="919" t="s">
        <v>793</v>
      </c>
      <c r="E130" s="1232">
        <f>F130+G130+L134</f>
        <v>881</v>
      </c>
      <c r="F130" s="1233"/>
      <c r="G130" s="1234"/>
      <c r="H130" s="1235"/>
      <c r="I130" s="1236"/>
      <c r="J130" s="1232"/>
      <c r="K130" s="1232"/>
      <c r="L130" s="1256"/>
      <c r="M130" s="1239"/>
    </row>
    <row r="131" spans="1:13" ht="18" customHeight="1" x14ac:dyDescent="0.3">
      <c r="A131" s="1175">
        <v>122</v>
      </c>
      <c r="B131" s="1186"/>
      <c r="C131" s="1197"/>
      <c r="D131" s="938" t="s">
        <v>230</v>
      </c>
      <c r="E131" s="1240"/>
      <c r="F131" s="1241"/>
      <c r="G131" s="1242"/>
      <c r="H131" s="1243"/>
      <c r="I131" s="1240"/>
      <c r="J131" s="1240">
        <v>881</v>
      </c>
      <c r="K131" s="1244"/>
      <c r="L131" s="1245">
        <f>SUM(I131:K131)</f>
        <v>881</v>
      </c>
      <c r="M131" s="1239"/>
    </row>
    <row r="132" spans="1:13" ht="18" customHeight="1" x14ac:dyDescent="0.3">
      <c r="A132" s="1175">
        <v>123</v>
      </c>
      <c r="B132" s="1186"/>
      <c r="C132" s="1197"/>
      <c r="D132" s="1246" t="s">
        <v>231</v>
      </c>
      <c r="E132" s="1240"/>
      <c r="F132" s="1241"/>
      <c r="G132" s="1242"/>
      <c r="H132" s="1243"/>
      <c r="I132" s="1249"/>
      <c r="J132" s="1249">
        <v>881</v>
      </c>
      <c r="K132" s="1247"/>
      <c r="L132" s="1255">
        <f>SUM(I132:K132)</f>
        <v>881</v>
      </c>
      <c r="M132" s="1239"/>
    </row>
    <row r="133" spans="1:13" ht="18" customHeight="1" x14ac:dyDescent="0.3">
      <c r="A133" s="1175">
        <v>124</v>
      </c>
      <c r="B133" s="1186"/>
      <c r="C133" s="1197"/>
      <c r="D133" s="925" t="s">
        <v>245</v>
      </c>
      <c r="E133" s="1236"/>
      <c r="F133" s="1233"/>
      <c r="G133" s="1234"/>
      <c r="H133" s="1235"/>
      <c r="I133" s="1236"/>
      <c r="J133" s="1237"/>
      <c r="K133" s="1232"/>
      <c r="L133" s="1248">
        <f>SUM(F133:K133)</f>
        <v>0</v>
      </c>
      <c r="M133" s="1239"/>
    </row>
    <row r="134" spans="1:13" ht="18" customHeight="1" x14ac:dyDescent="0.3">
      <c r="A134" s="1175">
        <v>125</v>
      </c>
      <c r="B134" s="1186"/>
      <c r="C134" s="1197"/>
      <c r="D134" s="1246" t="s">
        <v>233</v>
      </c>
      <c r="E134" s="1249"/>
      <c r="F134" s="1250"/>
      <c r="G134" s="1251"/>
      <c r="H134" s="1252"/>
      <c r="I134" s="1249"/>
      <c r="J134" s="1249">
        <f>SUM(J132:J133)</f>
        <v>881</v>
      </c>
      <c r="K134" s="1247"/>
      <c r="L134" s="1253">
        <f>SUM(F134:K134)</f>
        <v>881</v>
      </c>
      <c r="M134" s="1239"/>
    </row>
    <row r="135" spans="1:13" ht="18" customHeight="1" x14ac:dyDescent="0.3">
      <c r="A135" s="1175">
        <v>126</v>
      </c>
      <c r="B135" s="1186"/>
      <c r="C135" s="1197"/>
      <c r="D135" s="919" t="s">
        <v>794</v>
      </c>
      <c r="E135" s="1232">
        <f>F135+G135+L138</f>
        <v>0</v>
      </c>
      <c r="F135" s="1233"/>
      <c r="G135" s="1234"/>
      <c r="H135" s="1235"/>
      <c r="I135" s="1236"/>
      <c r="J135" s="1232"/>
      <c r="K135" s="1232"/>
      <c r="L135" s="1258"/>
      <c r="M135" s="1239"/>
    </row>
    <row r="136" spans="1:13" ht="18" customHeight="1" x14ac:dyDescent="0.3">
      <c r="A136" s="1175">
        <v>127</v>
      </c>
      <c r="B136" s="1186"/>
      <c r="C136" s="1197"/>
      <c r="D136" s="1246" t="s">
        <v>231</v>
      </c>
      <c r="E136" s="1232"/>
      <c r="F136" s="1233"/>
      <c r="G136" s="1234"/>
      <c r="H136" s="1235"/>
      <c r="I136" s="1236"/>
      <c r="J136" s="1259">
        <v>0</v>
      </c>
      <c r="K136" s="1259"/>
      <c r="L136" s="1257">
        <f>SUM(F136:K136)</f>
        <v>0</v>
      </c>
      <c r="M136" s="1239"/>
    </row>
    <row r="137" spans="1:13" ht="18" customHeight="1" x14ac:dyDescent="0.3">
      <c r="A137" s="1175">
        <v>128</v>
      </c>
      <c r="B137" s="1186"/>
      <c r="C137" s="1197"/>
      <c r="D137" s="925" t="s">
        <v>232</v>
      </c>
      <c r="E137" s="1236"/>
      <c r="F137" s="1233"/>
      <c r="G137" s="1234"/>
      <c r="H137" s="1235"/>
      <c r="I137" s="1236"/>
      <c r="J137" s="1232"/>
      <c r="K137" s="1232"/>
      <c r="L137" s="1248">
        <f>SUM(F137:K137)</f>
        <v>0</v>
      </c>
      <c r="M137" s="1239"/>
    </row>
    <row r="138" spans="1:13" ht="18" customHeight="1" x14ac:dyDescent="0.3">
      <c r="A138" s="1175">
        <v>129</v>
      </c>
      <c r="B138" s="1186"/>
      <c r="C138" s="1197"/>
      <c r="D138" s="1246" t="s">
        <v>233</v>
      </c>
      <c r="E138" s="1249"/>
      <c r="F138" s="1250"/>
      <c r="G138" s="1251"/>
      <c r="H138" s="1252"/>
      <c r="I138" s="1249"/>
      <c r="J138" s="1247">
        <f>SUM(J136:J137)</f>
        <v>0</v>
      </c>
      <c r="K138" s="1247"/>
      <c r="L138" s="1253">
        <f>SUM(F138:K138)</f>
        <v>0</v>
      </c>
      <c r="M138" s="1239"/>
    </row>
    <row r="139" spans="1:13" ht="18" customHeight="1" x14ac:dyDescent="0.3">
      <c r="A139" s="1175">
        <v>130</v>
      </c>
      <c r="B139" s="1186"/>
      <c r="C139" s="1197"/>
      <c r="D139" s="919" t="s">
        <v>795</v>
      </c>
      <c r="E139" s="1232">
        <f>F139+G139+L142</f>
        <v>300</v>
      </c>
      <c r="F139" s="1233"/>
      <c r="G139" s="1234"/>
      <c r="H139" s="1235"/>
      <c r="I139" s="1236"/>
      <c r="J139" s="1232"/>
      <c r="K139" s="1232"/>
      <c r="L139" s="1258"/>
      <c r="M139" s="1239"/>
    </row>
    <row r="140" spans="1:13" ht="18" customHeight="1" x14ac:dyDescent="0.3">
      <c r="A140" s="1175">
        <v>131</v>
      </c>
      <c r="B140" s="1186"/>
      <c r="C140" s="1197"/>
      <c r="D140" s="1246" t="s">
        <v>231</v>
      </c>
      <c r="E140" s="1232"/>
      <c r="F140" s="1233"/>
      <c r="G140" s="1234"/>
      <c r="H140" s="1235"/>
      <c r="I140" s="1236"/>
      <c r="J140" s="1259">
        <v>300</v>
      </c>
      <c r="K140" s="1259"/>
      <c r="L140" s="1257">
        <f>SUM(F140:K140)</f>
        <v>300</v>
      </c>
      <c r="M140" s="1239"/>
    </row>
    <row r="141" spans="1:13" ht="18" customHeight="1" x14ac:dyDescent="0.3">
      <c r="A141" s="1175">
        <v>132</v>
      </c>
      <c r="B141" s="1186"/>
      <c r="C141" s="1197"/>
      <c r="D141" s="925" t="s">
        <v>245</v>
      </c>
      <c r="E141" s="1236"/>
      <c r="F141" s="1233"/>
      <c r="G141" s="1234"/>
      <c r="H141" s="1235"/>
      <c r="I141" s="1236"/>
      <c r="J141" s="1232"/>
      <c r="K141" s="1232"/>
      <c r="L141" s="1248">
        <f>SUM(F141:K141)</f>
        <v>0</v>
      </c>
      <c r="M141" s="1239"/>
    </row>
    <row r="142" spans="1:13" ht="18" customHeight="1" x14ac:dyDescent="0.3">
      <c r="A142" s="1175">
        <v>133</v>
      </c>
      <c r="B142" s="1186"/>
      <c r="C142" s="1197"/>
      <c r="D142" s="1246" t="s">
        <v>233</v>
      </c>
      <c r="E142" s="1249"/>
      <c r="F142" s="1250"/>
      <c r="G142" s="1251"/>
      <c r="H142" s="1252"/>
      <c r="I142" s="1249"/>
      <c r="J142" s="1247">
        <f>SUM(J140:J141)</f>
        <v>300</v>
      </c>
      <c r="K142" s="1247"/>
      <c r="L142" s="1253">
        <f>SUM(F142:K142)</f>
        <v>300</v>
      </c>
      <c r="M142" s="1239"/>
    </row>
    <row r="143" spans="1:13" ht="18" customHeight="1" x14ac:dyDescent="0.3">
      <c r="A143" s="1175">
        <v>134</v>
      </c>
      <c r="B143" s="1186"/>
      <c r="C143" s="1197"/>
      <c r="D143" s="919" t="s">
        <v>796</v>
      </c>
      <c r="E143" s="1232">
        <f>F143+G143+L146</f>
        <v>1200</v>
      </c>
      <c r="F143" s="1233"/>
      <c r="G143" s="1234"/>
      <c r="H143" s="1235"/>
      <c r="I143" s="1236"/>
      <c r="J143" s="1232"/>
      <c r="K143" s="1232"/>
      <c r="L143" s="1258"/>
      <c r="M143" s="1239"/>
    </row>
    <row r="144" spans="1:13" ht="18" customHeight="1" x14ac:dyDescent="0.3">
      <c r="A144" s="1175">
        <v>135</v>
      </c>
      <c r="B144" s="1186"/>
      <c r="C144" s="1197"/>
      <c r="D144" s="1246" t="s">
        <v>231</v>
      </c>
      <c r="E144" s="1232"/>
      <c r="F144" s="1233"/>
      <c r="G144" s="1234"/>
      <c r="H144" s="1235"/>
      <c r="I144" s="1236"/>
      <c r="J144" s="1247">
        <v>1200</v>
      </c>
      <c r="K144" s="1232"/>
      <c r="L144" s="1257">
        <f>SUM(F144:K144)</f>
        <v>1200</v>
      </c>
      <c r="M144" s="1239"/>
    </row>
    <row r="145" spans="1:13" ht="18" customHeight="1" x14ac:dyDescent="0.3">
      <c r="A145" s="1175">
        <v>136</v>
      </c>
      <c r="B145" s="1186"/>
      <c r="C145" s="1197"/>
      <c r="D145" s="925" t="s">
        <v>245</v>
      </c>
      <c r="E145" s="1236"/>
      <c r="F145" s="1233"/>
      <c r="G145" s="1234"/>
      <c r="H145" s="1235"/>
      <c r="I145" s="1236"/>
      <c r="J145" s="1232"/>
      <c r="K145" s="1232"/>
      <c r="L145" s="1248">
        <f>SUM(F145:K145)</f>
        <v>0</v>
      </c>
      <c r="M145" s="1239"/>
    </row>
    <row r="146" spans="1:13" ht="18" customHeight="1" x14ac:dyDescent="0.3">
      <c r="A146" s="1175">
        <v>137</v>
      </c>
      <c r="B146" s="1186"/>
      <c r="C146" s="1197"/>
      <c r="D146" s="1246" t="s">
        <v>233</v>
      </c>
      <c r="E146" s="1249"/>
      <c r="F146" s="1250"/>
      <c r="G146" s="1251"/>
      <c r="H146" s="1252"/>
      <c r="I146" s="1249"/>
      <c r="J146" s="1247">
        <f>SUM(J144:J145)</f>
        <v>1200</v>
      </c>
      <c r="K146" s="1247"/>
      <c r="L146" s="1253">
        <f>SUM(F146:K146)</f>
        <v>1200</v>
      </c>
      <c r="M146" s="1239"/>
    </row>
    <row r="147" spans="1:13" ht="18" customHeight="1" x14ac:dyDescent="0.3">
      <c r="A147" s="1175">
        <v>138</v>
      </c>
      <c r="B147" s="1186"/>
      <c r="C147" s="1197"/>
      <c r="D147" s="919" t="s">
        <v>797</v>
      </c>
      <c r="E147" s="1236">
        <f>F147+G147+L150</f>
        <v>801</v>
      </c>
      <c r="F147" s="1233"/>
      <c r="G147" s="1234"/>
      <c r="H147" s="1235"/>
      <c r="I147" s="1236"/>
      <c r="J147" s="1232"/>
      <c r="K147" s="1232"/>
      <c r="L147" s="1258"/>
      <c r="M147" s="1239"/>
    </row>
    <row r="148" spans="1:13" ht="18" customHeight="1" x14ac:dyDescent="0.3">
      <c r="A148" s="1175">
        <v>139</v>
      </c>
      <c r="B148" s="1186"/>
      <c r="C148" s="1197"/>
      <c r="D148" s="1246" t="s">
        <v>231</v>
      </c>
      <c r="E148" s="1236"/>
      <c r="F148" s="1233"/>
      <c r="G148" s="1234"/>
      <c r="H148" s="1235"/>
      <c r="I148" s="1236"/>
      <c r="J148" s="1247">
        <v>801</v>
      </c>
      <c r="K148" s="1232"/>
      <c r="L148" s="1257">
        <f>SUM(F148:K148)</f>
        <v>801</v>
      </c>
      <c r="M148" s="1239"/>
    </row>
    <row r="149" spans="1:13" ht="18" customHeight="1" x14ac:dyDescent="0.3">
      <c r="A149" s="1175">
        <v>140</v>
      </c>
      <c r="B149" s="1186"/>
      <c r="C149" s="1197"/>
      <c r="D149" s="925" t="s">
        <v>232</v>
      </c>
      <c r="E149" s="1236"/>
      <c r="F149" s="1233"/>
      <c r="G149" s="1234"/>
      <c r="H149" s="1235"/>
      <c r="I149" s="1236"/>
      <c r="J149" s="1232"/>
      <c r="K149" s="1232"/>
      <c r="L149" s="1248">
        <f>SUM(F149:K149)</f>
        <v>0</v>
      </c>
      <c r="M149" s="1239"/>
    </row>
    <row r="150" spans="1:13" ht="18" customHeight="1" x14ac:dyDescent="0.3">
      <c r="A150" s="1175">
        <v>141</v>
      </c>
      <c r="B150" s="1186"/>
      <c r="C150" s="1197"/>
      <c r="D150" s="1246" t="s">
        <v>233</v>
      </c>
      <c r="E150" s="1249"/>
      <c r="F150" s="1250"/>
      <c r="G150" s="1251"/>
      <c r="H150" s="1252"/>
      <c r="I150" s="1249"/>
      <c r="J150" s="1247">
        <f>SUM(J148:J149)</f>
        <v>801</v>
      </c>
      <c r="K150" s="1247"/>
      <c r="L150" s="1257">
        <f>SUM(F150:K150)</f>
        <v>801</v>
      </c>
      <c r="M150" s="1239"/>
    </row>
    <row r="151" spans="1:13" ht="48" customHeight="1" x14ac:dyDescent="0.3">
      <c r="A151" s="1175">
        <v>142</v>
      </c>
      <c r="B151" s="1186"/>
      <c r="C151" s="1197"/>
      <c r="D151" s="919" t="s">
        <v>798</v>
      </c>
      <c r="E151" s="1236">
        <f>F151+G151+L154</f>
        <v>450</v>
      </c>
      <c r="F151" s="1233"/>
      <c r="G151" s="1234"/>
      <c r="H151" s="1235"/>
      <c r="I151" s="1236"/>
      <c r="J151" s="1232"/>
      <c r="K151" s="1232"/>
      <c r="L151" s="1258"/>
      <c r="M151" s="1239"/>
    </row>
    <row r="152" spans="1:13" ht="18" customHeight="1" x14ac:dyDescent="0.3">
      <c r="A152" s="1175">
        <v>143</v>
      </c>
      <c r="B152" s="1186"/>
      <c r="C152" s="1197"/>
      <c r="D152" s="1246" t="s">
        <v>231</v>
      </c>
      <c r="E152" s="1236"/>
      <c r="F152" s="1233"/>
      <c r="G152" s="1234"/>
      <c r="H152" s="1235"/>
      <c r="I152" s="1236"/>
      <c r="J152" s="1232"/>
      <c r="K152" s="1247">
        <v>450</v>
      </c>
      <c r="L152" s="1260">
        <f>SUM(F152:K152)</f>
        <v>450</v>
      </c>
      <c r="M152" s="1239"/>
    </row>
    <row r="153" spans="1:13" ht="18" customHeight="1" x14ac:dyDescent="0.3">
      <c r="A153" s="1175">
        <v>144</v>
      </c>
      <c r="B153" s="1186"/>
      <c r="C153" s="1197"/>
      <c r="D153" s="925" t="s">
        <v>245</v>
      </c>
      <c r="E153" s="1236"/>
      <c r="F153" s="1233"/>
      <c r="G153" s="1234"/>
      <c r="H153" s="1235"/>
      <c r="I153" s="1236"/>
      <c r="J153" s="1232"/>
      <c r="K153" s="1232"/>
      <c r="L153" s="1248">
        <f>SUM(F153:K153)</f>
        <v>0</v>
      </c>
      <c r="M153" s="1239"/>
    </row>
    <row r="154" spans="1:13" ht="18" customHeight="1" x14ac:dyDescent="0.3">
      <c r="A154" s="1175">
        <v>145</v>
      </c>
      <c r="B154" s="1186"/>
      <c r="C154" s="1197"/>
      <c r="D154" s="1246" t="s">
        <v>233</v>
      </c>
      <c r="E154" s="1249"/>
      <c r="F154" s="1250"/>
      <c r="G154" s="1251"/>
      <c r="H154" s="1252"/>
      <c r="I154" s="1249"/>
      <c r="J154" s="1247"/>
      <c r="K154" s="1247">
        <f>SUM(K152:K153)</f>
        <v>450</v>
      </c>
      <c r="L154" s="1257">
        <f>SUM(F154:K154)</f>
        <v>450</v>
      </c>
      <c r="M154" s="1239"/>
    </row>
    <row r="155" spans="1:13" ht="30.75" customHeight="1" x14ac:dyDescent="0.3">
      <c r="A155" s="1175">
        <v>146</v>
      </c>
      <c r="B155" s="1186"/>
      <c r="C155" s="1197"/>
      <c r="D155" s="919" t="s">
        <v>799</v>
      </c>
      <c r="E155" s="1236">
        <f>F155+G155+L158</f>
        <v>200</v>
      </c>
      <c r="F155" s="1233"/>
      <c r="G155" s="1234"/>
      <c r="H155" s="1235"/>
      <c r="I155" s="1236"/>
      <c r="J155" s="1232"/>
      <c r="K155" s="1232"/>
      <c r="L155" s="1258"/>
      <c r="M155" s="1239"/>
    </row>
    <row r="156" spans="1:13" ht="18" customHeight="1" x14ac:dyDescent="0.3">
      <c r="A156" s="1175">
        <v>147</v>
      </c>
      <c r="B156" s="1186"/>
      <c r="C156" s="1197"/>
      <c r="D156" s="1246" t="s">
        <v>231</v>
      </c>
      <c r="E156" s="1236"/>
      <c r="F156" s="1233"/>
      <c r="G156" s="1234"/>
      <c r="H156" s="1235"/>
      <c r="I156" s="1236"/>
      <c r="J156" s="1232"/>
      <c r="K156" s="1247">
        <v>200</v>
      </c>
      <c r="L156" s="1260">
        <f>SUM(F156:K156)</f>
        <v>200</v>
      </c>
      <c r="M156" s="1239"/>
    </row>
    <row r="157" spans="1:13" ht="18" customHeight="1" x14ac:dyDescent="0.3">
      <c r="A157" s="1175">
        <v>148</v>
      </c>
      <c r="B157" s="1186"/>
      <c r="C157" s="1197"/>
      <c r="D157" s="925" t="s">
        <v>245</v>
      </c>
      <c r="E157" s="1236"/>
      <c r="F157" s="1233"/>
      <c r="G157" s="1234"/>
      <c r="H157" s="1235"/>
      <c r="I157" s="1236"/>
      <c r="J157" s="1232"/>
      <c r="K157" s="1232"/>
      <c r="L157" s="1248">
        <f>SUM(F157:K157)</f>
        <v>0</v>
      </c>
      <c r="M157" s="1239"/>
    </row>
    <row r="158" spans="1:13" ht="18" customHeight="1" x14ac:dyDescent="0.3">
      <c r="A158" s="1175">
        <v>149</v>
      </c>
      <c r="B158" s="1186"/>
      <c r="C158" s="1197"/>
      <c r="D158" s="1246" t="s">
        <v>233</v>
      </c>
      <c r="E158" s="1249"/>
      <c r="F158" s="1250"/>
      <c r="G158" s="1251"/>
      <c r="H158" s="1252"/>
      <c r="I158" s="1249"/>
      <c r="J158" s="1247"/>
      <c r="K158" s="1247">
        <f>SUM(K156:K157)</f>
        <v>200</v>
      </c>
      <c r="L158" s="1257">
        <f>SUM(F158:K158)</f>
        <v>200</v>
      </c>
      <c r="M158" s="1239"/>
    </row>
    <row r="159" spans="1:13" ht="18" customHeight="1" x14ac:dyDescent="0.3">
      <c r="A159" s="1175">
        <v>150</v>
      </c>
      <c r="B159" s="1186"/>
      <c r="C159" s="1197"/>
      <c r="D159" s="919" t="s">
        <v>800</v>
      </c>
      <c r="E159" s="1236">
        <f>F159+G159+L162</f>
        <v>0</v>
      </c>
      <c r="F159" s="1233"/>
      <c r="G159" s="1234"/>
      <c r="H159" s="1235"/>
      <c r="I159" s="1236"/>
      <c r="J159" s="1232"/>
      <c r="K159" s="1232"/>
      <c r="L159" s="1258"/>
      <c r="M159" s="1239"/>
    </row>
    <row r="160" spans="1:13" ht="18" customHeight="1" x14ac:dyDescent="0.3">
      <c r="A160" s="1175">
        <v>151</v>
      </c>
      <c r="B160" s="1186"/>
      <c r="C160" s="1197"/>
      <c r="D160" s="1246" t="s">
        <v>231</v>
      </c>
      <c r="E160" s="1236"/>
      <c r="F160" s="1233"/>
      <c r="G160" s="1234"/>
      <c r="H160" s="1235"/>
      <c r="I160" s="1236"/>
      <c r="J160" s="1259">
        <v>0</v>
      </c>
      <c r="K160" s="1259"/>
      <c r="L160" s="1257">
        <f>SUM(F160:K160)</f>
        <v>0</v>
      </c>
      <c r="M160" s="1239"/>
    </row>
    <row r="161" spans="1:13" ht="18" customHeight="1" x14ac:dyDescent="0.3">
      <c r="A161" s="1175">
        <v>152</v>
      </c>
      <c r="B161" s="1186"/>
      <c r="C161" s="1197"/>
      <c r="D161" s="925" t="s">
        <v>232</v>
      </c>
      <c r="E161" s="1236"/>
      <c r="F161" s="1233"/>
      <c r="G161" s="1234"/>
      <c r="H161" s="1235"/>
      <c r="I161" s="1236"/>
      <c r="J161" s="1232"/>
      <c r="K161" s="1232"/>
      <c r="L161" s="1248">
        <f>SUM(F161:K161)</f>
        <v>0</v>
      </c>
      <c r="M161" s="1239"/>
    </row>
    <row r="162" spans="1:13" ht="18" customHeight="1" x14ac:dyDescent="0.3">
      <c r="A162" s="1175">
        <v>153</v>
      </c>
      <c r="B162" s="1186"/>
      <c r="C162" s="1197"/>
      <c r="D162" s="1246" t="s">
        <v>233</v>
      </c>
      <c r="E162" s="1249"/>
      <c r="F162" s="1250"/>
      <c r="G162" s="1251"/>
      <c r="H162" s="1252"/>
      <c r="I162" s="1249"/>
      <c r="J162" s="1247">
        <f>SUM(J160:J161)</f>
        <v>0</v>
      </c>
      <c r="K162" s="1247"/>
      <c r="L162" s="1257">
        <f>SUM(F162:K162)</f>
        <v>0</v>
      </c>
      <c r="M162" s="1239"/>
    </row>
    <row r="163" spans="1:13" ht="31.5" customHeight="1" x14ac:dyDescent="0.3">
      <c r="A163" s="1175">
        <v>154</v>
      </c>
      <c r="B163" s="1186"/>
      <c r="C163" s="1197"/>
      <c r="D163" s="919" t="s">
        <v>801</v>
      </c>
      <c r="E163" s="1236">
        <f>F163+G163+L166</f>
        <v>0</v>
      </c>
      <c r="F163" s="1233"/>
      <c r="G163" s="1234"/>
      <c r="H163" s="1235"/>
      <c r="I163" s="1236"/>
      <c r="J163" s="1232"/>
      <c r="K163" s="1232"/>
      <c r="L163" s="1258"/>
      <c r="M163" s="1239"/>
    </row>
    <row r="164" spans="1:13" ht="18" customHeight="1" x14ac:dyDescent="0.3">
      <c r="A164" s="1175">
        <v>155</v>
      </c>
      <c r="B164" s="1186"/>
      <c r="C164" s="1197"/>
      <c r="D164" s="1246" t="s">
        <v>231</v>
      </c>
      <c r="E164" s="1236"/>
      <c r="F164" s="1233"/>
      <c r="G164" s="1234"/>
      <c r="H164" s="1235"/>
      <c r="I164" s="1236"/>
      <c r="J164" s="1247">
        <v>0</v>
      </c>
      <c r="K164" s="1232"/>
      <c r="L164" s="1260">
        <f>SUM(F164:K164)</f>
        <v>0</v>
      </c>
      <c r="M164" s="1239"/>
    </row>
    <row r="165" spans="1:13" ht="18" customHeight="1" x14ac:dyDescent="0.3">
      <c r="A165" s="1175">
        <v>156</v>
      </c>
      <c r="B165" s="1186"/>
      <c r="C165" s="1197"/>
      <c r="D165" s="925" t="s">
        <v>232</v>
      </c>
      <c r="E165" s="1236"/>
      <c r="F165" s="1233"/>
      <c r="G165" s="1234"/>
      <c r="H165" s="1235"/>
      <c r="I165" s="1236"/>
      <c r="J165" s="1232"/>
      <c r="K165" s="1232"/>
      <c r="L165" s="1248">
        <f>SUM(F165:K165)</f>
        <v>0</v>
      </c>
      <c r="M165" s="1239"/>
    </row>
    <row r="166" spans="1:13" ht="18" customHeight="1" x14ac:dyDescent="0.3">
      <c r="A166" s="1175">
        <v>157</v>
      </c>
      <c r="B166" s="1186"/>
      <c r="C166" s="1197"/>
      <c r="D166" s="1246" t="s">
        <v>233</v>
      </c>
      <c r="E166" s="1249"/>
      <c r="F166" s="1250"/>
      <c r="G166" s="1251"/>
      <c r="H166" s="1252"/>
      <c r="I166" s="1249"/>
      <c r="J166" s="1247">
        <f>SUM(J164:J165)</f>
        <v>0</v>
      </c>
      <c r="K166" s="1247"/>
      <c r="L166" s="1257">
        <f>SUM(F166:K166)</f>
        <v>0</v>
      </c>
      <c r="M166" s="1239"/>
    </row>
    <row r="167" spans="1:13" ht="18" customHeight="1" x14ac:dyDescent="0.3">
      <c r="A167" s="1175">
        <v>158</v>
      </c>
      <c r="B167" s="1186"/>
      <c r="C167" s="1197"/>
      <c r="D167" s="919" t="s">
        <v>802</v>
      </c>
      <c r="E167" s="1236">
        <f>F167+G167+L170</f>
        <v>0</v>
      </c>
      <c r="F167" s="1233"/>
      <c r="G167" s="1234"/>
      <c r="H167" s="1235"/>
      <c r="I167" s="1236"/>
      <c r="J167" s="1232"/>
      <c r="K167" s="1232"/>
      <c r="L167" s="1258"/>
      <c r="M167" s="1239"/>
    </row>
    <row r="168" spans="1:13" ht="18" customHeight="1" x14ac:dyDescent="0.3">
      <c r="A168" s="1175">
        <v>159</v>
      </c>
      <c r="B168" s="1186"/>
      <c r="C168" s="1197"/>
      <c r="D168" s="1246" t="s">
        <v>231</v>
      </c>
      <c r="E168" s="1236"/>
      <c r="F168" s="1233"/>
      <c r="G168" s="1234"/>
      <c r="H168" s="1235"/>
      <c r="I168" s="1236"/>
      <c r="J168" s="1247">
        <v>0</v>
      </c>
      <c r="K168" s="1232"/>
      <c r="L168" s="1261">
        <f>SUM(F168:K168)</f>
        <v>0</v>
      </c>
      <c r="M168" s="1239"/>
    </row>
    <row r="169" spans="1:13" ht="18" customHeight="1" x14ac:dyDescent="0.3">
      <c r="A169" s="1175">
        <v>160</v>
      </c>
      <c r="B169" s="1186"/>
      <c r="C169" s="1197"/>
      <c r="D169" s="925" t="s">
        <v>232</v>
      </c>
      <c r="E169" s="1236"/>
      <c r="F169" s="1233"/>
      <c r="G169" s="1234"/>
      <c r="H169" s="1235"/>
      <c r="I169" s="1236"/>
      <c r="J169" s="1232"/>
      <c r="K169" s="1232"/>
      <c r="L169" s="1248">
        <f>SUM(F169:K169)</f>
        <v>0</v>
      </c>
      <c r="M169" s="1239"/>
    </row>
    <row r="170" spans="1:13" ht="18" customHeight="1" x14ac:dyDescent="0.3">
      <c r="A170" s="1175">
        <v>161</v>
      </c>
      <c r="B170" s="1186"/>
      <c r="C170" s="1197"/>
      <c r="D170" s="1246" t="s">
        <v>233</v>
      </c>
      <c r="E170" s="1249"/>
      <c r="F170" s="1250"/>
      <c r="G170" s="1251"/>
      <c r="H170" s="1252"/>
      <c r="I170" s="1249"/>
      <c r="J170" s="1247">
        <f>SUM(J168:J169)</f>
        <v>0</v>
      </c>
      <c r="K170" s="1247"/>
      <c r="L170" s="1257">
        <f>SUM(F170:K170)</f>
        <v>0</v>
      </c>
      <c r="M170" s="1239"/>
    </row>
    <row r="171" spans="1:13" ht="18" customHeight="1" x14ac:dyDescent="0.3">
      <c r="A171" s="1175">
        <v>162</v>
      </c>
      <c r="B171" s="1186"/>
      <c r="C171" s="1197"/>
      <c r="D171" s="919" t="s">
        <v>803</v>
      </c>
      <c r="E171" s="1236">
        <f>F171+G171+L174</f>
        <v>0</v>
      </c>
      <c r="F171" s="1233"/>
      <c r="G171" s="1234"/>
      <c r="H171" s="1235"/>
      <c r="I171" s="1236"/>
      <c r="J171" s="1232"/>
      <c r="K171" s="1232"/>
      <c r="L171" s="1258"/>
      <c r="M171" s="1239"/>
    </row>
    <row r="172" spans="1:13" ht="18" customHeight="1" x14ac:dyDescent="0.3">
      <c r="A172" s="1175">
        <v>163</v>
      </c>
      <c r="B172" s="1186"/>
      <c r="C172" s="1197"/>
      <c r="D172" s="1246" t="s">
        <v>231</v>
      </c>
      <c r="E172" s="1236"/>
      <c r="F172" s="1233"/>
      <c r="G172" s="1234"/>
      <c r="H172" s="1235"/>
      <c r="I172" s="1236"/>
      <c r="J172" s="1247">
        <v>0</v>
      </c>
      <c r="K172" s="1247"/>
      <c r="L172" s="1261">
        <f>SUM(F172:K172)</f>
        <v>0</v>
      </c>
      <c r="M172" s="1239"/>
    </row>
    <row r="173" spans="1:13" ht="18" customHeight="1" x14ac:dyDescent="0.3">
      <c r="A173" s="1175">
        <v>164</v>
      </c>
      <c r="B173" s="1186"/>
      <c r="C173" s="1197"/>
      <c r="D173" s="925" t="s">
        <v>232</v>
      </c>
      <c r="E173" s="1236"/>
      <c r="F173" s="1233"/>
      <c r="G173" s="1234"/>
      <c r="H173" s="1235"/>
      <c r="I173" s="1236"/>
      <c r="J173" s="1232"/>
      <c r="K173" s="1232"/>
      <c r="L173" s="1248">
        <f>SUM(F173:K173)</f>
        <v>0</v>
      </c>
      <c r="M173" s="1239"/>
    </row>
    <row r="174" spans="1:13" ht="18" customHeight="1" x14ac:dyDescent="0.3">
      <c r="A174" s="1175">
        <v>165</v>
      </c>
      <c r="B174" s="1186"/>
      <c r="C174" s="1197"/>
      <c r="D174" s="1246" t="s">
        <v>233</v>
      </c>
      <c r="E174" s="1249"/>
      <c r="F174" s="1250"/>
      <c r="G174" s="1251"/>
      <c r="H174" s="1252"/>
      <c r="I174" s="1249"/>
      <c r="J174" s="1247">
        <f>SUM(J172:J173)</f>
        <v>0</v>
      </c>
      <c r="K174" s="1247"/>
      <c r="L174" s="1257">
        <f>SUM(F174:K174)</f>
        <v>0</v>
      </c>
      <c r="M174" s="1239"/>
    </row>
    <row r="175" spans="1:13" ht="18" customHeight="1" x14ac:dyDescent="0.3">
      <c r="A175" s="1175">
        <v>166</v>
      </c>
      <c r="B175" s="1186"/>
      <c r="C175" s="1197"/>
      <c r="D175" s="919" t="s">
        <v>804</v>
      </c>
      <c r="E175" s="1236">
        <f>F175+G175+L178</f>
        <v>0</v>
      </c>
      <c r="F175" s="1233"/>
      <c r="G175" s="1234"/>
      <c r="H175" s="1235"/>
      <c r="I175" s="1236"/>
      <c r="J175" s="1232"/>
      <c r="K175" s="1232"/>
      <c r="L175" s="1258"/>
      <c r="M175" s="1239"/>
    </row>
    <row r="176" spans="1:13" ht="18" customHeight="1" x14ac:dyDescent="0.3">
      <c r="A176" s="1175">
        <v>167</v>
      </c>
      <c r="B176" s="1186"/>
      <c r="C176" s="1197"/>
      <c r="D176" s="1246" t="s">
        <v>231</v>
      </c>
      <c r="E176" s="1236"/>
      <c r="F176" s="1233"/>
      <c r="G176" s="1234"/>
      <c r="H176" s="1235"/>
      <c r="I176" s="1236"/>
      <c r="J176" s="1247">
        <v>0</v>
      </c>
      <c r="K176" s="1232"/>
      <c r="L176" s="1261">
        <f>SUM(F176:K176)</f>
        <v>0</v>
      </c>
      <c r="M176" s="1239"/>
    </row>
    <row r="177" spans="1:13" ht="18" customHeight="1" x14ac:dyDescent="0.3">
      <c r="A177" s="1175">
        <v>168</v>
      </c>
      <c r="B177" s="1186"/>
      <c r="C177" s="1197"/>
      <c r="D177" s="925" t="s">
        <v>232</v>
      </c>
      <c r="E177" s="1236"/>
      <c r="F177" s="1233"/>
      <c r="G177" s="1234"/>
      <c r="H177" s="1235"/>
      <c r="I177" s="1236"/>
      <c r="J177" s="1232"/>
      <c r="K177" s="1232"/>
      <c r="L177" s="1248">
        <f>SUM(F177:K177)</f>
        <v>0</v>
      </c>
      <c r="M177" s="1239"/>
    </row>
    <row r="178" spans="1:13" ht="18" customHeight="1" x14ac:dyDescent="0.3">
      <c r="A178" s="1175">
        <v>169</v>
      </c>
      <c r="B178" s="1186"/>
      <c r="C178" s="1197"/>
      <c r="D178" s="1246" t="s">
        <v>233</v>
      </c>
      <c r="E178" s="1249"/>
      <c r="F178" s="1250"/>
      <c r="G178" s="1251"/>
      <c r="H178" s="1252"/>
      <c r="I178" s="1249"/>
      <c r="J178" s="1247">
        <f>SUM(J176:J177)</f>
        <v>0</v>
      </c>
      <c r="K178" s="1247"/>
      <c r="L178" s="1257">
        <f>SUM(F178:K178)</f>
        <v>0</v>
      </c>
      <c r="M178" s="1239"/>
    </row>
    <row r="179" spans="1:13" ht="18" customHeight="1" x14ac:dyDescent="0.3">
      <c r="A179" s="1175">
        <v>170</v>
      </c>
      <c r="B179" s="1186"/>
      <c r="C179" s="1197"/>
      <c r="D179" s="919" t="s">
        <v>805</v>
      </c>
      <c r="E179" s="1236">
        <f>F179+G179+L182</f>
        <v>0</v>
      </c>
      <c r="F179" s="1233"/>
      <c r="G179" s="1234"/>
      <c r="H179" s="1235"/>
      <c r="I179" s="1236"/>
      <c r="J179" s="1232"/>
      <c r="K179" s="1232"/>
      <c r="L179" s="1258"/>
      <c r="M179" s="1239"/>
    </row>
    <row r="180" spans="1:13" ht="18" customHeight="1" x14ac:dyDescent="0.3">
      <c r="A180" s="1175">
        <v>171</v>
      </c>
      <c r="B180" s="1186"/>
      <c r="C180" s="1197"/>
      <c r="D180" s="1246" t="s">
        <v>231</v>
      </c>
      <c r="E180" s="1236"/>
      <c r="F180" s="1233"/>
      <c r="G180" s="1234"/>
      <c r="H180" s="1235"/>
      <c r="I180" s="1236"/>
      <c r="J180" s="1247">
        <v>0</v>
      </c>
      <c r="K180" s="1232"/>
      <c r="L180" s="1261">
        <f>SUM(F180:K180)</f>
        <v>0</v>
      </c>
      <c r="M180" s="1239"/>
    </row>
    <row r="181" spans="1:13" ht="18" customHeight="1" x14ac:dyDescent="0.3">
      <c r="A181" s="1175">
        <v>172</v>
      </c>
      <c r="B181" s="1186"/>
      <c r="C181" s="1197"/>
      <c r="D181" s="925" t="s">
        <v>232</v>
      </c>
      <c r="E181" s="1236"/>
      <c r="F181" s="1233"/>
      <c r="G181" s="1234"/>
      <c r="H181" s="1235"/>
      <c r="I181" s="1236"/>
      <c r="J181" s="1232"/>
      <c r="K181" s="1232"/>
      <c r="L181" s="1248">
        <f>SUM(F181:K181)</f>
        <v>0</v>
      </c>
      <c r="M181" s="1239"/>
    </row>
    <row r="182" spans="1:13" ht="18" customHeight="1" x14ac:dyDescent="0.3">
      <c r="A182" s="1175">
        <v>173</v>
      </c>
      <c r="B182" s="1186"/>
      <c r="C182" s="1197"/>
      <c r="D182" s="1246" t="s">
        <v>233</v>
      </c>
      <c r="E182" s="1249"/>
      <c r="F182" s="1250"/>
      <c r="G182" s="1251"/>
      <c r="H182" s="1252"/>
      <c r="I182" s="1249"/>
      <c r="J182" s="1247">
        <f>SUM(J180:J181)</f>
        <v>0</v>
      </c>
      <c r="K182" s="1247"/>
      <c r="L182" s="1253">
        <f>SUM(F182:K182)</f>
        <v>0</v>
      </c>
      <c r="M182" s="1239"/>
    </row>
    <row r="183" spans="1:13" ht="18" customHeight="1" x14ac:dyDescent="0.3">
      <c r="A183" s="1175">
        <v>174</v>
      </c>
      <c r="B183" s="1186"/>
      <c r="C183" s="1197"/>
      <c r="D183" s="919" t="s">
        <v>806</v>
      </c>
      <c r="E183" s="1236">
        <f>F183+G183+L186</f>
        <v>0</v>
      </c>
      <c r="F183" s="1233"/>
      <c r="G183" s="1234"/>
      <c r="H183" s="1235"/>
      <c r="I183" s="1236"/>
      <c r="J183" s="1232"/>
      <c r="K183" s="1232"/>
      <c r="L183" s="1258"/>
      <c r="M183" s="1239"/>
    </row>
    <row r="184" spans="1:13" ht="18" customHeight="1" x14ac:dyDescent="0.3">
      <c r="A184" s="1175">
        <v>175</v>
      </c>
      <c r="B184" s="1186"/>
      <c r="C184" s="1197"/>
      <c r="D184" s="1246" t="s">
        <v>231</v>
      </c>
      <c r="E184" s="1236"/>
      <c r="F184" s="1233"/>
      <c r="G184" s="1234"/>
      <c r="H184" s="1235"/>
      <c r="I184" s="1236"/>
      <c r="J184" s="1247">
        <v>0</v>
      </c>
      <c r="K184" s="1232"/>
      <c r="L184" s="1261">
        <f>SUM(F184:K184)</f>
        <v>0</v>
      </c>
      <c r="M184" s="1239"/>
    </row>
    <row r="185" spans="1:13" ht="18" customHeight="1" x14ac:dyDescent="0.3">
      <c r="A185" s="1175">
        <v>176</v>
      </c>
      <c r="B185" s="1186"/>
      <c r="C185" s="1197"/>
      <c r="D185" s="925" t="s">
        <v>232</v>
      </c>
      <c r="E185" s="1236"/>
      <c r="F185" s="1233"/>
      <c r="G185" s="1234"/>
      <c r="H185" s="1235"/>
      <c r="I185" s="1236"/>
      <c r="J185" s="1232"/>
      <c r="K185" s="1232"/>
      <c r="L185" s="1248">
        <f>SUM(F185:K185)</f>
        <v>0</v>
      </c>
      <c r="M185" s="1239"/>
    </row>
    <row r="186" spans="1:13" ht="18" customHeight="1" x14ac:dyDescent="0.3">
      <c r="A186" s="1175">
        <v>177</v>
      </c>
      <c r="B186" s="1186"/>
      <c r="C186" s="1197"/>
      <c r="D186" s="1246" t="s">
        <v>233</v>
      </c>
      <c r="E186" s="1249"/>
      <c r="F186" s="1250"/>
      <c r="G186" s="1251"/>
      <c r="H186" s="1252"/>
      <c r="I186" s="1249"/>
      <c r="J186" s="1247">
        <f>SUM(J184:J185)</f>
        <v>0</v>
      </c>
      <c r="K186" s="1247"/>
      <c r="L186" s="1253">
        <f>SUM(F186:K186)</f>
        <v>0</v>
      </c>
      <c r="M186" s="1239"/>
    </row>
    <row r="187" spans="1:13" ht="18" customHeight="1" x14ac:dyDescent="0.3">
      <c r="A187" s="1175">
        <v>178</v>
      </c>
      <c r="B187" s="1186"/>
      <c r="C187" s="1197"/>
      <c r="D187" s="919" t="s">
        <v>807</v>
      </c>
      <c r="E187" s="1236">
        <f>F187+G187+L190</f>
        <v>1500</v>
      </c>
      <c r="F187" s="1233"/>
      <c r="G187" s="1234"/>
      <c r="H187" s="1235"/>
      <c r="I187" s="1236"/>
      <c r="J187" s="1232"/>
      <c r="K187" s="1232"/>
      <c r="L187" s="1258"/>
      <c r="M187" s="1239"/>
    </row>
    <row r="188" spans="1:13" ht="18" customHeight="1" x14ac:dyDescent="0.3">
      <c r="A188" s="1175">
        <v>179</v>
      </c>
      <c r="B188" s="1186"/>
      <c r="C188" s="1197"/>
      <c r="D188" s="1246" t="s">
        <v>231</v>
      </c>
      <c r="E188" s="1236"/>
      <c r="F188" s="1233"/>
      <c r="G188" s="1234"/>
      <c r="H188" s="1235"/>
      <c r="I188" s="1236"/>
      <c r="J188" s="1247">
        <v>1500</v>
      </c>
      <c r="K188" s="1232"/>
      <c r="L188" s="1261">
        <f>SUM(F188:K188)</f>
        <v>1500</v>
      </c>
      <c r="M188" s="1239"/>
    </row>
    <row r="189" spans="1:13" ht="18" customHeight="1" x14ac:dyDescent="0.3">
      <c r="A189" s="1175">
        <v>180</v>
      </c>
      <c r="B189" s="1186"/>
      <c r="C189" s="1197"/>
      <c r="D189" s="925" t="s">
        <v>245</v>
      </c>
      <c r="E189" s="1236"/>
      <c r="F189" s="1233"/>
      <c r="G189" s="1234"/>
      <c r="H189" s="1235"/>
      <c r="I189" s="1236"/>
      <c r="J189" s="1232"/>
      <c r="K189" s="1232"/>
      <c r="L189" s="1248">
        <f>SUM(F189:K189)</f>
        <v>0</v>
      </c>
      <c r="M189" s="1239"/>
    </row>
    <row r="190" spans="1:13" ht="18" customHeight="1" x14ac:dyDescent="0.3">
      <c r="A190" s="1175">
        <v>181</v>
      </c>
      <c r="B190" s="1186"/>
      <c r="C190" s="1197"/>
      <c r="D190" s="1246" t="s">
        <v>233</v>
      </c>
      <c r="E190" s="1249"/>
      <c r="F190" s="1250"/>
      <c r="G190" s="1251"/>
      <c r="H190" s="1252"/>
      <c r="I190" s="1249"/>
      <c r="J190" s="1247">
        <f>SUM(J188:J189)</f>
        <v>1500</v>
      </c>
      <c r="K190" s="1247"/>
      <c r="L190" s="1253">
        <f>SUM(F190:K190)</f>
        <v>1500</v>
      </c>
      <c r="M190" s="1239"/>
    </row>
    <row r="191" spans="1:13" ht="18" customHeight="1" x14ac:dyDescent="0.3">
      <c r="A191" s="1175">
        <v>182</v>
      </c>
      <c r="B191" s="1186"/>
      <c r="C191" s="1197"/>
      <c r="D191" s="919" t="s">
        <v>808</v>
      </c>
      <c r="E191" s="1236">
        <f>F191+G191+L194</f>
        <v>1500</v>
      </c>
      <c r="F191" s="1233"/>
      <c r="G191" s="1234"/>
      <c r="H191" s="1235"/>
      <c r="I191" s="1236"/>
      <c r="J191" s="1232"/>
      <c r="K191" s="1232"/>
      <c r="L191" s="1258"/>
      <c r="M191" s="1239"/>
    </row>
    <row r="192" spans="1:13" ht="18" customHeight="1" x14ac:dyDescent="0.3">
      <c r="A192" s="1175">
        <v>183</v>
      </c>
      <c r="B192" s="1186"/>
      <c r="C192" s="1197"/>
      <c r="D192" s="1246" t="s">
        <v>231</v>
      </c>
      <c r="E192" s="1236"/>
      <c r="F192" s="1233"/>
      <c r="G192" s="1234"/>
      <c r="H192" s="1235"/>
      <c r="I192" s="1236"/>
      <c r="J192" s="1247">
        <v>1500</v>
      </c>
      <c r="K192" s="1232"/>
      <c r="L192" s="1261">
        <f>SUM(F192:K192)</f>
        <v>1500</v>
      </c>
      <c r="M192" s="1239"/>
    </row>
    <row r="193" spans="1:13" ht="18" customHeight="1" x14ac:dyDescent="0.3">
      <c r="A193" s="1175">
        <v>184</v>
      </c>
      <c r="B193" s="1186"/>
      <c r="C193" s="1197"/>
      <c r="D193" s="925" t="s">
        <v>245</v>
      </c>
      <c r="E193" s="1236"/>
      <c r="F193" s="1233"/>
      <c r="G193" s="1234"/>
      <c r="H193" s="1235"/>
      <c r="I193" s="1236"/>
      <c r="J193" s="1232"/>
      <c r="K193" s="1232"/>
      <c r="L193" s="1248">
        <f>SUM(F193:K193)</f>
        <v>0</v>
      </c>
      <c r="M193" s="1239"/>
    </row>
    <row r="194" spans="1:13" ht="18" customHeight="1" x14ac:dyDescent="0.3">
      <c r="A194" s="1175">
        <v>185</v>
      </c>
      <c r="B194" s="1186"/>
      <c r="C194" s="1197"/>
      <c r="D194" s="1246" t="s">
        <v>233</v>
      </c>
      <c r="E194" s="1249"/>
      <c r="F194" s="1250"/>
      <c r="G194" s="1251"/>
      <c r="H194" s="1252"/>
      <c r="I194" s="1249"/>
      <c r="J194" s="1247">
        <f>SUM(J192:J193)</f>
        <v>1500</v>
      </c>
      <c r="K194" s="1247"/>
      <c r="L194" s="1253">
        <f>SUM(F194:K194)</f>
        <v>1500</v>
      </c>
      <c r="M194" s="1239"/>
    </row>
    <row r="195" spans="1:13" ht="18" customHeight="1" x14ac:dyDescent="0.3">
      <c r="A195" s="1175">
        <v>186</v>
      </c>
      <c r="B195" s="1186"/>
      <c r="C195" s="1197"/>
      <c r="D195" s="919" t="s">
        <v>809</v>
      </c>
      <c r="E195" s="1236">
        <f>F195+G195+L198</f>
        <v>160</v>
      </c>
      <c r="F195" s="1233"/>
      <c r="G195" s="1234"/>
      <c r="H195" s="1235"/>
      <c r="I195" s="1236"/>
      <c r="J195" s="1232"/>
      <c r="K195" s="1232"/>
      <c r="L195" s="1258"/>
      <c r="M195" s="1239"/>
    </row>
    <row r="196" spans="1:13" ht="18" customHeight="1" x14ac:dyDescent="0.3">
      <c r="A196" s="1175">
        <v>187</v>
      </c>
      <c r="B196" s="1186"/>
      <c r="C196" s="1197"/>
      <c r="D196" s="1246" t="s">
        <v>231</v>
      </c>
      <c r="E196" s="1236"/>
      <c r="F196" s="1233"/>
      <c r="G196" s="1234"/>
      <c r="H196" s="1235"/>
      <c r="I196" s="1236"/>
      <c r="J196" s="1247">
        <v>160</v>
      </c>
      <c r="K196" s="1232"/>
      <c r="L196" s="1261">
        <f>SUM(F196:K196)</f>
        <v>160</v>
      </c>
      <c r="M196" s="1239"/>
    </row>
    <row r="197" spans="1:13" ht="18" customHeight="1" x14ac:dyDescent="0.3">
      <c r="A197" s="1175">
        <v>188</v>
      </c>
      <c r="B197" s="1186"/>
      <c r="C197" s="1197"/>
      <c r="D197" s="925" t="s">
        <v>245</v>
      </c>
      <c r="E197" s="1236"/>
      <c r="F197" s="1233"/>
      <c r="G197" s="1234"/>
      <c r="H197" s="1235"/>
      <c r="I197" s="1236"/>
      <c r="J197" s="1232"/>
      <c r="K197" s="1232"/>
      <c r="L197" s="1248">
        <f>SUM(F197:K197)</f>
        <v>0</v>
      </c>
      <c r="M197" s="1239"/>
    </row>
    <row r="198" spans="1:13" ht="18" customHeight="1" x14ac:dyDescent="0.3">
      <c r="A198" s="1175">
        <v>189</v>
      </c>
      <c r="B198" s="1186"/>
      <c r="C198" s="1197"/>
      <c r="D198" s="1246" t="s">
        <v>233</v>
      </c>
      <c r="E198" s="1249"/>
      <c r="F198" s="1250"/>
      <c r="G198" s="1251"/>
      <c r="H198" s="1252"/>
      <c r="I198" s="1249"/>
      <c r="J198" s="1247">
        <f>SUM(J196:J197)</f>
        <v>160</v>
      </c>
      <c r="K198" s="1247"/>
      <c r="L198" s="1253">
        <f>SUM(F198:K198)</f>
        <v>160</v>
      </c>
      <c r="M198" s="1239"/>
    </row>
    <row r="199" spans="1:13" ht="30.75" customHeight="1" x14ac:dyDescent="0.3">
      <c r="A199" s="1175">
        <v>190</v>
      </c>
      <c r="B199" s="1186"/>
      <c r="C199" s="1197"/>
      <c r="D199" s="919" t="s">
        <v>810</v>
      </c>
      <c r="E199" s="1236">
        <f>F199+G199+L202</f>
        <v>187</v>
      </c>
      <c r="F199" s="1250"/>
      <c r="G199" s="1251"/>
      <c r="H199" s="1252"/>
      <c r="I199" s="1249"/>
      <c r="J199" s="1247"/>
      <c r="K199" s="1247"/>
      <c r="L199" s="1258"/>
      <c r="M199" s="1239"/>
    </row>
    <row r="200" spans="1:13" ht="18" customHeight="1" x14ac:dyDescent="0.3">
      <c r="A200" s="1175">
        <v>191</v>
      </c>
      <c r="B200" s="1186"/>
      <c r="C200" s="1197"/>
      <c r="D200" s="1246" t="s">
        <v>231</v>
      </c>
      <c r="E200" s="1236"/>
      <c r="F200" s="1250"/>
      <c r="G200" s="1251"/>
      <c r="H200" s="1252"/>
      <c r="I200" s="1249"/>
      <c r="J200" s="1247">
        <v>187</v>
      </c>
      <c r="K200" s="1247"/>
      <c r="L200" s="1253">
        <f>SUM(F200:K200)</f>
        <v>187</v>
      </c>
      <c r="M200" s="1239"/>
    </row>
    <row r="201" spans="1:13" ht="18" customHeight="1" x14ac:dyDescent="0.3">
      <c r="A201" s="1175">
        <v>192</v>
      </c>
      <c r="B201" s="1186"/>
      <c r="C201" s="1197"/>
      <c r="D201" s="925" t="s">
        <v>232</v>
      </c>
      <c r="E201" s="1249"/>
      <c r="F201" s="1250"/>
      <c r="G201" s="1251"/>
      <c r="H201" s="1252"/>
      <c r="I201" s="1249"/>
      <c r="J201" s="1232"/>
      <c r="K201" s="1247"/>
      <c r="L201" s="1248">
        <f>SUM(F201:K201)</f>
        <v>0</v>
      </c>
      <c r="M201" s="1239"/>
    </row>
    <row r="202" spans="1:13" ht="18" customHeight="1" x14ac:dyDescent="0.3">
      <c r="A202" s="1175">
        <v>193</v>
      </c>
      <c r="B202" s="1186"/>
      <c r="C202" s="1197"/>
      <c r="D202" s="1246" t="s">
        <v>233</v>
      </c>
      <c r="E202" s="1249"/>
      <c r="F202" s="1250"/>
      <c r="G202" s="1251"/>
      <c r="H202" s="1252"/>
      <c r="I202" s="1249"/>
      <c r="J202" s="1247">
        <f>SUM(J200:J201)</f>
        <v>187</v>
      </c>
      <c r="K202" s="1247"/>
      <c r="L202" s="1253">
        <f>SUM(F202:K202)</f>
        <v>187</v>
      </c>
      <c r="M202" s="1239"/>
    </row>
    <row r="203" spans="1:13" ht="29.25" customHeight="1" x14ac:dyDescent="0.3">
      <c r="A203" s="1175">
        <v>194</v>
      </c>
      <c r="B203" s="1186"/>
      <c r="C203" s="1197"/>
      <c r="D203" s="919" t="s">
        <v>811</v>
      </c>
      <c r="E203" s="1236">
        <f>F203+G203+L206</f>
        <v>475</v>
      </c>
      <c r="F203" s="1250"/>
      <c r="G203" s="1251"/>
      <c r="H203" s="1252"/>
      <c r="I203" s="1249"/>
      <c r="J203" s="1247"/>
      <c r="K203" s="1247"/>
      <c r="L203" s="1258"/>
      <c r="M203" s="1239"/>
    </row>
    <row r="204" spans="1:13" ht="18" customHeight="1" x14ac:dyDescent="0.3">
      <c r="A204" s="1175">
        <v>195</v>
      </c>
      <c r="B204" s="1186"/>
      <c r="C204" s="1197"/>
      <c r="D204" s="1246" t="s">
        <v>231</v>
      </c>
      <c r="E204" s="1249"/>
      <c r="F204" s="1250"/>
      <c r="G204" s="1251"/>
      <c r="H204" s="1252"/>
      <c r="I204" s="1249"/>
      <c r="J204" s="1247">
        <v>475</v>
      </c>
      <c r="K204" s="1247"/>
      <c r="L204" s="1253">
        <f>SUM(F204:K204)</f>
        <v>475</v>
      </c>
      <c r="M204" s="1239"/>
    </row>
    <row r="205" spans="1:13" ht="18" customHeight="1" x14ac:dyDescent="0.3">
      <c r="A205" s="1175">
        <v>196</v>
      </c>
      <c r="B205" s="1186"/>
      <c r="C205" s="1197"/>
      <c r="D205" s="925" t="s">
        <v>232</v>
      </c>
      <c r="E205" s="1249"/>
      <c r="F205" s="1250"/>
      <c r="G205" s="1251"/>
      <c r="H205" s="1252"/>
      <c r="I205" s="1249"/>
      <c r="J205" s="1232"/>
      <c r="K205" s="1247"/>
      <c r="L205" s="1248">
        <f>SUM(F205:K205)</f>
        <v>0</v>
      </c>
      <c r="M205" s="1239"/>
    </row>
    <row r="206" spans="1:13" ht="18" customHeight="1" x14ac:dyDescent="0.3">
      <c r="A206" s="1175">
        <v>197</v>
      </c>
      <c r="B206" s="1186"/>
      <c r="C206" s="1197"/>
      <c r="D206" s="1246" t="s">
        <v>233</v>
      </c>
      <c r="E206" s="1249"/>
      <c r="F206" s="1250"/>
      <c r="G206" s="1251"/>
      <c r="H206" s="1252"/>
      <c r="I206" s="1249"/>
      <c r="J206" s="1247">
        <f>SUM(J204:J205)</f>
        <v>475</v>
      </c>
      <c r="K206" s="1247"/>
      <c r="L206" s="1253">
        <f>SUM(F206:K206)</f>
        <v>475</v>
      </c>
      <c r="M206" s="1239"/>
    </row>
    <row r="207" spans="1:13" ht="21.75" customHeight="1" x14ac:dyDescent="0.3">
      <c r="A207" s="1175">
        <v>198</v>
      </c>
      <c r="B207" s="1186"/>
      <c r="C207" s="1197">
        <v>41</v>
      </c>
      <c r="D207" s="1188" t="s">
        <v>812</v>
      </c>
      <c r="E207" s="1189">
        <f>F207+G207+L211+M208</f>
        <v>46390</v>
      </c>
      <c r="F207" s="1190"/>
      <c r="G207" s="1191">
        <v>459</v>
      </c>
      <c r="H207" s="1192" t="s">
        <v>296</v>
      </c>
      <c r="I207" s="1189"/>
      <c r="J207" s="1189"/>
      <c r="K207" s="1189"/>
      <c r="L207" s="1229"/>
      <c r="M207" s="1227"/>
    </row>
    <row r="208" spans="1:13" ht="18" customHeight="1" x14ac:dyDescent="0.35">
      <c r="A208" s="1175">
        <v>199</v>
      </c>
      <c r="B208" s="1186"/>
      <c r="C208" s="1197"/>
      <c r="D208" s="1198" t="s">
        <v>230</v>
      </c>
      <c r="E208" s="1199"/>
      <c r="F208" s="1200"/>
      <c r="G208" s="1201"/>
      <c r="H208" s="1202"/>
      <c r="I208" s="1203">
        <v>641</v>
      </c>
      <c r="J208" s="1204">
        <v>22290</v>
      </c>
      <c r="K208" s="1204"/>
      <c r="L208" s="1205">
        <f>SUM(I208:K208)</f>
        <v>22931</v>
      </c>
      <c r="M208" s="1227"/>
    </row>
    <row r="209" spans="1:13" ht="18" customHeight="1" x14ac:dyDescent="0.35">
      <c r="A209" s="1175">
        <v>200</v>
      </c>
      <c r="B209" s="1186"/>
      <c r="C209" s="1197"/>
      <c r="D209" s="1206" t="s">
        <v>231</v>
      </c>
      <c r="E209" s="1199"/>
      <c r="F209" s="1200"/>
      <c r="G209" s="1201"/>
      <c r="H209" s="1202"/>
      <c r="I209" s="1207">
        <v>2641</v>
      </c>
      <c r="J209" s="1208">
        <v>43290</v>
      </c>
      <c r="K209" s="1208"/>
      <c r="L209" s="1209">
        <f>SUM(I209:K209)</f>
        <v>45931</v>
      </c>
      <c r="M209" s="1227"/>
    </row>
    <row r="210" spans="1:13" ht="18" customHeight="1" x14ac:dyDescent="0.35">
      <c r="A210" s="1175">
        <v>201</v>
      </c>
      <c r="B210" s="1186"/>
      <c r="C210" s="1197"/>
      <c r="D210" s="1210" t="s">
        <v>232</v>
      </c>
      <c r="E210" s="1211"/>
      <c r="F210" s="1212"/>
      <c r="G210" s="1213"/>
      <c r="H210" s="1214"/>
      <c r="I210" s="1215"/>
      <c r="J210" s="1216"/>
      <c r="K210" s="1216"/>
      <c r="L210" s="1217">
        <f>SUM(F210:K210)</f>
        <v>0</v>
      </c>
      <c r="M210" s="1227"/>
    </row>
    <row r="211" spans="1:13" ht="18" customHeight="1" x14ac:dyDescent="0.35">
      <c r="A211" s="1175">
        <v>202</v>
      </c>
      <c r="B211" s="1186"/>
      <c r="C211" s="1197"/>
      <c r="D211" s="1206" t="s">
        <v>233</v>
      </c>
      <c r="E211" s="1218"/>
      <c r="F211" s="1219"/>
      <c r="G211" s="1220"/>
      <c r="H211" s="1221"/>
      <c r="I211" s="1207">
        <f>SUM(I209:I210)</f>
        <v>2641</v>
      </c>
      <c r="J211" s="1207">
        <f>SUM(J209:J210)</f>
        <v>43290</v>
      </c>
      <c r="K211" s="1208"/>
      <c r="L211" s="1222">
        <f>SUM(F211:K211)</f>
        <v>45931</v>
      </c>
      <c r="M211" s="1227"/>
    </row>
    <row r="212" spans="1:13" ht="21.75" customHeight="1" x14ac:dyDescent="0.3">
      <c r="A212" s="1175">
        <v>203</v>
      </c>
      <c r="B212" s="1186"/>
      <c r="C212" s="1197">
        <v>42</v>
      </c>
      <c r="D212" s="1188" t="s">
        <v>813</v>
      </c>
      <c r="E212" s="1189">
        <f>F212+G212+L216+M213</f>
        <v>10540</v>
      </c>
      <c r="F212" s="1190"/>
      <c r="G212" s="1191"/>
      <c r="H212" s="1192" t="s">
        <v>106</v>
      </c>
      <c r="I212" s="1189"/>
      <c r="J212" s="1189"/>
      <c r="K212" s="1189"/>
      <c r="L212" s="1229"/>
      <c r="M212" s="1227"/>
    </row>
    <row r="213" spans="1:13" ht="18" customHeight="1" x14ac:dyDescent="0.35">
      <c r="A213" s="1175">
        <v>204</v>
      </c>
      <c r="B213" s="1186"/>
      <c r="C213" s="1197"/>
      <c r="D213" s="1198" t="s">
        <v>230</v>
      </c>
      <c r="E213" s="1199"/>
      <c r="F213" s="1200"/>
      <c r="G213" s="1201"/>
      <c r="H213" s="1202"/>
      <c r="I213" s="1203"/>
      <c r="J213" s="1204">
        <v>10540</v>
      </c>
      <c r="K213" s="1204"/>
      <c r="L213" s="1205">
        <f>SUM(I213:K213)</f>
        <v>10540</v>
      </c>
      <c r="M213" s="1227"/>
    </row>
    <row r="214" spans="1:13" ht="18" customHeight="1" x14ac:dyDescent="0.35">
      <c r="A214" s="1175">
        <v>205</v>
      </c>
      <c r="B214" s="1186"/>
      <c r="C214" s="1197"/>
      <c r="D214" s="1206" t="s">
        <v>231</v>
      </c>
      <c r="E214" s="1199"/>
      <c r="F214" s="1200"/>
      <c r="G214" s="1201"/>
      <c r="H214" s="1202"/>
      <c r="I214" s="1207"/>
      <c r="J214" s="1208">
        <v>10540</v>
      </c>
      <c r="K214" s="1208"/>
      <c r="L214" s="1209">
        <f>SUM(I214:K214)</f>
        <v>10540</v>
      </c>
      <c r="M214" s="1227"/>
    </row>
    <row r="215" spans="1:13" ht="18" customHeight="1" x14ac:dyDescent="0.35">
      <c r="A215" s="1175">
        <v>206</v>
      </c>
      <c r="B215" s="1186"/>
      <c r="C215" s="1197"/>
      <c r="D215" s="1210" t="s">
        <v>245</v>
      </c>
      <c r="E215" s="1211"/>
      <c r="F215" s="1212"/>
      <c r="G215" s="1213"/>
      <c r="H215" s="1214"/>
      <c r="I215" s="1215"/>
      <c r="J215" s="1216"/>
      <c r="K215" s="1216"/>
      <c r="L215" s="1217">
        <f>SUM(F215:K215)</f>
        <v>0</v>
      </c>
      <c r="M215" s="1227"/>
    </row>
    <row r="216" spans="1:13" ht="18" customHeight="1" x14ac:dyDescent="0.35">
      <c r="A216" s="1175">
        <v>207</v>
      </c>
      <c r="B216" s="1186"/>
      <c r="C216" s="1197"/>
      <c r="D216" s="1206" t="s">
        <v>233</v>
      </c>
      <c r="E216" s="1218"/>
      <c r="F216" s="1219"/>
      <c r="G216" s="1220"/>
      <c r="H216" s="1221"/>
      <c r="I216" s="1207"/>
      <c r="J216" s="1208">
        <f>SUM(J214:J215)</f>
        <v>10540</v>
      </c>
      <c r="K216" s="1208"/>
      <c r="L216" s="1222">
        <f>SUM(F216:K216)</f>
        <v>10540</v>
      </c>
      <c r="M216" s="1227"/>
    </row>
    <row r="217" spans="1:13" ht="21.75" customHeight="1" x14ac:dyDescent="0.3">
      <c r="A217" s="1175">
        <v>208</v>
      </c>
      <c r="B217" s="1186"/>
      <c r="C217" s="1197">
        <v>43</v>
      </c>
      <c r="D217" s="1223" t="s">
        <v>814</v>
      </c>
      <c r="E217" s="1189">
        <f>F217+G217+L221+M218</f>
        <v>709088</v>
      </c>
      <c r="F217" s="1190"/>
      <c r="G217" s="1191">
        <v>354544</v>
      </c>
      <c r="H217" s="1192" t="s">
        <v>106</v>
      </c>
      <c r="I217" s="1189"/>
      <c r="J217" s="1189"/>
      <c r="K217" s="1189"/>
      <c r="L217" s="1229"/>
      <c r="M217" s="1227"/>
    </row>
    <row r="218" spans="1:13" ht="18" customHeight="1" x14ac:dyDescent="0.35">
      <c r="A218" s="1175">
        <v>209</v>
      </c>
      <c r="B218" s="1186"/>
      <c r="C218" s="1197"/>
      <c r="D218" s="1198" t="s">
        <v>230</v>
      </c>
      <c r="E218" s="1199"/>
      <c r="F218" s="1200"/>
      <c r="G218" s="1201"/>
      <c r="H218" s="1202"/>
      <c r="I218" s="1203"/>
      <c r="J218" s="1204"/>
      <c r="K218" s="1204">
        <v>354544</v>
      </c>
      <c r="L218" s="1205">
        <f>SUM(I218:K218)</f>
        <v>354544</v>
      </c>
      <c r="M218" s="1227"/>
    </row>
    <row r="219" spans="1:13" ht="18" customHeight="1" x14ac:dyDescent="0.35">
      <c r="A219" s="1175">
        <v>210</v>
      </c>
      <c r="B219" s="1186"/>
      <c r="C219" s="1197"/>
      <c r="D219" s="1206" t="s">
        <v>231</v>
      </c>
      <c r="E219" s="1199"/>
      <c r="F219" s="1200"/>
      <c r="G219" s="1201"/>
      <c r="H219" s="1202"/>
      <c r="I219" s="1203"/>
      <c r="J219" s="1204"/>
      <c r="K219" s="1208">
        <v>354544</v>
      </c>
      <c r="L219" s="1209">
        <f>SUM(I219:K219)</f>
        <v>354544</v>
      </c>
      <c r="M219" s="1227"/>
    </row>
    <row r="220" spans="1:13" ht="18" customHeight="1" x14ac:dyDescent="0.35">
      <c r="A220" s="1175">
        <v>211</v>
      </c>
      <c r="B220" s="1186"/>
      <c r="C220" s="1197"/>
      <c r="D220" s="1210" t="s">
        <v>245</v>
      </c>
      <c r="E220" s="1211"/>
      <c r="F220" s="1212"/>
      <c r="G220" s="1213"/>
      <c r="H220" s="1214"/>
      <c r="I220" s="1215"/>
      <c r="J220" s="1216"/>
      <c r="K220" s="1216"/>
      <c r="L220" s="1217">
        <f>SUM(F220:K220)</f>
        <v>0</v>
      </c>
      <c r="M220" s="1227"/>
    </row>
    <row r="221" spans="1:13" ht="18" customHeight="1" x14ac:dyDescent="0.35">
      <c r="A221" s="1175">
        <v>212</v>
      </c>
      <c r="B221" s="1186"/>
      <c r="C221" s="1197"/>
      <c r="D221" s="1206" t="s">
        <v>233</v>
      </c>
      <c r="E221" s="1218"/>
      <c r="F221" s="1219"/>
      <c r="G221" s="1220"/>
      <c r="H221" s="1221"/>
      <c r="I221" s="1207"/>
      <c r="J221" s="1208"/>
      <c r="K221" s="1208">
        <f>SUM(K219:K220)</f>
        <v>354544</v>
      </c>
      <c r="L221" s="1222">
        <f>SUM(F221:K221)</f>
        <v>354544</v>
      </c>
      <c r="M221" s="1227"/>
    </row>
    <row r="222" spans="1:13" ht="21.75" customHeight="1" x14ac:dyDescent="0.3">
      <c r="A222" s="1175">
        <v>213</v>
      </c>
      <c r="B222" s="1186"/>
      <c r="C222" s="1197">
        <v>44</v>
      </c>
      <c r="D222" s="1223" t="s">
        <v>815</v>
      </c>
      <c r="E222" s="1189">
        <f>F222+G222</f>
        <v>1507</v>
      </c>
      <c r="F222" s="1190">
        <f>899+383</f>
        <v>1282</v>
      </c>
      <c r="G222" s="1191">
        <v>225</v>
      </c>
      <c r="H222" s="1192" t="s">
        <v>106</v>
      </c>
      <c r="I222" s="1189"/>
      <c r="J222" s="1189"/>
      <c r="K222" s="1189"/>
      <c r="L222" s="1229"/>
      <c r="M222" s="1227"/>
    </row>
    <row r="223" spans="1:13" ht="21.75" customHeight="1" x14ac:dyDescent="0.3">
      <c r="A223" s="1175">
        <v>214</v>
      </c>
      <c r="B223" s="1186"/>
      <c r="C223" s="1197">
        <v>45</v>
      </c>
      <c r="D223" s="1223" t="s">
        <v>816</v>
      </c>
      <c r="E223" s="1189">
        <f>F223+G223+L227+M224</f>
        <v>0</v>
      </c>
      <c r="F223" s="1190"/>
      <c r="G223" s="1191"/>
      <c r="H223" s="1192" t="s">
        <v>296</v>
      </c>
      <c r="I223" s="1189"/>
      <c r="J223" s="1189"/>
      <c r="K223" s="1189"/>
      <c r="L223" s="1195"/>
      <c r="M223" s="1227"/>
    </row>
    <row r="224" spans="1:13" ht="18" customHeight="1" x14ac:dyDescent="0.35">
      <c r="A224" s="1175">
        <v>215</v>
      </c>
      <c r="B224" s="1186"/>
      <c r="C224" s="1262"/>
      <c r="D224" s="1198" t="s">
        <v>230</v>
      </c>
      <c r="E224" s="1199"/>
      <c r="F224" s="1200"/>
      <c r="G224" s="1201"/>
      <c r="H224" s="1202"/>
      <c r="I224" s="1203"/>
      <c r="J224" s="1204">
        <v>12000</v>
      </c>
      <c r="K224" s="1204"/>
      <c r="L224" s="1205">
        <f>SUM(I224:K224)</f>
        <v>12000</v>
      </c>
      <c r="M224" s="1263"/>
    </row>
    <row r="225" spans="1:13" ht="18" customHeight="1" x14ac:dyDescent="0.35">
      <c r="A225" s="1175">
        <v>216</v>
      </c>
      <c r="B225" s="1186"/>
      <c r="C225" s="1262"/>
      <c r="D225" s="1206" t="s">
        <v>231</v>
      </c>
      <c r="E225" s="1199"/>
      <c r="F225" s="1200"/>
      <c r="G225" s="1201"/>
      <c r="H225" s="1202"/>
      <c r="I225" s="1207"/>
      <c r="J225" s="1208">
        <v>0</v>
      </c>
      <c r="K225" s="1208"/>
      <c r="L225" s="1209">
        <f>SUM(I225:K225)</f>
        <v>0</v>
      </c>
      <c r="M225" s="1263"/>
    </row>
    <row r="226" spans="1:13" ht="18" customHeight="1" x14ac:dyDescent="0.35">
      <c r="A226" s="1175">
        <v>217</v>
      </c>
      <c r="B226" s="1186"/>
      <c r="C226" s="1262"/>
      <c r="D226" s="1210" t="s">
        <v>232</v>
      </c>
      <c r="E226" s="1211"/>
      <c r="F226" s="1212"/>
      <c r="G226" s="1213"/>
      <c r="H226" s="1214"/>
      <c r="I226" s="1215"/>
      <c r="J226" s="1216"/>
      <c r="K226" s="1216"/>
      <c r="L226" s="1217">
        <f>SUM(F226:K226)</f>
        <v>0</v>
      </c>
      <c r="M226" s="1263"/>
    </row>
    <row r="227" spans="1:13" ht="18" customHeight="1" x14ac:dyDescent="0.35">
      <c r="A227" s="1175">
        <v>218</v>
      </c>
      <c r="B227" s="1186"/>
      <c r="C227" s="1262"/>
      <c r="D227" s="1206" t="s">
        <v>233</v>
      </c>
      <c r="E227" s="1218"/>
      <c r="F227" s="1219"/>
      <c r="G227" s="1220"/>
      <c r="H227" s="1221"/>
      <c r="I227" s="1207"/>
      <c r="J227" s="1208">
        <f>SUM(J225:J226)</f>
        <v>0</v>
      </c>
      <c r="K227" s="1208"/>
      <c r="L227" s="1222">
        <f>SUM(F227:K227)</f>
        <v>0</v>
      </c>
      <c r="M227" s="1263"/>
    </row>
    <row r="228" spans="1:13" ht="36" customHeight="1" x14ac:dyDescent="0.3">
      <c r="A228" s="1175">
        <v>219</v>
      </c>
      <c r="B228" s="1264"/>
      <c r="C228" s="1187">
        <v>47</v>
      </c>
      <c r="D228" s="1188" t="s">
        <v>817</v>
      </c>
      <c r="E228" s="1189">
        <f>F228+G228+L232+M229</f>
        <v>783</v>
      </c>
      <c r="F228" s="1190"/>
      <c r="G228" s="1265">
        <v>527</v>
      </c>
      <c r="H228" s="1192" t="s">
        <v>296</v>
      </c>
      <c r="I228" s="1189"/>
      <c r="J228" s="1189"/>
      <c r="K228" s="1189"/>
      <c r="L228" s="1195"/>
      <c r="M228" s="1227"/>
    </row>
    <row r="229" spans="1:13" ht="18" customHeight="1" x14ac:dyDescent="0.35">
      <c r="A229" s="1175">
        <v>220</v>
      </c>
      <c r="B229" s="1264"/>
      <c r="C229" s="1197"/>
      <c r="D229" s="1198" t="s">
        <v>230</v>
      </c>
      <c r="E229" s="1199"/>
      <c r="F229" s="1200"/>
      <c r="G229" s="1201"/>
      <c r="H229" s="1202"/>
      <c r="I229" s="1203"/>
      <c r="J229" s="1204">
        <v>256</v>
      </c>
      <c r="K229" s="1204"/>
      <c r="L229" s="1205">
        <f>SUM(I229:K229)</f>
        <v>256</v>
      </c>
      <c r="M229" s="1227"/>
    </row>
    <row r="230" spans="1:13" ht="18" customHeight="1" x14ac:dyDescent="0.35">
      <c r="A230" s="1175">
        <v>221</v>
      </c>
      <c r="B230" s="1264"/>
      <c r="C230" s="1197"/>
      <c r="D230" s="1206" t="s">
        <v>231</v>
      </c>
      <c r="E230" s="1199"/>
      <c r="F230" s="1200"/>
      <c r="G230" s="1201"/>
      <c r="H230" s="1202"/>
      <c r="I230" s="1207"/>
      <c r="J230" s="1208">
        <v>256</v>
      </c>
      <c r="K230" s="1208"/>
      <c r="L230" s="1209">
        <f>SUM(I230:K230)</f>
        <v>256</v>
      </c>
      <c r="M230" s="1227"/>
    </row>
    <row r="231" spans="1:13" ht="18" customHeight="1" x14ac:dyDescent="0.35">
      <c r="A231" s="1175">
        <v>222</v>
      </c>
      <c r="B231" s="1264"/>
      <c r="C231" s="1197"/>
      <c r="D231" s="1210" t="s">
        <v>245</v>
      </c>
      <c r="E231" s="1211"/>
      <c r="F231" s="1212"/>
      <c r="G231" s="1213"/>
      <c r="H231" s="1214"/>
      <c r="I231" s="1215"/>
      <c r="J231" s="1216"/>
      <c r="K231" s="1216"/>
      <c r="L231" s="1217">
        <f>SUM(F231:K231)</f>
        <v>0</v>
      </c>
      <c r="M231" s="1227"/>
    </row>
    <row r="232" spans="1:13" ht="18" customHeight="1" x14ac:dyDescent="0.35">
      <c r="A232" s="1175">
        <v>223</v>
      </c>
      <c r="B232" s="1264"/>
      <c r="C232" s="1197"/>
      <c r="D232" s="1206" t="s">
        <v>233</v>
      </c>
      <c r="E232" s="1218"/>
      <c r="F232" s="1219"/>
      <c r="G232" s="1220"/>
      <c r="H232" s="1221"/>
      <c r="I232" s="1207"/>
      <c r="J232" s="1208">
        <f>SUM(J230:J231)</f>
        <v>256</v>
      </c>
      <c r="K232" s="1208"/>
      <c r="L232" s="1222">
        <f>SUM(F232:K232)</f>
        <v>256</v>
      </c>
      <c r="M232" s="1227"/>
    </row>
    <row r="233" spans="1:13" ht="33" customHeight="1" x14ac:dyDescent="0.3">
      <c r="A233" s="1175">
        <v>224</v>
      </c>
      <c r="B233" s="1264"/>
      <c r="C233" s="1187">
        <v>48</v>
      </c>
      <c r="D233" s="1266" t="s">
        <v>818</v>
      </c>
      <c r="E233" s="1189">
        <f>F233+G233+L237+M234</f>
        <v>38000</v>
      </c>
      <c r="F233" s="1190"/>
      <c r="G233" s="1265"/>
      <c r="H233" s="1192" t="s">
        <v>106</v>
      </c>
      <c r="I233" s="1189"/>
      <c r="J233" s="1189"/>
      <c r="K233" s="1189"/>
      <c r="L233" s="1195"/>
      <c r="M233" s="1227"/>
    </row>
    <row r="234" spans="1:13" ht="18" customHeight="1" x14ac:dyDescent="0.35">
      <c r="A234" s="1175">
        <v>225</v>
      </c>
      <c r="B234" s="1264"/>
      <c r="C234" s="1197"/>
      <c r="D234" s="1198" t="s">
        <v>230</v>
      </c>
      <c r="E234" s="1199"/>
      <c r="F234" s="1200"/>
      <c r="G234" s="1201"/>
      <c r="H234" s="1202"/>
      <c r="I234" s="1203"/>
      <c r="J234" s="1204">
        <f>15000+15000</f>
        <v>30000</v>
      </c>
      <c r="K234" s="1204"/>
      <c r="L234" s="1205">
        <f>SUM(I234:K234)</f>
        <v>30000</v>
      </c>
      <c r="M234" s="1227"/>
    </row>
    <row r="235" spans="1:13" ht="18" customHeight="1" x14ac:dyDescent="0.35">
      <c r="A235" s="1175">
        <v>226</v>
      </c>
      <c r="B235" s="1264"/>
      <c r="C235" s="1197"/>
      <c r="D235" s="1206" t="s">
        <v>231</v>
      </c>
      <c r="E235" s="1218"/>
      <c r="F235" s="1219"/>
      <c r="G235" s="1220"/>
      <c r="H235" s="1221"/>
      <c r="I235" s="1207"/>
      <c r="J235" s="1208">
        <v>38000</v>
      </c>
      <c r="K235" s="1208"/>
      <c r="L235" s="1209">
        <f>SUM(I235:K235)</f>
        <v>38000</v>
      </c>
      <c r="M235" s="1227"/>
    </row>
    <row r="236" spans="1:13" ht="18" customHeight="1" x14ac:dyDescent="0.35">
      <c r="A236" s="1175">
        <v>227</v>
      </c>
      <c r="B236" s="1264"/>
      <c r="C236" s="1197"/>
      <c r="D236" s="1210" t="s">
        <v>232</v>
      </c>
      <c r="E236" s="1211"/>
      <c r="F236" s="1212"/>
      <c r="G236" s="1213"/>
      <c r="H236" s="1214"/>
      <c r="I236" s="1215"/>
      <c r="J236" s="1216"/>
      <c r="K236" s="1216"/>
      <c r="L236" s="1217">
        <f>SUM(F236:K236)</f>
        <v>0</v>
      </c>
      <c r="M236" s="1227"/>
    </row>
    <row r="237" spans="1:13" ht="18" customHeight="1" x14ac:dyDescent="0.35">
      <c r="A237" s="1175">
        <v>228</v>
      </c>
      <c r="B237" s="1264"/>
      <c r="C237" s="1197"/>
      <c r="D237" s="1206" t="s">
        <v>233</v>
      </c>
      <c r="E237" s="1218"/>
      <c r="F237" s="1219"/>
      <c r="G237" s="1220"/>
      <c r="H237" s="1221"/>
      <c r="I237" s="1207"/>
      <c r="J237" s="1208">
        <f>SUM(J235:J236)</f>
        <v>38000</v>
      </c>
      <c r="K237" s="1208"/>
      <c r="L237" s="1222">
        <f>SUM(F237:K237)</f>
        <v>38000</v>
      </c>
      <c r="M237" s="1227"/>
    </row>
    <row r="238" spans="1:13" ht="21.75" customHeight="1" x14ac:dyDescent="0.3">
      <c r="A238" s="1175">
        <v>229</v>
      </c>
      <c r="B238" s="1264"/>
      <c r="C238" s="1197">
        <v>49</v>
      </c>
      <c r="D238" s="1266" t="s">
        <v>819</v>
      </c>
      <c r="E238" s="1189">
        <f>F238+G238+L242+M239</f>
        <v>0</v>
      </c>
      <c r="F238" s="1190"/>
      <c r="G238" s="1265"/>
      <c r="H238" s="1192" t="s">
        <v>296</v>
      </c>
      <c r="I238" s="1189"/>
      <c r="J238" s="1189"/>
      <c r="K238" s="1189"/>
      <c r="L238" s="1195"/>
      <c r="M238" s="1227"/>
    </row>
    <row r="239" spans="1:13" ht="18" customHeight="1" x14ac:dyDescent="0.35">
      <c r="A239" s="1175">
        <v>230</v>
      </c>
      <c r="B239" s="1264"/>
      <c r="C239" s="1197"/>
      <c r="D239" s="1267" t="s">
        <v>230</v>
      </c>
      <c r="E239" s="1189"/>
      <c r="F239" s="1190"/>
      <c r="G239" s="1265"/>
      <c r="H239" s="1192"/>
      <c r="I239" s="1189"/>
      <c r="J239" s="1204">
        <v>2600</v>
      </c>
      <c r="K239" s="1189"/>
      <c r="L239" s="1205">
        <f>SUM(I239:K239)</f>
        <v>2600</v>
      </c>
      <c r="M239" s="1227"/>
    </row>
    <row r="240" spans="1:13" ht="18" customHeight="1" x14ac:dyDescent="0.35">
      <c r="A240" s="1175">
        <v>231</v>
      </c>
      <c r="B240" s="1264"/>
      <c r="C240" s="1197"/>
      <c r="D240" s="1206" t="s">
        <v>231</v>
      </c>
      <c r="E240" s="1189"/>
      <c r="F240" s="1190"/>
      <c r="G240" s="1265"/>
      <c r="H240" s="1192"/>
      <c r="I240" s="1189"/>
      <c r="J240" s="1208">
        <v>0</v>
      </c>
      <c r="K240" s="1189"/>
      <c r="L240" s="1209">
        <f>SUM(I240:K240)</f>
        <v>0</v>
      </c>
      <c r="M240" s="1227"/>
    </row>
    <row r="241" spans="1:13" ht="18" customHeight="1" x14ac:dyDescent="0.35">
      <c r="A241" s="1175">
        <v>232</v>
      </c>
      <c r="B241" s="1264"/>
      <c r="C241" s="1197"/>
      <c r="D241" s="1210" t="s">
        <v>232</v>
      </c>
      <c r="E241" s="1189"/>
      <c r="F241" s="1190"/>
      <c r="G241" s="1265"/>
      <c r="H241" s="1192"/>
      <c r="I241" s="1189"/>
      <c r="J241" s="1211"/>
      <c r="K241" s="1189"/>
      <c r="L241" s="1217">
        <f>SUM(F241:K241)</f>
        <v>0</v>
      </c>
      <c r="M241" s="1227"/>
    </row>
    <row r="242" spans="1:13" ht="18" customHeight="1" x14ac:dyDescent="0.35">
      <c r="A242" s="1175">
        <v>233</v>
      </c>
      <c r="B242" s="1264"/>
      <c r="C242" s="1197"/>
      <c r="D242" s="1206" t="s">
        <v>233</v>
      </c>
      <c r="E242" s="1189"/>
      <c r="F242" s="1190"/>
      <c r="G242" s="1265"/>
      <c r="H242" s="1192"/>
      <c r="I242" s="1189"/>
      <c r="J242" s="1218">
        <f>SUM(J240:J241)</f>
        <v>0</v>
      </c>
      <c r="K242" s="1189"/>
      <c r="L242" s="1222">
        <f>SUM(F242:K242)</f>
        <v>0</v>
      </c>
      <c r="M242" s="1227"/>
    </row>
    <row r="243" spans="1:13" ht="21.75" customHeight="1" x14ac:dyDescent="0.3">
      <c r="A243" s="1175">
        <v>234</v>
      </c>
      <c r="B243" s="1264"/>
      <c r="C243" s="1197">
        <v>50</v>
      </c>
      <c r="D243" s="1266" t="s">
        <v>820</v>
      </c>
      <c r="E243" s="1189">
        <f>F243+G243+L247+M244</f>
        <v>5500</v>
      </c>
      <c r="F243" s="1190"/>
      <c r="G243" s="1265">
        <v>980</v>
      </c>
      <c r="H243" s="1192" t="s">
        <v>106</v>
      </c>
      <c r="I243" s="1189"/>
      <c r="J243" s="1189"/>
      <c r="K243" s="1189"/>
      <c r="L243" s="1195"/>
      <c r="M243" s="1227"/>
    </row>
    <row r="244" spans="1:13" ht="18" customHeight="1" x14ac:dyDescent="0.35">
      <c r="A244" s="1175">
        <v>235</v>
      </c>
      <c r="B244" s="1264"/>
      <c r="C244" s="1197"/>
      <c r="D244" s="1198" t="s">
        <v>230</v>
      </c>
      <c r="E244" s="1199"/>
      <c r="F244" s="1200"/>
      <c r="G244" s="1201"/>
      <c r="H244" s="1202"/>
      <c r="I244" s="1203"/>
      <c r="J244" s="1204">
        <f>2500+2020</f>
        <v>4520</v>
      </c>
      <c r="K244" s="1204"/>
      <c r="L244" s="1205">
        <f>SUM(I244:K244)</f>
        <v>4520</v>
      </c>
      <c r="M244" s="1227"/>
    </row>
    <row r="245" spans="1:13" ht="18" customHeight="1" x14ac:dyDescent="0.35">
      <c r="A245" s="1175">
        <v>236</v>
      </c>
      <c r="B245" s="1264"/>
      <c r="C245" s="1197"/>
      <c r="D245" s="1206" t="s">
        <v>231</v>
      </c>
      <c r="E245" s="1199"/>
      <c r="F245" s="1200"/>
      <c r="G245" s="1201"/>
      <c r="H245" s="1202"/>
      <c r="I245" s="1207"/>
      <c r="J245" s="1208">
        <v>4520</v>
      </c>
      <c r="K245" s="1208"/>
      <c r="L245" s="1209">
        <f>SUM(I245:K245)</f>
        <v>4520</v>
      </c>
      <c r="M245" s="1227"/>
    </row>
    <row r="246" spans="1:13" ht="18" customHeight="1" x14ac:dyDescent="0.35">
      <c r="A246" s="1175">
        <v>237</v>
      </c>
      <c r="B246" s="1264"/>
      <c r="C246" s="1197"/>
      <c r="D246" s="1210" t="s">
        <v>245</v>
      </c>
      <c r="E246" s="1211"/>
      <c r="F246" s="1212"/>
      <c r="G246" s="1213"/>
      <c r="H246" s="1214"/>
      <c r="I246" s="1215"/>
      <c r="J246" s="1216"/>
      <c r="K246" s="1216"/>
      <c r="L246" s="1217">
        <f>SUM(F246:K246)</f>
        <v>0</v>
      </c>
      <c r="M246" s="1227"/>
    </row>
    <row r="247" spans="1:13" ht="18" customHeight="1" x14ac:dyDescent="0.35">
      <c r="A247" s="1175">
        <v>238</v>
      </c>
      <c r="B247" s="1264"/>
      <c r="C247" s="1197"/>
      <c r="D247" s="1206" t="s">
        <v>233</v>
      </c>
      <c r="E247" s="1218"/>
      <c r="F247" s="1219"/>
      <c r="G247" s="1220"/>
      <c r="H247" s="1221"/>
      <c r="I247" s="1207"/>
      <c r="J247" s="1208">
        <f>SUM(J245:J246)</f>
        <v>4520</v>
      </c>
      <c r="K247" s="1208"/>
      <c r="L247" s="1222">
        <f>SUM(F247:K247)</f>
        <v>4520</v>
      </c>
      <c r="M247" s="1227"/>
    </row>
    <row r="248" spans="1:13" ht="37.5" customHeight="1" x14ac:dyDescent="0.3">
      <c r="A248" s="1175">
        <v>239</v>
      </c>
      <c r="B248" s="1264"/>
      <c r="C248" s="1187">
        <v>51</v>
      </c>
      <c r="D248" s="1268" t="s">
        <v>821</v>
      </c>
      <c r="E248" s="1189">
        <f>F248+G248+L252+M249</f>
        <v>72561</v>
      </c>
      <c r="F248" s="1190"/>
      <c r="G248" s="1265"/>
      <c r="H248" s="1192" t="s">
        <v>296</v>
      </c>
      <c r="I248" s="1189"/>
      <c r="J248" s="1189"/>
      <c r="K248" s="1189"/>
      <c r="L248" s="1195"/>
      <c r="M248" s="1227"/>
    </row>
    <row r="249" spans="1:13" ht="18" customHeight="1" x14ac:dyDescent="0.35">
      <c r="A249" s="1175">
        <v>240</v>
      </c>
      <c r="B249" s="1264"/>
      <c r="C249" s="1197"/>
      <c r="D249" s="1198" t="s">
        <v>230</v>
      </c>
      <c r="E249" s="1199"/>
      <c r="F249" s="1200"/>
      <c r="G249" s="1201"/>
      <c r="H249" s="1202"/>
      <c r="I249" s="1203"/>
      <c r="J249" s="1204">
        <v>72561</v>
      </c>
      <c r="K249" s="1204"/>
      <c r="L249" s="1205">
        <f>SUM(I249:K249)</f>
        <v>72561</v>
      </c>
      <c r="M249" s="1227"/>
    </row>
    <row r="250" spans="1:13" ht="18" customHeight="1" x14ac:dyDescent="0.35">
      <c r="A250" s="1175">
        <v>241</v>
      </c>
      <c r="B250" s="1264"/>
      <c r="C250" s="1197"/>
      <c r="D250" s="1206" t="s">
        <v>231</v>
      </c>
      <c r="E250" s="1199"/>
      <c r="F250" s="1200"/>
      <c r="G250" s="1201"/>
      <c r="H250" s="1202"/>
      <c r="I250" s="1207"/>
      <c r="J250" s="1208">
        <v>72561</v>
      </c>
      <c r="K250" s="1208"/>
      <c r="L250" s="1209">
        <f>SUM(I250:K250)</f>
        <v>72561</v>
      </c>
      <c r="M250" s="1227"/>
    </row>
    <row r="251" spans="1:13" ht="18" customHeight="1" x14ac:dyDescent="0.35">
      <c r="A251" s="1175">
        <v>242</v>
      </c>
      <c r="B251" s="1264"/>
      <c r="C251" s="1197"/>
      <c r="D251" s="1210" t="s">
        <v>245</v>
      </c>
      <c r="E251" s="1211"/>
      <c r="F251" s="1212"/>
      <c r="G251" s="1213"/>
      <c r="H251" s="1214"/>
      <c r="I251" s="1215"/>
      <c r="J251" s="1216"/>
      <c r="K251" s="1216"/>
      <c r="L251" s="1217">
        <f>SUM(F251:K251)</f>
        <v>0</v>
      </c>
      <c r="M251" s="1227"/>
    </row>
    <row r="252" spans="1:13" ht="18" customHeight="1" x14ac:dyDescent="0.35">
      <c r="A252" s="1175">
        <v>243</v>
      </c>
      <c r="B252" s="1264"/>
      <c r="C252" s="1197"/>
      <c r="D252" s="1206" t="s">
        <v>233</v>
      </c>
      <c r="E252" s="1218"/>
      <c r="F252" s="1219"/>
      <c r="G252" s="1220"/>
      <c r="H252" s="1221"/>
      <c r="I252" s="1207"/>
      <c r="J252" s="1208">
        <f>SUM(J250:J251)</f>
        <v>72561</v>
      </c>
      <c r="K252" s="1208"/>
      <c r="L252" s="1222">
        <f>SUM(F252:K252)</f>
        <v>72561</v>
      </c>
      <c r="M252" s="1227"/>
    </row>
    <row r="253" spans="1:13" ht="34.5" customHeight="1" x14ac:dyDescent="0.3">
      <c r="A253" s="1175">
        <v>244</v>
      </c>
      <c r="B253" s="1264"/>
      <c r="C253" s="1187">
        <v>52</v>
      </c>
      <c r="D253" s="1268" t="s">
        <v>822</v>
      </c>
      <c r="E253" s="1189">
        <f>F253+G253+L257+M254</f>
        <v>20000</v>
      </c>
      <c r="F253" s="1190"/>
      <c r="G253" s="1265"/>
      <c r="H253" s="1192" t="s">
        <v>296</v>
      </c>
      <c r="I253" s="1189"/>
      <c r="J253" s="1189"/>
      <c r="K253" s="1189"/>
      <c r="L253" s="1195"/>
      <c r="M253" s="1227"/>
    </row>
    <row r="254" spans="1:13" ht="18" customHeight="1" x14ac:dyDescent="0.35">
      <c r="A254" s="1175">
        <v>245</v>
      </c>
      <c r="B254" s="1264"/>
      <c r="C254" s="1197"/>
      <c r="D254" s="1198" t="s">
        <v>230</v>
      </c>
      <c r="E254" s="1199"/>
      <c r="F254" s="1200"/>
      <c r="G254" s="1201"/>
      <c r="H254" s="1202"/>
      <c r="I254" s="1203"/>
      <c r="J254" s="1204">
        <v>20000</v>
      </c>
      <c r="K254" s="1204"/>
      <c r="L254" s="1205">
        <f>SUM(I254:K254)</f>
        <v>20000</v>
      </c>
      <c r="M254" s="1227"/>
    </row>
    <row r="255" spans="1:13" ht="18" customHeight="1" x14ac:dyDescent="0.35">
      <c r="A255" s="1175">
        <v>246</v>
      </c>
      <c r="B255" s="1264"/>
      <c r="C255" s="1197"/>
      <c r="D255" s="1206" t="s">
        <v>231</v>
      </c>
      <c r="E255" s="1199"/>
      <c r="F255" s="1200"/>
      <c r="G255" s="1201"/>
      <c r="H255" s="1202"/>
      <c r="I255" s="1207"/>
      <c r="J255" s="1208">
        <v>20000</v>
      </c>
      <c r="K255" s="1208"/>
      <c r="L255" s="1209">
        <f>SUM(I255:K255)</f>
        <v>20000</v>
      </c>
      <c r="M255" s="1227"/>
    </row>
    <row r="256" spans="1:13" ht="18" customHeight="1" x14ac:dyDescent="0.35">
      <c r="A256" s="1175">
        <v>247</v>
      </c>
      <c r="B256" s="1264"/>
      <c r="C256" s="1197"/>
      <c r="D256" s="1210" t="s">
        <v>245</v>
      </c>
      <c r="E256" s="1211"/>
      <c r="F256" s="1212"/>
      <c r="G256" s="1213"/>
      <c r="H256" s="1214"/>
      <c r="I256" s="1215"/>
      <c r="J256" s="1216"/>
      <c r="K256" s="1216"/>
      <c r="L256" s="1217">
        <f>SUM(F256:K256)</f>
        <v>0</v>
      </c>
      <c r="M256" s="1227"/>
    </row>
    <row r="257" spans="1:13" ht="18" customHeight="1" x14ac:dyDescent="0.35">
      <c r="A257" s="1175">
        <v>248</v>
      </c>
      <c r="B257" s="1264"/>
      <c r="C257" s="1197"/>
      <c r="D257" s="1206" t="s">
        <v>233</v>
      </c>
      <c r="E257" s="1218"/>
      <c r="F257" s="1219"/>
      <c r="G257" s="1220"/>
      <c r="H257" s="1221"/>
      <c r="I257" s="1207"/>
      <c r="J257" s="1208">
        <f>SUM(J255:J256)</f>
        <v>20000</v>
      </c>
      <c r="K257" s="1208"/>
      <c r="L257" s="1222">
        <f>SUM(F257:K257)</f>
        <v>20000</v>
      </c>
      <c r="M257" s="1227"/>
    </row>
    <row r="258" spans="1:13" ht="21.75" customHeight="1" x14ac:dyDescent="0.3">
      <c r="A258" s="1175">
        <v>249</v>
      </c>
      <c r="B258" s="1264"/>
      <c r="C258" s="1197">
        <v>54</v>
      </c>
      <c r="D258" s="1268" t="s">
        <v>823</v>
      </c>
      <c r="E258" s="1189">
        <f>F258+G258+L262+M259</f>
        <v>28000</v>
      </c>
      <c r="F258" s="1190"/>
      <c r="G258" s="1265"/>
      <c r="H258" s="1192" t="s">
        <v>296</v>
      </c>
      <c r="I258" s="1189"/>
      <c r="J258" s="1189"/>
      <c r="K258" s="1189"/>
      <c r="L258" s="1195"/>
      <c r="M258" s="1227"/>
    </row>
    <row r="259" spans="1:13" ht="18" customHeight="1" x14ac:dyDescent="0.35">
      <c r="A259" s="1175">
        <v>250</v>
      </c>
      <c r="B259" s="1264"/>
      <c r="C259" s="1197"/>
      <c r="D259" s="1198" t="s">
        <v>230</v>
      </c>
      <c r="E259" s="1199"/>
      <c r="F259" s="1200"/>
      <c r="G259" s="1201"/>
      <c r="H259" s="1202"/>
      <c r="I259" s="1203"/>
      <c r="J259" s="1204">
        <v>28000</v>
      </c>
      <c r="K259" s="1204"/>
      <c r="L259" s="1205">
        <f>SUM(I259:K259)</f>
        <v>28000</v>
      </c>
      <c r="M259" s="1227"/>
    </row>
    <row r="260" spans="1:13" ht="18" customHeight="1" x14ac:dyDescent="0.35">
      <c r="A260" s="1175">
        <v>251</v>
      </c>
      <c r="B260" s="1264"/>
      <c r="C260" s="1197"/>
      <c r="D260" s="1206" t="s">
        <v>231</v>
      </c>
      <c r="E260" s="1199"/>
      <c r="F260" s="1200"/>
      <c r="G260" s="1201"/>
      <c r="H260" s="1202"/>
      <c r="I260" s="1207"/>
      <c r="J260" s="1208">
        <v>28000</v>
      </c>
      <c r="K260" s="1208"/>
      <c r="L260" s="1209">
        <f>SUM(I260:K260)</f>
        <v>28000</v>
      </c>
      <c r="M260" s="1227"/>
    </row>
    <row r="261" spans="1:13" ht="18" customHeight="1" x14ac:dyDescent="0.35">
      <c r="A261" s="1175">
        <v>252</v>
      </c>
      <c r="B261" s="1264"/>
      <c r="C261" s="1197"/>
      <c r="D261" s="1210" t="s">
        <v>245</v>
      </c>
      <c r="E261" s="1211"/>
      <c r="F261" s="1212"/>
      <c r="G261" s="1213"/>
      <c r="H261" s="1214"/>
      <c r="I261" s="1215"/>
      <c r="J261" s="1216"/>
      <c r="K261" s="1216"/>
      <c r="L261" s="1217">
        <f>SUM(F261:K261)</f>
        <v>0</v>
      </c>
      <c r="M261" s="1227"/>
    </row>
    <row r="262" spans="1:13" ht="18" customHeight="1" x14ac:dyDescent="0.35">
      <c r="A262" s="1175">
        <v>253</v>
      </c>
      <c r="B262" s="1264"/>
      <c r="C262" s="1197"/>
      <c r="D262" s="1206" t="s">
        <v>233</v>
      </c>
      <c r="E262" s="1218"/>
      <c r="F262" s="1219"/>
      <c r="G262" s="1220"/>
      <c r="H262" s="1221"/>
      <c r="I262" s="1207"/>
      <c r="J262" s="1208">
        <f>SUM(J260:J261)</f>
        <v>28000</v>
      </c>
      <c r="K262" s="1208"/>
      <c r="L262" s="1222">
        <f>SUM(F262:K262)</f>
        <v>28000</v>
      </c>
      <c r="M262" s="1227"/>
    </row>
    <row r="263" spans="1:13" ht="21.75" customHeight="1" x14ac:dyDescent="0.3">
      <c r="A263" s="1175">
        <v>254</v>
      </c>
      <c r="B263" s="1264"/>
      <c r="C263" s="1197">
        <v>57</v>
      </c>
      <c r="D263" s="1268" t="s">
        <v>24</v>
      </c>
      <c r="E263" s="1189">
        <f>F263+G263+L267+M264</f>
        <v>0</v>
      </c>
      <c r="F263" s="1190"/>
      <c r="G263" s="1265"/>
      <c r="H263" s="1192" t="s">
        <v>296</v>
      </c>
      <c r="I263" s="1189"/>
      <c r="J263" s="1189"/>
      <c r="K263" s="1189"/>
      <c r="L263" s="1195"/>
      <c r="M263" s="1227"/>
    </row>
    <row r="264" spans="1:13" ht="18" customHeight="1" x14ac:dyDescent="0.35">
      <c r="A264" s="1175">
        <v>255</v>
      </c>
      <c r="B264" s="1264"/>
      <c r="C264" s="1197"/>
      <c r="D264" s="1198" t="s">
        <v>230</v>
      </c>
      <c r="E264" s="1199"/>
      <c r="F264" s="1200"/>
      <c r="G264" s="1201"/>
      <c r="H264" s="1202"/>
      <c r="I264" s="1203">
        <v>10000</v>
      </c>
      <c r="J264" s="1204"/>
      <c r="K264" s="1204"/>
      <c r="L264" s="1205">
        <f>SUM(I264:K264)</f>
        <v>10000</v>
      </c>
      <c r="M264" s="1227"/>
    </row>
    <row r="265" spans="1:13" ht="18" customHeight="1" x14ac:dyDescent="0.35">
      <c r="A265" s="1175">
        <v>256</v>
      </c>
      <c r="B265" s="1264"/>
      <c r="C265" s="1197"/>
      <c r="D265" s="1206" t="s">
        <v>231</v>
      </c>
      <c r="E265" s="1199"/>
      <c r="F265" s="1200"/>
      <c r="G265" s="1201"/>
      <c r="H265" s="1202"/>
      <c r="I265" s="1207">
        <v>10000</v>
      </c>
      <c r="J265" s="1208"/>
      <c r="K265" s="1208"/>
      <c r="L265" s="1209">
        <f>SUM(I265:K265)</f>
        <v>10000</v>
      </c>
      <c r="M265" s="1227"/>
    </row>
    <row r="266" spans="1:13" ht="18" customHeight="1" x14ac:dyDescent="0.35">
      <c r="A266" s="1175">
        <v>257</v>
      </c>
      <c r="B266" s="1264"/>
      <c r="C266" s="1197"/>
      <c r="D266" s="1210" t="s">
        <v>287</v>
      </c>
      <c r="E266" s="1211"/>
      <c r="F266" s="1212"/>
      <c r="G266" s="1213"/>
      <c r="H266" s="1214"/>
      <c r="I266" s="1215">
        <v>-10000</v>
      </c>
      <c r="J266" s="1216"/>
      <c r="K266" s="1216"/>
      <c r="L266" s="1217">
        <f>SUM(F266:K266)</f>
        <v>-10000</v>
      </c>
      <c r="M266" s="1227"/>
    </row>
    <row r="267" spans="1:13" ht="18" customHeight="1" x14ac:dyDescent="0.35">
      <c r="A267" s="1175">
        <v>258</v>
      </c>
      <c r="B267" s="1264"/>
      <c r="C267" s="1197"/>
      <c r="D267" s="1206" t="s">
        <v>233</v>
      </c>
      <c r="E267" s="1218"/>
      <c r="F267" s="1219"/>
      <c r="G267" s="1220"/>
      <c r="H267" s="1221"/>
      <c r="I267" s="1207">
        <f>SUM(I265:I266)</f>
        <v>0</v>
      </c>
      <c r="J267" s="1208"/>
      <c r="K267" s="1208"/>
      <c r="L267" s="1222">
        <f>SUM(F267:K267)</f>
        <v>0</v>
      </c>
      <c r="M267" s="1227"/>
    </row>
    <row r="268" spans="1:13" ht="21.75" customHeight="1" x14ac:dyDescent="0.3">
      <c r="A268" s="1175">
        <v>259</v>
      </c>
      <c r="B268" s="1264"/>
      <c r="C268" s="1197">
        <v>58</v>
      </c>
      <c r="D268" s="1269" t="s">
        <v>824</v>
      </c>
      <c r="E268" s="1189">
        <f>F268+G268+L272+M269</f>
        <v>10000</v>
      </c>
      <c r="F268" s="1190"/>
      <c r="G268" s="1265"/>
      <c r="H268" s="1192" t="s">
        <v>296</v>
      </c>
      <c r="I268" s="1189"/>
      <c r="J268" s="1189"/>
      <c r="K268" s="1189"/>
      <c r="L268" s="1195"/>
      <c r="M268" s="1227"/>
    </row>
    <row r="269" spans="1:13" ht="18" customHeight="1" x14ac:dyDescent="0.35">
      <c r="A269" s="1175">
        <v>260</v>
      </c>
      <c r="B269" s="1264"/>
      <c r="C269" s="1197"/>
      <c r="D269" s="1198" t="s">
        <v>230</v>
      </c>
      <c r="E269" s="1199"/>
      <c r="F269" s="1200"/>
      <c r="G269" s="1201"/>
      <c r="H269" s="1202"/>
      <c r="I269" s="1203"/>
      <c r="J269" s="1204">
        <v>10000</v>
      </c>
      <c r="K269" s="1204"/>
      <c r="L269" s="1205">
        <f>SUM(I269:K269)</f>
        <v>10000</v>
      </c>
      <c r="M269" s="1227"/>
    </row>
    <row r="270" spans="1:13" ht="18" customHeight="1" x14ac:dyDescent="0.35">
      <c r="A270" s="1175">
        <v>261</v>
      </c>
      <c r="B270" s="1264"/>
      <c r="C270" s="1197"/>
      <c r="D270" s="1206" t="s">
        <v>231</v>
      </c>
      <c r="E270" s="1199"/>
      <c r="F270" s="1200"/>
      <c r="G270" s="1201"/>
      <c r="H270" s="1202"/>
      <c r="I270" s="1207"/>
      <c r="J270" s="1208">
        <v>10000</v>
      </c>
      <c r="K270" s="1208"/>
      <c r="L270" s="1209">
        <f>SUM(I270:K270)</f>
        <v>10000</v>
      </c>
      <c r="M270" s="1227"/>
    </row>
    <row r="271" spans="1:13" ht="18" customHeight="1" x14ac:dyDescent="0.35">
      <c r="A271" s="1175">
        <v>262</v>
      </c>
      <c r="B271" s="1264"/>
      <c r="C271" s="1197"/>
      <c r="D271" s="1210" t="s">
        <v>245</v>
      </c>
      <c r="E271" s="1211"/>
      <c r="F271" s="1212"/>
      <c r="G271" s="1213"/>
      <c r="H271" s="1214"/>
      <c r="I271" s="1215"/>
      <c r="J271" s="1216"/>
      <c r="K271" s="1216"/>
      <c r="L271" s="1217">
        <f>SUM(F271:K271)</f>
        <v>0</v>
      </c>
      <c r="M271" s="1227"/>
    </row>
    <row r="272" spans="1:13" ht="18" customHeight="1" x14ac:dyDescent="0.35">
      <c r="A272" s="1175">
        <v>263</v>
      </c>
      <c r="B272" s="1264"/>
      <c r="C272" s="1197"/>
      <c r="D272" s="1206" t="s">
        <v>233</v>
      </c>
      <c r="E272" s="1218"/>
      <c r="F272" s="1219"/>
      <c r="G272" s="1220"/>
      <c r="H272" s="1221"/>
      <c r="I272" s="1207"/>
      <c r="J272" s="1208">
        <f>SUM(J270:J271)</f>
        <v>10000</v>
      </c>
      <c r="K272" s="1208"/>
      <c r="L272" s="1222">
        <f>SUM(F272:K272)</f>
        <v>10000</v>
      </c>
      <c r="M272" s="1227"/>
    </row>
    <row r="273" spans="1:13" ht="36" customHeight="1" x14ac:dyDescent="0.3">
      <c r="A273" s="1175">
        <v>264</v>
      </c>
      <c r="B273" s="1264"/>
      <c r="C273" s="1187">
        <v>59</v>
      </c>
      <c r="D273" s="1268" t="s">
        <v>825</v>
      </c>
      <c r="E273" s="1189">
        <f>F273+G273+L277+M274</f>
        <v>92000</v>
      </c>
      <c r="F273" s="1190"/>
      <c r="G273" s="1265"/>
      <c r="H273" s="1192" t="s">
        <v>296</v>
      </c>
      <c r="I273" s="1189"/>
      <c r="J273" s="1189"/>
      <c r="K273" s="1189"/>
      <c r="L273" s="1195"/>
      <c r="M273" s="1227"/>
    </row>
    <row r="274" spans="1:13" ht="18" customHeight="1" x14ac:dyDescent="0.35">
      <c r="A274" s="1175">
        <v>265</v>
      </c>
      <c r="B274" s="1264"/>
      <c r="C274" s="1197"/>
      <c r="D274" s="1198" t="s">
        <v>230</v>
      </c>
      <c r="E274" s="1199"/>
      <c r="F274" s="1200"/>
      <c r="G274" s="1201"/>
      <c r="H274" s="1202"/>
      <c r="I274" s="1203"/>
      <c r="J274" s="1204">
        <v>54000</v>
      </c>
      <c r="K274" s="1204"/>
      <c r="L274" s="1205">
        <f>SUM(I274:K274)</f>
        <v>54000</v>
      </c>
      <c r="M274" s="1227"/>
    </row>
    <row r="275" spans="1:13" ht="18" customHeight="1" x14ac:dyDescent="0.35">
      <c r="A275" s="1175">
        <v>266</v>
      </c>
      <c r="B275" s="1264"/>
      <c r="C275" s="1197"/>
      <c r="D275" s="1206" t="s">
        <v>231</v>
      </c>
      <c r="E275" s="1199"/>
      <c r="F275" s="1200"/>
      <c r="G275" s="1201"/>
      <c r="H275" s="1202"/>
      <c r="I275" s="1207"/>
      <c r="J275" s="1208">
        <v>92000</v>
      </c>
      <c r="K275" s="1208"/>
      <c r="L275" s="1209">
        <f>SUM(I275:K275)</f>
        <v>92000</v>
      </c>
      <c r="M275" s="1227"/>
    </row>
    <row r="276" spans="1:13" ht="18" customHeight="1" x14ac:dyDescent="0.35">
      <c r="A276" s="1175">
        <v>267</v>
      </c>
      <c r="B276" s="1264"/>
      <c r="C276" s="1197"/>
      <c r="D276" s="1210" t="s">
        <v>232</v>
      </c>
      <c r="E276" s="1211"/>
      <c r="F276" s="1212"/>
      <c r="G276" s="1213"/>
      <c r="H276" s="1214"/>
      <c r="I276" s="1215"/>
      <c r="J276" s="1216"/>
      <c r="K276" s="1216"/>
      <c r="L276" s="1217">
        <f>SUM(F276:K276)</f>
        <v>0</v>
      </c>
      <c r="M276" s="1227"/>
    </row>
    <row r="277" spans="1:13" ht="18" customHeight="1" x14ac:dyDescent="0.35">
      <c r="A277" s="1175">
        <v>268</v>
      </c>
      <c r="B277" s="1264"/>
      <c r="C277" s="1197"/>
      <c r="D277" s="1206" t="s">
        <v>233</v>
      </c>
      <c r="E277" s="1218"/>
      <c r="F277" s="1219"/>
      <c r="G277" s="1220"/>
      <c r="H277" s="1221"/>
      <c r="I277" s="1207"/>
      <c r="J277" s="1208">
        <f>SUM(J275:J276)</f>
        <v>92000</v>
      </c>
      <c r="K277" s="1208"/>
      <c r="L277" s="1222">
        <f>SUM(F277:K277)</f>
        <v>92000</v>
      </c>
      <c r="M277" s="1227"/>
    </row>
    <row r="278" spans="1:13" ht="51.75" customHeight="1" x14ac:dyDescent="0.3">
      <c r="A278" s="1175">
        <v>269</v>
      </c>
      <c r="B278" s="1264"/>
      <c r="C278" s="1187">
        <v>60</v>
      </c>
      <c r="D278" s="1268" t="s">
        <v>826</v>
      </c>
      <c r="E278" s="1189">
        <f>F278+G278+L282+M279</f>
        <v>4255</v>
      </c>
      <c r="F278" s="1190"/>
      <c r="G278" s="1265"/>
      <c r="H278" s="1192" t="s">
        <v>296</v>
      </c>
      <c r="I278" s="1189"/>
      <c r="J278" s="1189"/>
      <c r="K278" s="1189"/>
      <c r="L278" s="1195"/>
      <c r="M278" s="1227"/>
    </row>
    <row r="279" spans="1:13" ht="18" customHeight="1" x14ac:dyDescent="0.35">
      <c r="A279" s="1175">
        <v>270</v>
      </c>
      <c r="B279" s="1264"/>
      <c r="C279" s="1197"/>
      <c r="D279" s="1198" t="s">
        <v>230</v>
      </c>
      <c r="E279" s="1199"/>
      <c r="F279" s="1200"/>
      <c r="G279" s="1201"/>
      <c r="H279" s="1202"/>
      <c r="I279" s="1203"/>
      <c r="J279" s="1204">
        <v>4000</v>
      </c>
      <c r="K279" s="1204"/>
      <c r="L279" s="1205">
        <f>SUM(I279:K279)</f>
        <v>4000</v>
      </c>
      <c r="M279" s="1227"/>
    </row>
    <row r="280" spans="1:13" ht="18" customHeight="1" x14ac:dyDescent="0.35">
      <c r="A280" s="1175">
        <v>271</v>
      </c>
      <c r="B280" s="1264"/>
      <c r="C280" s="1197"/>
      <c r="D280" s="1206" t="s">
        <v>231</v>
      </c>
      <c r="E280" s="1199"/>
      <c r="F280" s="1200"/>
      <c r="G280" s="1201"/>
      <c r="H280" s="1202"/>
      <c r="I280" s="1207"/>
      <c r="J280" s="1208">
        <v>4255</v>
      </c>
      <c r="K280" s="1208"/>
      <c r="L280" s="1209">
        <f>SUM(I280:K280)</f>
        <v>4255</v>
      </c>
      <c r="M280" s="1227"/>
    </row>
    <row r="281" spans="1:13" ht="18" customHeight="1" x14ac:dyDescent="0.35">
      <c r="A281" s="1175">
        <v>272</v>
      </c>
      <c r="B281" s="1264"/>
      <c r="C281" s="1197"/>
      <c r="D281" s="1210" t="s">
        <v>245</v>
      </c>
      <c r="E281" s="1211"/>
      <c r="F281" s="1212"/>
      <c r="G281" s="1213"/>
      <c r="H281" s="1214"/>
      <c r="I281" s="1215"/>
      <c r="J281" s="1216"/>
      <c r="K281" s="1216"/>
      <c r="L281" s="1217">
        <f>SUM(F281:K281)</f>
        <v>0</v>
      </c>
      <c r="M281" s="1227"/>
    </row>
    <row r="282" spans="1:13" ht="18" customHeight="1" x14ac:dyDescent="0.35">
      <c r="A282" s="1175">
        <v>273</v>
      </c>
      <c r="B282" s="1264"/>
      <c r="C282" s="1197"/>
      <c r="D282" s="1206" t="s">
        <v>233</v>
      </c>
      <c r="E282" s="1218"/>
      <c r="F282" s="1219"/>
      <c r="G282" s="1220"/>
      <c r="H282" s="1221"/>
      <c r="I282" s="1207"/>
      <c r="J282" s="1208">
        <f>SUM(J280:J281)</f>
        <v>4255</v>
      </c>
      <c r="K282" s="1208"/>
      <c r="L282" s="1222">
        <f>SUM(F282:K282)</f>
        <v>4255</v>
      </c>
      <c r="M282" s="1227"/>
    </row>
    <row r="283" spans="1:13" ht="35.25" customHeight="1" x14ac:dyDescent="0.3">
      <c r="A283" s="1175">
        <v>274</v>
      </c>
      <c r="B283" s="1264"/>
      <c r="C283" s="1187">
        <v>61</v>
      </c>
      <c r="D283" s="1268" t="s">
        <v>827</v>
      </c>
      <c r="E283" s="1189">
        <f>F283+G283+L287+M284</f>
        <v>47000</v>
      </c>
      <c r="F283" s="1190"/>
      <c r="G283" s="1265"/>
      <c r="H283" s="1192" t="s">
        <v>296</v>
      </c>
      <c r="I283" s="1189"/>
      <c r="J283" s="1189"/>
      <c r="K283" s="1189"/>
      <c r="L283" s="1195"/>
      <c r="M283" s="1227"/>
    </row>
    <row r="284" spans="1:13" ht="18" customHeight="1" x14ac:dyDescent="0.35">
      <c r="A284" s="1175">
        <v>275</v>
      </c>
      <c r="B284" s="1264"/>
      <c r="C284" s="1197"/>
      <c r="D284" s="1198" t="s">
        <v>230</v>
      </c>
      <c r="E284" s="1199"/>
      <c r="F284" s="1200"/>
      <c r="G284" s="1201"/>
      <c r="H284" s="1202"/>
      <c r="I284" s="1203"/>
      <c r="J284" s="1204">
        <v>47000</v>
      </c>
      <c r="K284" s="1204"/>
      <c r="L284" s="1205">
        <f>SUM(I284:K284)</f>
        <v>47000</v>
      </c>
      <c r="M284" s="1227"/>
    </row>
    <row r="285" spans="1:13" ht="18" customHeight="1" x14ac:dyDescent="0.35">
      <c r="A285" s="1175">
        <v>276</v>
      </c>
      <c r="B285" s="1264"/>
      <c r="C285" s="1197"/>
      <c r="D285" s="1206" t="s">
        <v>231</v>
      </c>
      <c r="E285" s="1199"/>
      <c r="F285" s="1200"/>
      <c r="G285" s="1201"/>
      <c r="H285" s="1202"/>
      <c r="I285" s="1207"/>
      <c r="J285" s="1208">
        <v>47000</v>
      </c>
      <c r="K285" s="1208"/>
      <c r="L285" s="1209">
        <f>SUM(I285:K285)</f>
        <v>47000</v>
      </c>
      <c r="M285" s="1227"/>
    </row>
    <row r="286" spans="1:13" ht="18" customHeight="1" x14ac:dyDescent="0.35">
      <c r="A286" s="1175">
        <v>277</v>
      </c>
      <c r="B286" s="1264"/>
      <c r="C286" s="1197"/>
      <c r="D286" s="1210" t="s">
        <v>245</v>
      </c>
      <c r="E286" s="1211"/>
      <c r="F286" s="1212"/>
      <c r="G286" s="1213"/>
      <c r="H286" s="1214"/>
      <c r="I286" s="1215"/>
      <c r="J286" s="1216"/>
      <c r="K286" s="1216"/>
      <c r="L286" s="1217">
        <f>SUM(F286:K286)</f>
        <v>0</v>
      </c>
      <c r="M286" s="1227"/>
    </row>
    <row r="287" spans="1:13" ht="18" customHeight="1" x14ac:dyDescent="0.35">
      <c r="A287" s="1175">
        <v>278</v>
      </c>
      <c r="B287" s="1264"/>
      <c r="C287" s="1197"/>
      <c r="D287" s="1206" t="s">
        <v>233</v>
      </c>
      <c r="E287" s="1218"/>
      <c r="F287" s="1219"/>
      <c r="G287" s="1220"/>
      <c r="H287" s="1221"/>
      <c r="I287" s="1207"/>
      <c r="J287" s="1208">
        <f>SUM(J285:J286)</f>
        <v>47000</v>
      </c>
      <c r="K287" s="1208"/>
      <c r="L287" s="1222">
        <f>SUM(F287:K287)</f>
        <v>47000</v>
      </c>
      <c r="M287" s="1227"/>
    </row>
    <row r="288" spans="1:13" ht="21.75" customHeight="1" x14ac:dyDescent="0.3">
      <c r="A288" s="1175">
        <v>279</v>
      </c>
      <c r="B288" s="1264"/>
      <c r="C288" s="1197">
        <v>65</v>
      </c>
      <c r="D288" s="1268" t="s">
        <v>828</v>
      </c>
      <c r="E288" s="1189">
        <f>F288+G288+L292+M289</f>
        <v>6600</v>
      </c>
      <c r="F288" s="1190"/>
      <c r="G288" s="1265"/>
      <c r="H288" s="1192" t="s">
        <v>296</v>
      </c>
      <c r="I288" s="1189"/>
      <c r="J288" s="1189"/>
      <c r="K288" s="1189"/>
      <c r="L288" s="1195"/>
      <c r="M288" s="1227"/>
    </row>
    <row r="289" spans="1:13" ht="18" customHeight="1" x14ac:dyDescent="0.35">
      <c r="A289" s="1175">
        <v>280</v>
      </c>
      <c r="B289" s="1264"/>
      <c r="C289" s="1197"/>
      <c r="D289" s="1198" t="s">
        <v>230</v>
      </c>
      <c r="E289" s="1199"/>
      <c r="F289" s="1200"/>
      <c r="G289" s="1201"/>
      <c r="H289" s="1202"/>
      <c r="I289" s="1203"/>
      <c r="J289" s="1204">
        <v>6600</v>
      </c>
      <c r="K289" s="1204"/>
      <c r="L289" s="1205">
        <f>SUM(I289:K289)</f>
        <v>6600</v>
      </c>
      <c r="M289" s="1227"/>
    </row>
    <row r="290" spans="1:13" ht="18" customHeight="1" x14ac:dyDescent="0.35">
      <c r="A290" s="1175">
        <v>281</v>
      </c>
      <c r="B290" s="1264"/>
      <c r="C290" s="1197"/>
      <c r="D290" s="1206" t="s">
        <v>231</v>
      </c>
      <c r="E290" s="1199"/>
      <c r="F290" s="1200"/>
      <c r="G290" s="1201"/>
      <c r="H290" s="1202"/>
      <c r="I290" s="1207"/>
      <c r="J290" s="1208">
        <v>6600</v>
      </c>
      <c r="K290" s="1208"/>
      <c r="L290" s="1209">
        <f>SUM(I290:K290)</f>
        <v>6600</v>
      </c>
      <c r="M290" s="1227"/>
    </row>
    <row r="291" spans="1:13" ht="18" customHeight="1" x14ac:dyDescent="0.35">
      <c r="A291" s="1175">
        <v>282</v>
      </c>
      <c r="B291" s="1264"/>
      <c r="C291" s="1197"/>
      <c r="D291" s="1210" t="s">
        <v>245</v>
      </c>
      <c r="E291" s="1211"/>
      <c r="F291" s="1212"/>
      <c r="G291" s="1213"/>
      <c r="H291" s="1214"/>
      <c r="I291" s="1215"/>
      <c r="J291" s="1216"/>
      <c r="K291" s="1216"/>
      <c r="L291" s="1217">
        <f>SUM(F291:K291)</f>
        <v>0</v>
      </c>
      <c r="M291" s="1227"/>
    </row>
    <row r="292" spans="1:13" ht="18" customHeight="1" x14ac:dyDescent="0.35">
      <c r="A292" s="1175">
        <v>283</v>
      </c>
      <c r="B292" s="1264"/>
      <c r="C292" s="1197"/>
      <c r="D292" s="1206" t="s">
        <v>233</v>
      </c>
      <c r="E292" s="1218"/>
      <c r="F292" s="1219"/>
      <c r="G292" s="1220"/>
      <c r="H292" s="1221"/>
      <c r="I292" s="1207"/>
      <c r="J292" s="1208">
        <f>SUM(J290:J291)</f>
        <v>6600</v>
      </c>
      <c r="K292" s="1208"/>
      <c r="L292" s="1222">
        <f>SUM(F292:K292)</f>
        <v>6600</v>
      </c>
      <c r="M292" s="1227"/>
    </row>
    <row r="293" spans="1:13" ht="55.5" customHeight="1" x14ac:dyDescent="0.3">
      <c r="A293" s="1175">
        <v>284</v>
      </c>
      <c r="B293" s="1264"/>
      <c r="C293" s="1187">
        <v>66</v>
      </c>
      <c r="D293" s="1268" t="s">
        <v>829</v>
      </c>
      <c r="E293" s="1189">
        <f>F293+G293+L297+M294</f>
        <v>30000</v>
      </c>
      <c r="F293" s="1190"/>
      <c r="G293" s="1265"/>
      <c r="H293" s="1192" t="s">
        <v>106</v>
      </c>
      <c r="I293" s="1189"/>
      <c r="J293" s="1189"/>
      <c r="K293" s="1189"/>
      <c r="L293" s="1195"/>
      <c r="M293" s="1227"/>
    </row>
    <row r="294" spans="1:13" ht="18" customHeight="1" x14ac:dyDescent="0.35">
      <c r="A294" s="1175">
        <v>285</v>
      </c>
      <c r="B294" s="1264"/>
      <c r="C294" s="1197"/>
      <c r="D294" s="1198" t="s">
        <v>230</v>
      </c>
      <c r="E294" s="1199"/>
      <c r="F294" s="1200"/>
      <c r="G294" s="1201"/>
      <c r="H294" s="1202"/>
      <c r="I294" s="1203"/>
      <c r="J294" s="1204">
        <v>30000</v>
      </c>
      <c r="K294" s="1204"/>
      <c r="L294" s="1205">
        <f>SUM(I294:K294)</f>
        <v>30000</v>
      </c>
      <c r="M294" s="1227"/>
    </row>
    <row r="295" spans="1:13" ht="18" customHeight="1" x14ac:dyDescent="0.35">
      <c r="A295" s="1175">
        <v>286</v>
      </c>
      <c r="B295" s="1264"/>
      <c r="C295" s="1197"/>
      <c r="D295" s="1206" t="s">
        <v>231</v>
      </c>
      <c r="E295" s="1199"/>
      <c r="F295" s="1200"/>
      <c r="G295" s="1201"/>
      <c r="H295" s="1202"/>
      <c r="I295" s="1207"/>
      <c r="J295" s="1208">
        <v>30000</v>
      </c>
      <c r="K295" s="1208"/>
      <c r="L295" s="1209">
        <f>SUM(I295:K295)</f>
        <v>30000</v>
      </c>
      <c r="M295" s="1227"/>
    </row>
    <row r="296" spans="1:13" ht="18" customHeight="1" x14ac:dyDescent="0.35">
      <c r="A296" s="1175">
        <v>287</v>
      </c>
      <c r="B296" s="1264"/>
      <c r="C296" s="1197"/>
      <c r="D296" s="1210" t="s">
        <v>245</v>
      </c>
      <c r="E296" s="1211"/>
      <c r="F296" s="1212"/>
      <c r="G296" s="1213"/>
      <c r="H296" s="1214"/>
      <c r="I296" s="1215"/>
      <c r="J296" s="1216"/>
      <c r="K296" s="1216"/>
      <c r="L296" s="1217">
        <f>SUM(F296:K296)</f>
        <v>0</v>
      </c>
      <c r="M296" s="1227"/>
    </row>
    <row r="297" spans="1:13" ht="18" customHeight="1" x14ac:dyDescent="0.35">
      <c r="A297" s="1175">
        <v>288</v>
      </c>
      <c r="B297" s="1264"/>
      <c r="C297" s="1197"/>
      <c r="D297" s="1206" t="s">
        <v>233</v>
      </c>
      <c r="E297" s="1218"/>
      <c r="F297" s="1219"/>
      <c r="G297" s="1220"/>
      <c r="H297" s="1221"/>
      <c r="I297" s="1207"/>
      <c r="J297" s="1208">
        <f>SUM(J295:J296)</f>
        <v>30000</v>
      </c>
      <c r="K297" s="1208"/>
      <c r="L297" s="1222">
        <f>SUM(F297:K297)</f>
        <v>30000</v>
      </c>
      <c r="M297" s="1227"/>
    </row>
    <row r="298" spans="1:13" ht="21.75" customHeight="1" x14ac:dyDescent="0.3">
      <c r="A298" s="1175">
        <v>289</v>
      </c>
      <c r="B298" s="1264"/>
      <c r="C298" s="1197">
        <v>67</v>
      </c>
      <c r="D298" s="1268" t="s">
        <v>830</v>
      </c>
      <c r="E298" s="1189">
        <f>F298+G298+L302+M299</f>
        <v>47500</v>
      </c>
      <c r="F298" s="1190"/>
      <c r="G298" s="1265"/>
      <c r="H298" s="1192" t="s">
        <v>296</v>
      </c>
      <c r="I298" s="1189"/>
      <c r="J298" s="1189"/>
      <c r="K298" s="1189"/>
      <c r="L298" s="1195"/>
      <c r="M298" s="1227"/>
    </row>
    <row r="299" spans="1:13" ht="18" customHeight="1" x14ac:dyDescent="0.35">
      <c r="A299" s="1175">
        <v>290</v>
      </c>
      <c r="B299" s="1264"/>
      <c r="C299" s="1197"/>
      <c r="D299" s="1198" t="s">
        <v>230</v>
      </c>
      <c r="E299" s="1199"/>
      <c r="F299" s="1200"/>
      <c r="G299" s="1201"/>
      <c r="H299" s="1202"/>
      <c r="I299" s="1203"/>
      <c r="J299" s="1204">
        <v>7500</v>
      </c>
      <c r="K299" s="1204"/>
      <c r="L299" s="1205">
        <f>SUM(I299:K299)</f>
        <v>7500</v>
      </c>
      <c r="M299" s="1227"/>
    </row>
    <row r="300" spans="1:13" ht="18" customHeight="1" x14ac:dyDescent="0.35">
      <c r="A300" s="1175">
        <v>291</v>
      </c>
      <c r="B300" s="1264"/>
      <c r="C300" s="1197"/>
      <c r="D300" s="1206" t="s">
        <v>231</v>
      </c>
      <c r="E300" s="1199"/>
      <c r="F300" s="1200"/>
      <c r="G300" s="1201"/>
      <c r="H300" s="1202"/>
      <c r="I300" s="1207"/>
      <c r="J300" s="1208">
        <v>47500</v>
      </c>
      <c r="K300" s="1208"/>
      <c r="L300" s="1209">
        <f>SUM(I300:K300)</f>
        <v>47500</v>
      </c>
      <c r="M300" s="1227"/>
    </row>
    <row r="301" spans="1:13" ht="18" customHeight="1" x14ac:dyDescent="0.35">
      <c r="A301" s="1175">
        <v>292</v>
      </c>
      <c r="B301" s="1264"/>
      <c r="C301" s="1197"/>
      <c r="D301" s="1210" t="s">
        <v>232</v>
      </c>
      <c r="E301" s="1211"/>
      <c r="F301" s="1212"/>
      <c r="G301" s="1213"/>
      <c r="H301" s="1214"/>
      <c r="I301" s="1215"/>
      <c r="J301" s="1216"/>
      <c r="K301" s="1216"/>
      <c r="L301" s="1217">
        <f>SUM(F301:K301)</f>
        <v>0</v>
      </c>
      <c r="M301" s="1227"/>
    </row>
    <row r="302" spans="1:13" ht="18" customHeight="1" x14ac:dyDescent="0.35">
      <c r="A302" s="1175">
        <v>293</v>
      </c>
      <c r="B302" s="1264"/>
      <c r="C302" s="1197"/>
      <c r="D302" s="1206" t="s">
        <v>233</v>
      </c>
      <c r="E302" s="1218"/>
      <c r="F302" s="1219"/>
      <c r="G302" s="1220"/>
      <c r="H302" s="1221"/>
      <c r="I302" s="1207"/>
      <c r="J302" s="1208">
        <f>SUM(J300:J301)</f>
        <v>47500</v>
      </c>
      <c r="K302" s="1208"/>
      <c r="L302" s="1222">
        <f>SUM(F302:K302)</f>
        <v>47500</v>
      </c>
      <c r="M302" s="1227"/>
    </row>
    <row r="303" spans="1:13" ht="21.75" customHeight="1" x14ac:dyDescent="0.3">
      <c r="A303" s="1175">
        <v>294</v>
      </c>
      <c r="B303" s="1264"/>
      <c r="C303" s="1197">
        <v>68</v>
      </c>
      <c r="D303" s="1268" t="s">
        <v>831</v>
      </c>
      <c r="E303" s="1189">
        <f>F303+G303+L307+M304</f>
        <v>13075</v>
      </c>
      <c r="F303" s="1190"/>
      <c r="G303" s="1265"/>
      <c r="H303" s="1192" t="s">
        <v>296</v>
      </c>
      <c r="I303" s="1189"/>
      <c r="J303" s="1189"/>
      <c r="K303" s="1189"/>
      <c r="L303" s="1195"/>
      <c r="M303" s="1227"/>
    </row>
    <row r="304" spans="1:13" ht="18" customHeight="1" x14ac:dyDescent="0.35">
      <c r="A304" s="1175">
        <v>295</v>
      </c>
      <c r="B304" s="1264"/>
      <c r="C304" s="1197"/>
      <c r="D304" s="1198" t="s">
        <v>230</v>
      </c>
      <c r="E304" s="1199"/>
      <c r="F304" s="1200"/>
      <c r="G304" s="1201"/>
      <c r="H304" s="1202"/>
      <c r="I304" s="1203">
        <v>1525</v>
      </c>
      <c r="J304" s="1204">
        <v>11550</v>
      </c>
      <c r="K304" s="1204"/>
      <c r="L304" s="1205">
        <f>SUM(I304:K304)</f>
        <v>13075</v>
      </c>
      <c r="M304" s="1227"/>
    </row>
    <row r="305" spans="1:13" ht="18" customHeight="1" x14ac:dyDescent="0.35">
      <c r="A305" s="1175">
        <v>296</v>
      </c>
      <c r="B305" s="1264"/>
      <c r="C305" s="1197"/>
      <c r="D305" s="1206" t="s">
        <v>231</v>
      </c>
      <c r="E305" s="1199"/>
      <c r="F305" s="1200"/>
      <c r="G305" s="1201"/>
      <c r="H305" s="1202"/>
      <c r="I305" s="1207">
        <v>1525</v>
      </c>
      <c r="J305" s="1208">
        <v>11550</v>
      </c>
      <c r="K305" s="1208"/>
      <c r="L305" s="1209">
        <f>SUM(I305:K305)</f>
        <v>13075</v>
      </c>
      <c r="M305" s="1227"/>
    </row>
    <row r="306" spans="1:13" ht="18" customHeight="1" x14ac:dyDescent="0.35">
      <c r="A306" s="1175">
        <v>297</v>
      </c>
      <c r="B306" s="1264"/>
      <c r="C306" s="1197"/>
      <c r="D306" s="1210" t="s">
        <v>245</v>
      </c>
      <c r="E306" s="1211"/>
      <c r="F306" s="1212"/>
      <c r="G306" s="1213"/>
      <c r="H306" s="1214"/>
      <c r="I306" s="1215"/>
      <c r="J306" s="1216"/>
      <c r="K306" s="1216"/>
      <c r="L306" s="1217">
        <f>SUM(F306:K306)</f>
        <v>0</v>
      </c>
      <c r="M306" s="1227"/>
    </row>
    <row r="307" spans="1:13" ht="18" customHeight="1" x14ac:dyDescent="0.35">
      <c r="A307" s="1175">
        <v>298</v>
      </c>
      <c r="B307" s="1264"/>
      <c r="C307" s="1197"/>
      <c r="D307" s="1206" t="s">
        <v>233</v>
      </c>
      <c r="E307" s="1218"/>
      <c r="F307" s="1219"/>
      <c r="G307" s="1220"/>
      <c r="H307" s="1221"/>
      <c r="I307" s="1207">
        <f>SUM(I305:I306)</f>
        <v>1525</v>
      </c>
      <c r="J307" s="1207">
        <f>SUM(J305:J306)</f>
        <v>11550</v>
      </c>
      <c r="K307" s="1208"/>
      <c r="L307" s="1222">
        <f>SUM(F307:K307)</f>
        <v>13075</v>
      </c>
      <c r="M307" s="1227"/>
    </row>
    <row r="308" spans="1:13" ht="21.75" customHeight="1" x14ac:dyDescent="0.3">
      <c r="A308" s="1175">
        <v>299</v>
      </c>
      <c r="B308" s="1264"/>
      <c r="C308" s="1197">
        <v>72</v>
      </c>
      <c r="D308" s="1223" t="s">
        <v>832</v>
      </c>
      <c r="E308" s="1189">
        <f>F308+G308+L312+M309</f>
        <v>11503</v>
      </c>
      <c r="F308" s="1190"/>
      <c r="G308" s="1265">
        <v>8033</v>
      </c>
      <c r="H308" s="1192" t="s">
        <v>296</v>
      </c>
      <c r="I308" s="1189"/>
      <c r="J308" s="1189"/>
      <c r="K308" s="1189"/>
      <c r="L308" s="1195"/>
      <c r="M308" s="1227"/>
    </row>
    <row r="309" spans="1:13" ht="18" customHeight="1" x14ac:dyDescent="0.35">
      <c r="A309" s="1175">
        <v>300</v>
      </c>
      <c r="B309" s="1264"/>
      <c r="C309" s="1197"/>
      <c r="D309" s="1198" t="s">
        <v>230</v>
      </c>
      <c r="E309" s="1199"/>
      <c r="F309" s="1200"/>
      <c r="G309" s="1201"/>
      <c r="H309" s="1202"/>
      <c r="I309" s="1203"/>
      <c r="J309" s="1204">
        <v>3771</v>
      </c>
      <c r="K309" s="1204"/>
      <c r="L309" s="1205">
        <f>SUM(I309:K309)</f>
        <v>3771</v>
      </c>
      <c r="M309" s="1227"/>
    </row>
    <row r="310" spans="1:13" ht="18" customHeight="1" x14ac:dyDescent="0.35">
      <c r="A310" s="1175">
        <v>301</v>
      </c>
      <c r="B310" s="1264"/>
      <c r="C310" s="1197"/>
      <c r="D310" s="1206" t="s">
        <v>231</v>
      </c>
      <c r="E310" s="1199"/>
      <c r="F310" s="1200"/>
      <c r="G310" s="1201"/>
      <c r="H310" s="1202"/>
      <c r="I310" s="1207"/>
      <c r="J310" s="1208">
        <v>3470</v>
      </c>
      <c r="K310" s="1208"/>
      <c r="L310" s="1209">
        <f>SUM(I310:K310)</f>
        <v>3470</v>
      </c>
      <c r="M310" s="1227"/>
    </row>
    <row r="311" spans="1:13" ht="18" customHeight="1" x14ac:dyDescent="0.35">
      <c r="A311" s="1175">
        <v>302</v>
      </c>
      <c r="B311" s="1264"/>
      <c r="C311" s="1197"/>
      <c r="D311" s="1210" t="s">
        <v>232</v>
      </c>
      <c r="E311" s="1211"/>
      <c r="F311" s="1212"/>
      <c r="G311" s="1213"/>
      <c r="H311" s="1214"/>
      <c r="I311" s="1215"/>
      <c r="J311" s="1216"/>
      <c r="K311" s="1216"/>
      <c r="L311" s="1217">
        <f>SUM(F311:K311)</f>
        <v>0</v>
      </c>
      <c r="M311" s="1227"/>
    </row>
    <row r="312" spans="1:13" ht="18" customHeight="1" x14ac:dyDescent="0.35">
      <c r="A312" s="1175">
        <v>303</v>
      </c>
      <c r="B312" s="1264"/>
      <c r="C312" s="1197"/>
      <c r="D312" s="1206" t="s">
        <v>233</v>
      </c>
      <c r="E312" s="1218"/>
      <c r="F312" s="1219"/>
      <c r="G312" s="1220"/>
      <c r="H312" s="1221"/>
      <c r="I312" s="1207"/>
      <c r="J312" s="1208">
        <f>SUM(J310:J311)</f>
        <v>3470</v>
      </c>
      <c r="K312" s="1208"/>
      <c r="L312" s="1222">
        <f>SUM(F312:K312)</f>
        <v>3470</v>
      </c>
      <c r="M312" s="1227"/>
    </row>
    <row r="313" spans="1:13" ht="35.25" customHeight="1" x14ac:dyDescent="0.3">
      <c r="A313" s="1175">
        <v>304</v>
      </c>
      <c r="B313" s="1264"/>
      <c r="C313" s="1187">
        <v>73</v>
      </c>
      <c r="D313" s="1223" t="s">
        <v>833</v>
      </c>
      <c r="E313" s="1189">
        <f>F313+G313+L317+M314</f>
        <v>60000</v>
      </c>
      <c r="F313" s="1190"/>
      <c r="G313" s="1265">
        <v>50000</v>
      </c>
      <c r="H313" s="1192" t="s">
        <v>296</v>
      </c>
      <c r="I313" s="1189"/>
      <c r="J313" s="1189"/>
      <c r="K313" s="1189"/>
      <c r="L313" s="1195"/>
      <c r="M313" s="1227"/>
    </row>
    <row r="314" spans="1:13" ht="18" customHeight="1" x14ac:dyDescent="0.35">
      <c r="A314" s="1175">
        <v>305</v>
      </c>
      <c r="B314" s="1264"/>
      <c r="C314" s="1197"/>
      <c r="D314" s="1198" t="s">
        <v>230</v>
      </c>
      <c r="E314" s="1199"/>
      <c r="F314" s="1200"/>
      <c r="G314" s="1201"/>
      <c r="H314" s="1202"/>
      <c r="I314" s="1203"/>
      <c r="J314" s="1204"/>
      <c r="K314" s="1204">
        <v>10000</v>
      </c>
      <c r="L314" s="1205">
        <f>SUM(I314:K314)</f>
        <v>10000</v>
      </c>
      <c r="M314" s="1227"/>
    </row>
    <row r="315" spans="1:13" ht="18" customHeight="1" x14ac:dyDescent="0.35">
      <c r="A315" s="1175">
        <v>306</v>
      </c>
      <c r="B315" s="1264"/>
      <c r="C315" s="1197"/>
      <c r="D315" s="1206" t="s">
        <v>231</v>
      </c>
      <c r="E315" s="1199"/>
      <c r="F315" s="1200"/>
      <c r="G315" s="1201"/>
      <c r="H315" s="1202"/>
      <c r="I315" s="1207"/>
      <c r="J315" s="1208"/>
      <c r="K315" s="1208">
        <v>10000</v>
      </c>
      <c r="L315" s="1209">
        <f>SUM(I315:K315)</f>
        <v>10000</v>
      </c>
      <c r="M315" s="1227"/>
    </row>
    <row r="316" spans="1:13" ht="18" customHeight="1" x14ac:dyDescent="0.35">
      <c r="A316" s="1175">
        <v>307</v>
      </c>
      <c r="B316" s="1264"/>
      <c r="C316" s="1197"/>
      <c r="D316" s="1210" t="s">
        <v>245</v>
      </c>
      <c r="E316" s="1211"/>
      <c r="F316" s="1212"/>
      <c r="G316" s="1213"/>
      <c r="H316" s="1214"/>
      <c r="I316" s="1215"/>
      <c r="J316" s="1216"/>
      <c r="K316" s="1216"/>
      <c r="L316" s="1217">
        <f>SUM(F316:K316)</f>
        <v>0</v>
      </c>
      <c r="M316" s="1227"/>
    </row>
    <row r="317" spans="1:13" ht="18" customHeight="1" x14ac:dyDescent="0.35">
      <c r="A317" s="1175">
        <v>308</v>
      </c>
      <c r="B317" s="1264"/>
      <c r="C317" s="1197"/>
      <c r="D317" s="1206" t="s">
        <v>233</v>
      </c>
      <c r="E317" s="1218"/>
      <c r="F317" s="1219"/>
      <c r="G317" s="1220"/>
      <c r="H317" s="1221"/>
      <c r="I317" s="1207"/>
      <c r="J317" s="1208"/>
      <c r="K317" s="1208">
        <f>SUM(K315:K316)</f>
        <v>10000</v>
      </c>
      <c r="L317" s="1222">
        <f>SUM(F317:K317)</f>
        <v>10000</v>
      </c>
      <c r="M317" s="1227"/>
    </row>
    <row r="318" spans="1:13" ht="34.5" customHeight="1" x14ac:dyDescent="0.3">
      <c r="A318" s="1175">
        <v>309</v>
      </c>
      <c r="B318" s="1264"/>
      <c r="C318" s="1187">
        <v>74</v>
      </c>
      <c r="D318" s="1270" t="s">
        <v>834</v>
      </c>
      <c r="E318" s="1189">
        <f>F318+G318+L322+M319</f>
        <v>0</v>
      </c>
      <c r="F318" s="1190"/>
      <c r="G318" s="1265"/>
      <c r="H318" s="1192" t="s">
        <v>296</v>
      </c>
      <c r="I318" s="1189"/>
      <c r="J318" s="1189"/>
      <c r="K318" s="1189"/>
      <c r="L318" s="1195"/>
      <c r="M318" s="1227"/>
    </row>
    <row r="319" spans="1:13" ht="18" customHeight="1" x14ac:dyDescent="0.35">
      <c r="A319" s="1175">
        <v>310</v>
      </c>
      <c r="B319" s="1264"/>
      <c r="C319" s="1197"/>
      <c r="D319" s="1198" t="s">
        <v>230</v>
      </c>
      <c r="E319" s="1199"/>
      <c r="F319" s="1200"/>
      <c r="G319" s="1201"/>
      <c r="H319" s="1202"/>
      <c r="I319" s="1203"/>
      <c r="J319" s="1204">
        <v>8000</v>
      </c>
      <c r="K319" s="1204"/>
      <c r="L319" s="1205">
        <f>SUM(I319:K319)</f>
        <v>8000</v>
      </c>
      <c r="M319" s="1227"/>
    </row>
    <row r="320" spans="1:13" ht="18" customHeight="1" x14ac:dyDescent="0.35">
      <c r="A320" s="1175">
        <v>311</v>
      </c>
      <c r="B320" s="1264"/>
      <c r="C320" s="1197"/>
      <c r="D320" s="1206" t="s">
        <v>231</v>
      </c>
      <c r="E320" s="1199"/>
      <c r="F320" s="1200"/>
      <c r="G320" s="1201"/>
      <c r="H320" s="1202"/>
      <c r="I320" s="1207"/>
      <c r="J320" s="1208">
        <v>0</v>
      </c>
      <c r="K320" s="1208"/>
      <c r="L320" s="1209">
        <f>SUM(I320:K320)</f>
        <v>0</v>
      </c>
      <c r="M320" s="1227"/>
    </row>
    <row r="321" spans="1:13" ht="18" customHeight="1" x14ac:dyDescent="0.35">
      <c r="A321" s="1175">
        <v>312</v>
      </c>
      <c r="B321" s="1264"/>
      <c r="C321" s="1197"/>
      <c r="D321" s="1210" t="s">
        <v>232</v>
      </c>
      <c r="E321" s="1211"/>
      <c r="F321" s="1212"/>
      <c r="G321" s="1213"/>
      <c r="H321" s="1214"/>
      <c r="I321" s="1215"/>
      <c r="J321" s="1216"/>
      <c r="K321" s="1216"/>
      <c r="L321" s="1217">
        <f>SUM(F321:K321)</f>
        <v>0</v>
      </c>
      <c r="M321" s="1227"/>
    </row>
    <row r="322" spans="1:13" ht="18" customHeight="1" x14ac:dyDescent="0.35">
      <c r="A322" s="1175">
        <v>313</v>
      </c>
      <c r="B322" s="1264"/>
      <c r="C322" s="1197"/>
      <c r="D322" s="1206" t="s">
        <v>233</v>
      </c>
      <c r="E322" s="1218"/>
      <c r="F322" s="1219"/>
      <c r="G322" s="1220"/>
      <c r="H322" s="1221"/>
      <c r="I322" s="1207"/>
      <c r="J322" s="1208">
        <f>SUM(J320:J321)</f>
        <v>0</v>
      </c>
      <c r="K322" s="1208"/>
      <c r="L322" s="1222">
        <f>SUM(F322:K322)</f>
        <v>0</v>
      </c>
      <c r="M322" s="1227"/>
    </row>
    <row r="323" spans="1:13" ht="36" customHeight="1" x14ac:dyDescent="0.3">
      <c r="A323" s="1175">
        <v>314</v>
      </c>
      <c r="B323" s="1264"/>
      <c r="C323" s="1187">
        <v>75</v>
      </c>
      <c r="D323" s="1268" t="s">
        <v>835</v>
      </c>
      <c r="E323" s="1189">
        <f>F323+G323+L327+M324</f>
        <v>12700</v>
      </c>
      <c r="F323" s="1190"/>
      <c r="G323" s="1265"/>
      <c r="H323" s="1192" t="s">
        <v>106</v>
      </c>
      <c r="I323" s="1189"/>
      <c r="J323" s="1189"/>
      <c r="K323" s="1189"/>
      <c r="L323" s="1195"/>
      <c r="M323" s="1227"/>
    </row>
    <row r="324" spans="1:13" ht="18" customHeight="1" x14ac:dyDescent="0.35">
      <c r="A324" s="1175">
        <v>315</v>
      </c>
      <c r="B324" s="1264"/>
      <c r="C324" s="1197"/>
      <c r="D324" s="1198" t="s">
        <v>230</v>
      </c>
      <c r="E324" s="1199"/>
      <c r="F324" s="1200"/>
      <c r="G324" s="1201"/>
      <c r="H324" s="1202"/>
      <c r="I324" s="1203"/>
      <c r="J324" s="1204">
        <v>12700</v>
      </c>
      <c r="K324" s="1204"/>
      <c r="L324" s="1205">
        <f>SUM(I324:K324)</f>
        <v>12700</v>
      </c>
      <c r="M324" s="1227"/>
    </row>
    <row r="325" spans="1:13" ht="18" customHeight="1" x14ac:dyDescent="0.35">
      <c r="A325" s="1175">
        <v>316</v>
      </c>
      <c r="B325" s="1264"/>
      <c r="C325" s="1197"/>
      <c r="D325" s="1206" t="s">
        <v>231</v>
      </c>
      <c r="E325" s="1199"/>
      <c r="F325" s="1200"/>
      <c r="G325" s="1201"/>
      <c r="H325" s="1202"/>
      <c r="I325" s="1207"/>
      <c r="J325" s="1208">
        <v>12700</v>
      </c>
      <c r="K325" s="1208"/>
      <c r="L325" s="1209">
        <f>SUM(I325:K325)</f>
        <v>12700</v>
      </c>
      <c r="M325" s="1227"/>
    </row>
    <row r="326" spans="1:13" ht="18" customHeight="1" x14ac:dyDescent="0.35">
      <c r="A326" s="1175">
        <v>317</v>
      </c>
      <c r="B326" s="1264"/>
      <c r="C326" s="1197"/>
      <c r="D326" s="1210" t="s">
        <v>245</v>
      </c>
      <c r="E326" s="1211"/>
      <c r="F326" s="1212"/>
      <c r="G326" s="1213"/>
      <c r="H326" s="1214"/>
      <c r="I326" s="1215"/>
      <c r="J326" s="1216"/>
      <c r="K326" s="1216"/>
      <c r="L326" s="1217">
        <f>SUM(F326:K326)</f>
        <v>0</v>
      </c>
      <c r="M326" s="1227"/>
    </row>
    <row r="327" spans="1:13" ht="18" customHeight="1" x14ac:dyDescent="0.35">
      <c r="A327" s="1175">
        <v>318</v>
      </c>
      <c r="B327" s="1264"/>
      <c r="C327" s="1197"/>
      <c r="D327" s="1206" t="s">
        <v>233</v>
      </c>
      <c r="E327" s="1218"/>
      <c r="F327" s="1219"/>
      <c r="G327" s="1220"/>
      <c r="H327" s="1221"/>
      <c r="I327" s="1207"/>
      <c r="J327" s="1208">
        <f>SUM(J325:J326)</f>
        <v>12700</v>
      </c>
      <c r="K327" s="1208"/>
      <c r="L327" s="1222">
        <f>SUM(F327:K327)</f>
        <v>12700</v>
      </c>
      <c r="M327" s="1227"/>
    </row>
    <row r="328" spans="1:13" ht="21.75" customHeight="1" x14ac:dyDescent="0.3">
      <c r="A328" s="1175">
        <v>319</v>
      </c>
      <c r="B328" s="1264"/>
      <c r="C328" s="1197">
        <v>78</v>
      </c>
      <c r="D328" s="1268" t="s">
        <v>836</v>
      </c>
      <c r="E328" s="1189">
        <f>F328+G328+L332+M329</f>
        <v>2812</v>
      </c>
      <c r="F328" s="1190"/>
      <c r="G328" s="1265"/>
      <c r="H328" s="1192" t="s">
        <v>296</v>
      </c>
      <c r="I328" s="1189"/>
      <c r="J328" s="1189"/>
      <c r="K328" s="1189"/>
      <c r="L328" s="1195"/>
      <c r="M328" s="1227"/>
    </row>
    <row r="329" spans="1:13" ht="18" customHeight="1" x14ac:dyDescent="0.35">
      <c r="A329" s="1175">
        <v>320</v>
      </c>
      <c r="B329" s="1264"/>
      <c r="C329" s="1197"/>
      <c r="D329" s="1198" t="s">
        <v>230</v>
      </c>
      <c r="E329" s="1199"/>
      <c r="F329" s="1200"/>
      <c r="G329" s="1201"/>
      <c r="H329" s="1202"/>
      <c r="I329" s="1203">
        <v>2500</v>
      </c>
      <c r="J329" s="1204"/>
      <c r="K329" s="1204"/>
      <c r="L329" s="1205">
        <f>SUM(I329:K329)</f>
        <v>2500</v>
      </c>
      <c r="M329" s="1227"/>
    </row>
    <row r="330" spans="1:13" ht="18" customHeight="1" x14ac:dyDescent="0.35">
      <c r="A330" s="1175">
        <v>321</v>
      </c>
      <c r="B330" s="1264"/>
      <c r="C330" s="1197"/>
      <c r="D330" s="1206" t="s">
        <v>231</v>
      </c>
      <c r="E330" s="1199"/>
      <c r="F330" s="1200"/>
      <c r="G330" s="1201"/>
      <c r="H330" s="1202"/>
      <c r="I330" s="1207">
        <v>2812</v>
      </c>
      <c r="J330" s="1208"/>
      <c r="K330" s="1208"/>
      <c r="L330" s="1209">
        <f>SUM(I330:K330)</f>
        <v>2812</v>
      </c>
      <c r="M330" s="1227"/>
    </row>
    <row r="331" spans="1:13" ht="18" customHeight="1" x14ac:dyDescent="0.35">
      <c r="A331" s="1175">
        <v>322</v>
      </c>
      <c r="B331" s="1264"/>
      <c r="C331" s="1197"/>
      <c r="D331" s="1210" t="s">
        <v>232</v>
      </c>
      <c r="E331" s="1211"/>
      <c r="F331" s="1212"/>
      <c r="G331" s="1213"/>
      <c r="H331" s="1214"/>
      <c r="I331" s="1215"/>
      <c r="J331" s="1216"/>
      <c r="K331" s="1216"/>
      <c r="L331" s="1217">
        <f>SUM(F331:K331)</f>
        <v>0</v>
      </c>
      <c r="M331" s="1227"/>
    </row>
    <row r="332" spans="1:13" ht="18" customHeight="1" x14ac:dyDescent="0.35">
      <c r="A332" s="1175">
        <v>323</v>
      </c>
      <c r="B332" s="1264"/>
      <c r="C332" s="1197"/>
      <c r="D332" s="1206" t="s">
        <v>233</v>
      </c>
      <c r="E332" s="1218"/>
      <c r="F332" s="1219"/>
      <c r="G332" s="1220"/>
      <c r="H332" s="1221"/>
      <c r="I332" s="1207">
        <f>SUM(I330:I331)</f>
        <v>2812</v>
      </c>
      <c r="J332" s="1208"/>
      <c r="K332" s="1208"/>
      <c r="L332" s="1222">
        <f>SUM(F332:K332)</f>
        <v>2812</v>
      </c>
      <c r="M332" s="1227"/>
    </row>
    <row r="333" spans="1:13" ht="21.75" customHeight="1" x14ac:dyDescent="0.3">
      <c r="A333" s="1175">
        <v>324</v>
      </c>
      <c r="B333" s="1264"/>
      <c r="C333" s="1197">
        <v>82</v>
      </c>
      <c r="D333" s="1268" t="s">
        <v>33</v>
      </c>
      <c r="E333" s="1189">
        <f>F333+G333+L337+M334</f>
        <v>8200</v>
      </c>
      <c r="F333" s="1190"/>
      <c r="G333" s="1265"/>
      <c r="H333" s="1192" t="s">
        <v>296</v>
      </c>
      <c r="I333" s="1189"/>
      <c r="J333" s="1189"/>
      <c r="K333" s="1189"/>
      <c r="L333" s="1195"/>
      <c r="M333" s="1227"/>
    </row>
    <row r="334" spans="1:13" ht="18" customHeight="1" x14ac:dyDescent="0.35">
      <c r="A334" s="1175">
        <v>325</v>
      </c>
      <c r="B334" s="1264"/>
      <c r="C334" s="1197"/>
      <c r="D334" s="1198" t="s">
        <v>230</v>
      </c>
      <c r="E334" s="1199"/>
      <c r="F334" s="1200"/>
      <c r="G334" s="1201"/>
      <c r="H334" s="1202"/>
      <c r="I334" s="1203"/>
      <c r="J334" s="1204">
        <v>6000</v>
      </c>
      <c r="K334" s="1204"/>
      <c r="L334" s="1205">
        <f>SUM(I334:K334)</f>
        <v>6000</v>
      </c>
      <c r="M334" s="1227"/>
    </row>
    <row r="335" spans="1:13" ht="18" customHeight="1" x14ac:dyDescent="0.35">
      <c r="A335" s="1175">
        <v>326</v>
      </c>
      <c r="B335" s="1264"/>
      <c r="C335" s="1197"/>
      <c r="D335" s="1206" t="s">
        <v>231</v>
      </c>
      <c r="E335" s="1199"/>
      <c r="F335" s="1200"/>
      <c r="G335" s="1201"/>
      <c r="H335" s="1202"/>
      <c r="I335" s="1207"/>
      <c r="J335" s="1208">
        <v>7500</v>
      </c>
      <c r="K335" s="1208"/>
      <c r="L335" s="1209">
        <f>SUM(I335:K335)</f>
        <v>7500</v>
      </c>
      <c r="M335" s="1227"/>
    </row>
    <row r="336" spans="1:13" ht="18" customHeight="1" x14ac:dyDescent="0.35">
      <c r="A336" s="1175">
        <v>327</v>
      </c>
      <c r="B336" s="1264"/>
      <c r="C336" s="1197"/>
      <c r="D336" s="1210" t="s">
        <v>287</v>
      </c>
      <c r="E336" s="1211"/>
      <c r="F336" s="1212"/>
      <c r="G336" s="1213"/>
      <c r="H336" s="1214"/>
      <c r="I336" s="1215"/>
      <c r="J336" s="1216">
        <v>700</v>
      </c>
      <c r="K336" s="1216"/>
      <c r="L336" s="1217">
        <f>SUM(F336:K336)</f>
        <v>700</v>
      </c>
      <c r="M336" s="1227"/>
    </row>
    <row r="337" spans="1:13" ht="18" customHeight="1" x14ac:dyDescent="0.35">
      <c r="A337" s="1175">
        <v>328</v>
      </c>
      <c r="B337" s="1264"/>
      <c r="C337" s="1197"/>
      <c r="D337" s="1206" t="s">
        <v>233</v>
      </c>
      <c r="E337" s="1218"/>
      <c r="F337" s="1219"/>
      <c r="G337" s="1220"/>
      <c r="H337" s="1221"/>
      <c r="I337" s="1207"/>
      <c r="J337" s="1208">
        <f>SUM(J335:J336)</f>
        <v>8200</v>
      </c>
      <c r="K337" s="1208"/>
      <c r="L337" s="1222">
        <f>SUM(F337:K337)</f>
        <v>8200</v>
      </c>
      <c r="M337" s="1227"/>
    </row>
    <row r="338" spans="1:13" ht="34.5" customHeight="1" x14ac:dyDescent="0.3">
      <c r="A338" s="1175">
        <v>329</v>
      </c>
      <c r="B338" s="1264"/>
      <c r="C338" s="1187">
        <v>83</v>
      </c>
      <c r="D338" s="1268" t="s">
        <v>837</v>
      </c>
      <c r="E338" s="1189">
        <f>F338+G338+L342+M339</f>
        <v>2000</v>
      </c>
      <c r="F338" s="1190"/>
      <c r="G338" s="1265"/>
      <c r="H338" s="1192" t="s">
        <v>296</v>
      </c>
      <c r="I338" s="1189"/>
      <c r="J338" s="1189"/>
      <c r="K338" s="1189"/>
      <c r="L338" s="1195"/>
      <c r="M338" s="1227"/>
    </row>
    <row r="339" spans="1:13" ht="18" customHeight="1" x14ac:dyDescent="0.35">
      <c r="A339" s="1175">
        <v>330</v>
      </c>
      <c r="B339" s="1264"/>
      <c r="C339" s="1197"/>
      <c r="D339" s="1198" t="s">
        <v>230</v>
      </c>
      <c r="E339" s="1199"/>
      <c r="F339" s="1200"/>
      <c r="G339" s="1201"/>
      <c r="H339" s="1202"/>
      <c r="I339" s="1203"/>
      <c r="J339" s="1204">
        <v>2000</v>
      </c>
      <c r="K339" s="1204"/>
      <c r="L339" s="1205">
        <f>SUM(I339:K339)</f>
        <v>2000</v>
      </c>
      <c r="M339" s="1227"/>
    </row>
    <row r="340" spans="1:13" ht="18" customHeight="1" x14ac:dyDescent="0.35">
      <c r="A340" s="1175">
        <v>331</v>
      </c>
      <c r="B340" s="1264"/>
      <c r="C340" s="1197"/>
      <c r="D340" s="1206" t="s">
        <v>231</v>
      </c>
      <c r="E340" s="1199"/>
      <c r="F340" s="1200"/>
      <c r="G340" s="1201"/>
      <c r="H340" s="1202"/>
      <c r="I340" s="1207"/>
      <c r="J340" s="1208">
        <v>2000</v>
      </c>
      <c r="K340" s="1208"/>
      <c r="L340" s="1209">
        <f>SUM(I340:K340)</f>
        <v>2000</v>
      </c>
      <c r="M340" s="1227"/>
    </row>
    <row r="341" spans="1:13" ht="18" customHeight="1" x14ac:dyDescent="0.35">
      <c r="A341" s="1175">
        <v>332</v>
      </c>
      <c r="B341" s="1264"/>
      <c r="C341" s="1197"/>
      <c r="D341" s="1210" t="s">
        <v>245</v>
      </c>
      <c r="E341" s="1211"/>
      <c r="F341" s="1212"/>
      <c r="G341" s="1213"/>
      <c r="H341" s="1214"/>
      <c r="I341" s="1215"/>
      <c r="J341" s="1216"/>
      <c r="K341" s="1216"/>
      <c r="L341" s="1217">
        <f>SUM(F341:K341)</f>
        <v>0</v>
      </c>
      <c r="M341" s="1227"/>
    </row>
    <row r="342" spans="1:13" ht="18" customHeight="1" x14ac:dyDescent="0.35">
      <c r="A342" s="1175">
        <v>333</v>
      </c>
      <c r="B342" s="1264"/>
      <c r="C342" s="1197"/>
      <c r="D342" s="1206" t="s">
        <v>233</v>
      </c>
      <c r="E342" s="1218"/>
      <c r="F342" s="1219"/>
      <c r="G342" s="1220"/>
      <c r="H342" s="1221"/>
      <c r="I342" s="1207"/>
      <c r="J342" s="1208">
        <f>SUM(J340:J341)</f>
        <v>2000</v>
      </c>
      <c r="K342" s="1208"/>
      <c r="L342" s="1222">
        <f>SUM(F342:K342)</f>
        <v>2000</v>
      </c>
      <c r="M342" s="1227"/>
    </row>
    <row r="343" spans="1:13" ht="21.75" customHeight="1" x14ac:dyDescent="0.3">
      <c r="A343" s="1175">
        <v>334</v>
      </c>
      <c r="B343" s="1264"/>
      <c r="C343" s="1197">
        <v>84</v>
      </c>
      <c r="D343" s="1268" t="s">
        <v>838</v>
      </c>
      <c r="E343" s="1189">
        <f>F343+G343+L347+M344</f>
        <v>3000</v>
      </c>
      <c r="F343" s="1190"/>
      <c r="G343" s="1265"/>
      <c r="H343" s="1192" t="s">
        <v>296</v>
      </c>
      <c r="I343" s="1189"/>
      <c r="J343" s="1189"/>
      <c r="K343" s="1189"/>
      <c r="L343" s="1195"/>
      <c r="M343" s="1227"/>
    </row>
    <row r="344" spans="1:13" ht="18" customHeight="1" x14ac:dyDescent="0.35">
      <c r="A344" s="1175">
        <v>335</v>
      </c>
      <c r="B344" s="1264"/>
      <c r="C344" s="1197"/>
      <c r="D344" s="1198" t="s">
        <v>230</v>
      </c>
      <c r="E344" s="1199"/>
      <c r="F344" s="1200"/>
      <c r="G344" s="1201"/>
      <c r="H344" s="1202"/>
      <c r="I344" s="1203"/>
      <c r="J344" s="1204">
        <v>3000</v>
      </c>
      <c r="K344" s="1204"/>
      <c r="L344" s="1205">
        <f>SUM(I344:K344)</f>
        <v>3000</v>
      </c>
      <c r="M344" s="1227"/>
    </row>
    <row r="345" spans="1:13" ht="18" customHeight="1" x14ac:dyDescent="0.35">
      <c r="A345" s="1175">
        <v>336</v>
      </c>
      <c r="B345" s="1264"/>
      <c r="C345" s="1197"/>
      <c r="D345" s="1206" t="s">
        <v>231</v>
      </c>
      <c r="E345" s="1199"/>
      <c r="F345" s="1200"/>
      <c r="G345" s="1201"/>
      <c r="H345" s="1202"/>
      <c r="I345" s="1207"/>
      <c r="J345" s="1208">
        <v>3000</v>
      </c>
      <c r="K345" s="1208"/>
      <c r="L345" s="1209">
        <f>SUM(I345:K345)</f>
        <v>3000</v>
      </c>
      <c r="M345" s="1227"/>
    </row>
    <row r="346" spans="1:13" ht="18" customHeight="1" x14ac:dyDescent="0.35">
      <c r="A346" s="1175">
        <v>337</v>
      </c>
      <c r="B346" s="1264"/>
      <c r="C346" s="1197"/>
      <c r="D346" s="1210" t="s">
        <v>245</v>
      </c>
      <c r="E346" s="1211"/>
      <c r="F346" s="1212"/>
      <c r="G346" s="1213"/>
      <c r="H346" s="1214"/>
      <c r="I346" s="1215"/>
      <c r="J346" s="1216"/>
      <c r="K346" s="1216"/>
      <c r="L346" s="1217">
        <f>SUM(F346:K346)</f>
        <v>0</v>
      </c>
      <c r="M346" s="1227"/>
    </row>
    <row r="347" spans="1:13" ht="18" customHeight="1" x14ac:dyDescent="0.35">
      <c r="A347" s="1175">
        <v>338</v>
      </c>
      <c r="B347" s="1264"/>
      <c r="C347" s="1197"/>
      <c r="D347" s="1206" t="s">
        <v>233</v>
      </c>
      <c r="E347" s="1218"/>
      <c r="F347" s="1219"/>
      <c r="G347" s="1220"/>
      <c r="H347" s="1221"/>
      <c r="I347" s="1207"/>
      <c r="J347" s="1208">
        <f>SUM(J345:J346)</f>
        <v>3000</v>
      </c>
      <c r="K347" s="1208"/>
      <c r="L347" s="1222">
        <f>SUM(F347:K347)</f>
        <v>3000</v>
      </c>
      <c r="M347" s="1227"/>
    </row>
    <row r="348" spans="1:13" ht="21.75" customHeight="1" x14ac:dyDescent="0.3">
      <c r="A348" s="1175">
        <v>339</v>
      </c>
      <c r="B348" s="1264"/>
      <c r="C348" s="1197">
        <v>88</v>
      </c>
      <c r="D348" s="1268" t="s">
        <v>839</v>
      </c>
      <c r="E348" s="1189">
        <f>F348+G348+L352+M349</f>
        <v>4700</v>
      </c>
      <c r="F348" s="1190"/>
      <c r="G348" s="1265"/>
      <c r="H348" s="1192" t="s">
        <v>296</v>
      </c>
      <c r="I348" s="1189"/>
      <c r="J348" s="1189"/>
      <c r="K348" s="1189"/>
      <c r="L348" s="1195"/>
      <c r="M348" s="1227"/>
    </row>
    <row r="349" spans="1:13" ht="18" customHeight="1" x14ac:dyDescent="0.35">
      <c r="A349" s="1175">
        <v>340</v>
      </c>
      <c r="B349" s="1264"/>
      <c r="C349" s="1197"/>
      <c r="D349" s="1198" t="s">
        <v>230</v>
      </c>
      <c r="E349" s="1199"/>
      <c r="F349" s="1200"/>
      <c r="G349" s="1201"/>
      <c r="H349" s="1202"/>
      <c r="I349" s="1203">
        <v>700</v>
      </c>
      <c r="J349" s="1204">
        <v>4000</v>
      </c>
      <c r="K349" s="1204"/>
      <c r="L349" s="1205">
        <f>SUM(I349:K349)</f>
        <v>4700</v>
      </c>
      <c r="M349" s="1227"/>
    </row>
    <row r="350" spans="1:13" ht="18" customHeight="1" x14ac:dyDescent="0.35">
      <c r="A350" s="1175">
        <v>341</v>
      </c>
      <c r="B350" s="1264"/>
      <c r="C350" s="1197"/>
      <c r="D350" s="1206" t="s">
        <v>231</v>
      </c>
      <c r="E350" s="1199"/>
      <c r="F350" s="1200"/>
      <c r="G350" s="1201"/>
      <c r="H350" s="1202"/>
      <c r="I350" s="1207">
        <v>700</v>
      </c>
      <c r="J350" s="1208">
        <v>4000</v>
      </c>
      <c r="K350" s="1208"/>
      <c r="L350" s="1209">
        <f>SUM(I350:K350)</f>
        <v>4700</v>
      </c>
      <c r="M350" s="1227"/>
    </row>
    <row r="351" spans="1:13" ht="18" customHeight="1" x14ac:dyDescent="0.35">
      <c r="A351" s="1175">
        <v>342</v>
      </c>
      <c r="B351" s="1264"/>
      <c r="C351" s="1197"/>
      <c r="D351" s="1210" t="s">
        <v>245</v>
      </c>
      <c r="E351" s="1211"/>
      <c r="F351" s="1212"/>
      <c r="G351" s="1213"/>
      <c r="H351" s="1214"/>
      <c r="I351" s="1215"/>
      <c r="J351" s="1216"/>
      <c r="K351" s="1216"/>
      <c r="L351" s="1217">
        <f>SUM(F351:K351)</f>
        <v>0</v>
      </c>
      <c r="M351" s="1227"/>
    </row>
    <row r="352" spans="1:13" ht="18" customHeight="1" x14ac:dyDescent="0.35">
      <c r="A352" s="1175">
        <v>343</v>
      </c>
      <c r="B352" s="1264"/>
      <c r="C352" s="1197"/>
      <c r="D352" s="1206" t="s">
        <v>233</v>
      </c>
      <c r="E352" s="1218"/>
      <c r="F352" s="1219"/>
      <c r="G352" s="1220"/>
      <c r="H352" s="1221"/>
      <c r="I352" s="1207">
        <f>SUM(I350:I351)</f>
        <v>700</v>
      </c>
      <c r="J352" s="1207">
        <f>SUM(J350:J351)</f>
        <v>4000</v>
      </c>
      <c r="K352" s="1208"/>
      <c r="L352" s="1222">
        <f>SUM(F352:K352)</f>
        <v>4700</v>
      </c>
      <c r="M352" s="1227"/>
    </row>
    <row r="353" spans="1:13" ht="21.75" customHeight="1" x14ac:dyDescent="0.3">
      <c r="A353" s="1175">
        <v>344</v>
      </c>
      <c r="B353" s="1264"/>
      <c r="C353" s="1197">
        <v>89</v>
      </c>
      <c r="D353" s="1268" t="s">
        <v>840</v>
      </c>
      <c r="E353" s="1189">
        <f>F353+G353+L357+M354</f>
        <v>15000</v>
      </c>
      <c r="F353" s="1190"/>
      <c r="G353" s="1265"/>
      <c r="H353" s="1192" t="s">
        <v>296</v>
      </c>
      <c r="I353" s="1189"/>
      <c r="J353" s="1189"/>
      <c r="K353" s="1189"/>
      <c r="L353" s="1195"/>
      <c r="M353" s="1227"/>
    </row>
    <row r="354" spans="1:13" ht="18" customHeight="1" x14ac:dyDescent="0.35">
      <c r="A354" s="1175">
        <v>345</v>
      </c>
      <c r="B354" s="1264"/>
      <c r="C354" s="1197"/>
      <c r="D354" s="1198" t="s">
        <v>230</v>
      </c>
      <c r="E354" s="1199"/>
      <c r="F354" s="1200"/>
      <c r="G354" s="1201"/>
      <c r="H354" s="1202"/>
      <c r="I354" s="1203">
        <v>5341</v>
      </c>
      <c r="J354" s="1204">
        <v>5159</v>
      </c>
      <c r="K354" s="1204"/>
      <c r="L354" s="1205">
        <f>SUM(I354:K354)</f>
        <v>10500</v>
      </c>
      <c r="M354" s="1227"/>
    </row>
    <row r="355" spans="1:13" ht="18" customHeight="1" x14ac:dyDescent="0.35">
      <c r="A355" s="1175">
        <v>346</v>
      </c>
      <c r="B355" s="1264"/>
      <c r="C355" s="1197"/>
      <c r="D355" s="1206" t="s">
        <v>231</v>
      </c>
      <c r="E355" s="1199"/>
      <c r="F355" s="1200"/>
      <c r="G355" s="1201"/>
      <c r="H355" s="1202"/>
      <c r="I355" s="1207">
        <v>5341</v>
      </c>
      <c r="J355" s="1208">
        <v>9659</v>
      </c>
      <c r="K355" s="1208"/>
      <c r="L355" s="1209">
        <f>SUM(I355:K355)</f>
        <v>15000</v>
      </c>
      <c r="M355" s="1227"/>
    </row>
    <row r="356" spans="1:13" ht="18" customHeight="1" x14ac:dyDescent="0.35">
      <c r="A356" s="1175">
        <v>347</v>
      </c>
      <c r="B356" s="1264"/>
      <c r="C356" s="1197"/>
      <c r="D356" s="1210" t="s">
        <v>232</v>
      </c>
      <c r="E356" s="1211"/>
      <c r="F356" s="1212"/>
      <c r="G356" s="1213"/>
      <c r="H356" s="1214"/>
      <c r="I356" s="1215"/>
      <c r="J356" s="1216"/>
      <c r="K356" s="1216"/>
      <c r="L356" s="1217">
        <f>SUM(F356:K356)</f>
        <v>0</v>
      </c>
      <c r="M356" s="1227"/>
    </row>
    <row r="357" spans="1:13" ht="18" customHeight="1" x14ac:dyDescent="0.35">
      <c r="A357" s="1175">
        <v>348</v>
      </c>
      <c r="B357" s="1264"/>
      <c r="C357" s="1197"/>
      <c r="D357" s="1206" t="s">
        <v>233</v>
      </c>
      <c r="E357" s="1218"/>
      <c r="F357" s="1219"/>
      <c r="G357" s="1220"/>
      <c r="H357" s="1221"/>
      <c r="I357" s="1207">
        <f>SUM(I355:I356)</f>
        <v>5341</v>
      </c>
      <c r="J357" s="1207">
        <f>SUM(J355:J356)</f>
        <v>9659</v>
      </c>
      <c r="K357" s="1208"/>
      <c r="L357" s="1222">
        <f>SUM(F357:K357)</f>
        <v>15000</v>
      </c>
      <c r="M357" s="1227"/>
    </row>
    <row r="358" spans="1:13" ht="22.5" customHeight="1" x14ac:dyDescent="0.35">
      <c r="A358" s="1175">
        <v>349</v>
      </c>
      <c r="B358" s="1264"/>
      <c r="C358" s="1197">
        <v>90</v>
      </c>
      <c r="D358" s="1268" t="s">
        <v>725</v>
      </c>
      <c r="E358" s="1189">
        <f>F358+G358+L361</f>
        <v>7600</v>
      </c>
      <c r="F358" s="1190"/>
      <c r="G358" s="1265">
        <v>4000</v>
      </c>
      <c r="H358" s="1221"/>
      <c r="I358" s="1207"/>
      <c r="J358" s="1207"/>
      <c r="K358" s="1208"/>
      <c r="L358" s="1222"/>
      <c r="M358" s="1227"/>
    </row>
    <row r="359" spans="1:13" ht="18" customHeight="1" x14ac:dyDescent="0.35">
      <c r="A359" s="1175">
        <v>350</v>
      </c>
      <c r="B359" s="1264"/>
      <c r="C359" s="1197"/>
      <c r="D359" s="1206" t="s">
        <v>231</v>
      </c>
      <c r="E359" s="1189"/>
      <c r="F359" s="1190"/>
      <c r="G359" s="1265"/>
      <c r="H359" s="1221"/>
      <c r="I359" s="1207"/>
      <c r="J359" s="1207"/>
      <c r="K359" s="1208">
        <v>3600</v>
      </c>
      <c r="L359" s="1209">
        <f>SUM(I359:K359)</f>
        <v>3600</v>
      </c>
      <c r="M359" s="1227"/>
    </row>
    <row r="360" spans="1:13" ht="18" customHeight="1" x14ac:dyDescent="0.35">
      <c r="A360" s="1175">
        <v>351</v>
      </c>
      <c r="B360" s="1264"/>
      <c r="C360" s="1197"/>
      <c r="D360" s="1210" t="s">
        <v>245</v>
      </c>
      <c r="E360" s="1218"/>
      <c r="F360" s="1219"/>
      <c r="G360" s="1271"/>
      <c r="H360" s="1221"/>
      <c r="I360" s="1207"/>
      <c r="J360" s="1207"/>
      <c r="K360" s="1216"/>
      <c r="L360" s="1217">
        <f>SUM(F360:K360)</f>
        <v>0</v>
      </c>
      <c r="M360" s="1227"/>
    </row>
    <row r="361" spans="1:13" ht="18" customHeight="1" x14ac:dyDescent="0.35">
      <c r="A361" s="1175">
        <v>352</v>
      </c>
      <c r="B361" s="1264"/>
      <c r="C361" s="1197"/>
      <c r="D361" s="1206" t="s">
        <v>233</v>
      </c>
      <c r="E361" s="1218"/>
      <c r="F361" s="1219"/>
      <c r="G361" s="1271"/>
      <c r="H361" s="1221"/>
      <c r="I361" s="1207"/>
      <c r="J361" s="1207"/>
      <c r="K361" s="1208">
        <f>SUM(K359:K360)</f>
        <v>3600</v>
      </c>
      <c r="L361" s="1222">
        <f>SUM(F361:K361)</f>
        <v>3600</v>
      </c>
      <c r="M361" s="1227"/>
    </row>
    <row r="362" spans="1:13" ht="21.75" customHeight="1" x14ac:dyDescent="0.3">
      <c r="A362" s="1175">
        <v>353</v>
      </c>
      <c r="B362" s="1264"/>
      <c r="C362" s="1197">
        <v>91</v>
      </c>
      <c r="D362" s="1268" t="s">
        <v>841</v>
      </c>
      <c r="E362" s="1189">
        <f>F362+G362+L366+M363</f>
        <v>11000</v>
      </c>
      <c r="F362" s="1190"/>
      <c r="G362" s="1265"/>
      <c r="H362" s="1192" t="s">
        <v>296</v>
      </c>
      <c r="I362" s="1189"/>
      <c r="J362" s="1189"/>
      <c r="K362" s="1189"/>
      <c r="L362" s="1195"/>
      <c r="M362" s="1227"/>
    </row>
    <row r="363" spans="1:13" ht="18" customHeight="1" x14ac:dyDescent="0.35">
      <c r="A363" s="1175">
        <v>354</v>
      </c>
      <c r="B363" s="1264"/>
      <c r="C363" s="1197"/>
      <c r="D363" s="1198" t="s">
        <v>230</v>
      </c>
      <c r="E363" s="1199"/>
      <c r="F363" s="1200"/>
      <c r="G363" s="1201"/>
      <c r="H363" s="1202"/>
      <c r="I363" s="1203"/>
      <c r="J363" s="1204">
        <f>5000+6000</f>
        <v>11000</v>
      </c>
      <c r="K363" s="1204"/>
      <c r="L363" s="1205">
        <f>SUM(I363:K363)</f>
        <v>11000</v>
      </c>
      <c r="M363" s="1227"/>
    </row>
    <row r="364" spans="1:13" ht="18" customHeight="1" x14ac:dyDescent="0.35">
      <c r="A364" s="1175">
        <v>355</v>
      </c>
      <c r="B364" s="1264"/>
      <c r="C364" s="1197"/>
      <c r="D364" s="1206" t="s">
        <v>231</v>
      </c>
      <c r="E364" s="1199"/>
      <c r="F364" s="1200"/>
      <c r="G364" s="1201"/>
      <c r="H364" s="1202"/>
      <c r="I364" s="1207"/>
      <c r="J364" s="1208">
        <v>11000</v>
      </c>
      <c r="K364" s="1208"/>
      <c r="L364" s="1209">
        <f>SUM(I364:K364)</f>
        <v>11000</v>
      </c>
      <c r="M364" s="1227"/>
    </row>
    <row r="365" spans="1:13" ht="18" customHeight="1" x14ac:dyDescent="0.35">
      <c r="A365" s="1175">
        <v>356</v>
      </c>
      <c r="B365" s="1264"/>
      <c r="C365" s="1197"/>
      <c r="D365" s="1210" t="s">
        <v>245</v>
      </c>
      <c r="E365" s="1211"/>
      <c r="F365" s="1212"/>
      <c r="G365" s="1213"/>
      <c r="H365" s="1214"/>
      <c r="I365" s="1215"/>
      <c r="J365" s="1216"/>
      <c r="K365" s="1216"/>
      <c r="L365" s="1217">
        <f>SUM(F365:K365)</f>
        <v>0</v>
      </c>
      <c r="M365" s="1227"/>
    </row>
    <row r="366" spans="1:13" ht="18" customHeight="1" x14ac:dyDescent="0.35">
      <c r="A366" s="1175">
        <v>357</v>
      </c>
      <c r="B366" s="1264"/>
      <c r="C366" s="1197"/>
      <c r="D366" s="1206" t="s">
        <v>233</v>
      </c>
      <c r="E366" s="1218"/>
      <c r="F366" s="1219"/>
      <c r="G366" s="1220"/>
      <c r="H366" s="1221"/>
      <c r="I366" s="1207"/>
      <c r="J366" s="1208">
        <f>SUM(J364:J365)</f>
        <v>11000</v>
      </c>
      <c r="K366" s="1208"/>
      <c r="L366" s="1222">
        <f>SUM(F366:K366)</f>
        <v>11000</v>
      </c>
      <c r="M366" s="1227"/>
    </row>
    <row r="367" spans="1:13" ht="33.75" customHeight="1" x14ac:dyDescent="0.3">
      <c r="A367" s="1175">
        <v>358</v>
      </c>
      <c r="B367" s="1264"/>
      <c r="C367" s="1187">
        <v>92</v>
      </c>
      <c r="D367" s="1268" t="s">
        <v>842</v>
      </c>
      <c r="E367" s="1189">
        <f>F367+G367+L371+M368</f>
        <v>3345</v>
      </c>
      <c r="F367" s="1190"/>
      <c r="G367" s="1265"/>
      <c r="H367" s="1192" t="s">
        <v>296</v>
      </c>
      <c r="I367" s="1189"/>
      <c r="J367" s="1189"/>
      <c r="K367" s="1189"/>
      <c r="L367" s="1195"/>
      <c r="M367" s="1227"/>
    </row>
    <row r="368" spans="1:13" ht="18" customHeight="1" x14ac:dyDescent="0.35">
      <c r="A368" s="1175">
        <v>359</v>
      </c>
      <c r="B368" s="1264"/>
      <c r="C368" s="1197"/>
      <c r="D368" s="1198" t="s">
        <v>230</v>
      </c>
      <c r="E368" s="1199"/>
      <c r="F368" s="1200"/>
      <c r="G368" s="1201"/>
      <c r="H368" s="1202"/>
      <c r="I368" s="1203"/>
      <c r="J368" s="1204">
        <v>3600</v>
      </c>
      <c r="K368" s="1204"/>
      <c r="L368" s="1205">
        <f>SUM(I368:K368)</f>
        <v>3600</v>
      </c>
      <c r="M368" s="1227"/>
    </row>
    <row r="369" spans="1:13" ht="18" customHeight="1" x14ac:dyDescent="0.35">
      <c r="A369" s="1175">
        <v>360</v>
      </c>
      <c r="B369" s="1264"/>
      <c r="C369" s="1197"/>
      <c r="D369" s="1206" t="s">
        <v>231</v>
      </c>
      <c r="E369" s="1199"/>
      <c r="F369" s="1200"/>
      <c r="G369" s="1201"/>
      <c r="H369" s="1202"/>
      <c r="I369" s="1207"/>
      <c r="J369" s="1208">
        <v>3345</v>
      </c>
      <c r="K369" s="1208"/>
      <c r="L369" s="1209">
        <f>SUM(I369:K369)</f>
        <v>3345</v>
      </c>
      <c r="M369" s="1227"/>
    </row>
    <row r="370" spans="1:13" ht="18" customHeight="1" x14ac:dyDescent="0.35">
      <c r="A370" s="1175">
        <v>361</v>
      </c>
      <c r="B370" s="1264"/>
      <c r="C370" s="1197"/>
      <c r="D370" s="1210" t="s">
        <v>232</v>
      </c>
      <c r="E370" s="1211"/>
      <c r="F370" s="1212"/>
      <c r="G370" s="1213"/>
      <c r="H370" s="1214"/>
      <c r="I370" s="1215"/>
      <c r="J370" s="1216"/>
      <c r="K370" s="1216"/>
      <c r="L370" s="1217">
        <f>SUM(F370:K370)</f>
        <v>0</v>
      </c>
      <c r="M370" s="1227"/>
    </row>
    <row r="371" spans="1:13" ht="18" customHeight="1" x14ac:dyDescent="0.35">
      <c r="A371" s="1175">
        <v>362</v>
      </c>
      <c r="B371" s="1264"/>
      <c r="C371" s="1197"/>
      <c r="D371" s="1206" t="s">
        <v>233</v>
      </c>
      <c r="E371" s="1218"/>
      <c r="F371" s="1219"/>
      <c r="G371" s="1220"/>
      <c r="H371" s="1221"/>
      <c r="I371" s="1207"/>
      <c r="J371" s="1208">
        <f>SUM(J369:J370)</f>
        <v>3345</v>
      </c>
      <c r="K371" s="1208"/>
      <c r="L371" s="1222">
        <f>SUM(F371:K371)</f>
        <v>3345</v>
      </c>
      <c r="M371" s="1227"/>
    </row>
    <row r="372" spans="1:13" ht="33.75" customHeight="1" x14ac:dyDescent="0.3">
      <c r="A372" s="1175">
        <v>363</v>
      </c>
      <c r="B372" s="1264"/>
      <c r="C372" s="1187">
        <v>93</v>
      </c>
      <c r="D372" s="1268" t="s">
        <v>843</v>
      </c>
      <c r="E372" s="1189">
        <f>F372+G372+L376+M373</f>
        <v>1714</v>
      </c>
      <c r="F372" s="1190"/>
      <c r="G372" s="1265"/>
      <c r="H372" s="1192" t="s">
        <v>296</v>
      </c>
      <c r="I372" s="1189"/>
      <c r="J372" s="1189"/>
      <c r="K372" s="1189"/>
      <c r="L372" s="1195"/>
      <c r="M372" s="1227"/>
    </row>
    <row r="373" spans="1:13" ht="18.75" customHeight="1" x14ac:dyDescent="0.35">
      <c r="A373" s="1175">
        <v>364</v>
      </c>
      <c r="B373" s="1264"/>
      <c r="C373" s="1197"/>
      <c r="D373" s="1198" t="s">
        <v>230</v>
      </c>
      <c r="E373" s="1199"/>
      <c r="F373" s="1200"/>
      <c r="G373" s="1201"/>
      <c r="H373" s="1202"/>
      <c r="I373" s="1203"/>
      <c r="J373" s="1204">
        <v>2800</v>
      </c>
      <c r="K373" s="1204"/>
      <c r="L373" s="1205">
        <f>SUM(I373:K373)</f>
        <v>2800</v>
      </c>
      <c r="M373" s="1227"/>
    </row>
    <row r="374" spans="1:13" ht="18.75" customHeight="1" x14ac:dyDescent="0.35">
      <c r="A374" s="1175">
        <v>365</v>
      </c>
      <c r="B374" s="1264"/>
      <c r="C374" s="1197"/>
      <c r="D374" s="1206" t="s">
        <v>231</v>
      </c>
      <c r="E374" s="1199"/>
      <c r="F374" s="1200"/>
      <c r="G374" s="1201"/>
      <c r="H374" s="1202"/>
      <c r="I374" s="1207"/>
      <c r="J374" s="1208">
        <v>1714</v>
      </c>
      <c r="K374" s="1208"/>
      <c r="L374" s="1209">
        <f>SUM(I374:K374)</f>
        <v>1714</v>
      </c>
      <c r="M374" s="1227"/>
    </row>
    <row r="375" spans="1:13" ht="18.75" customHeight="1" x14ac:dyDescent="0.35">
      <c r="A375" s="1175">
        <v>366</v>
      </c>
      <c r="B375" s="1264"/>
      <c r="C375" s="1197"/>
      <c r="D375" s="1210" t="s">
        <v>232</v>
      </c>
      <c r="E375" s="1211"/>
      <c r="F375" s="1212"/>
      <c r="G375" s="1213"/>
      <c r="H375" s="1214"/>
      <c r="I375" s="1215"/>
      <c r="J375" s="1216"/>
      <c r="K375" s="1216"/>
      <c r="L375" s="1217">
        <f>SUM(F375:K375)</f>
        <v>0</v>
      </c>
      <c r="M375" s="1227"/>
    </row>
    <row r="376" spans="1:13" ht="18.75" customHeight="1" x14ac:dyDescent="0.35">
      <c r="A376" s="1175">
        <v>367</v>
      </c>
      <c r="B376" s="1264"/>
      <c r="C376" s="1197"/>
      <c r="D376" s="1206" t="s">
        <v>233</v>
      </c>
      <c r="E376" s="1218"/>
      <c r="F376" s="1219"/>
      <c r="G376" s="1220"/>
      <c r="H376" s="1221"/>
      <c r="I376" s="1207"/>
      <c r="J376" s="1208">
        <f>SUM(J374:J375)</f>
        <v>1714</v>
      </c>
      <c r="K376" s="1208"/>
      <c r="L376" s="1222">
        <f>SUM(F376:K376)</f>
        <v>1714</v>
      </c>
      <c r="M376" s="1227"/>
    </row>
    <row r="377" spans="1:13" ht="21.75" customHeight="1" x14ac:dyDescent="0.3">
      <c r="A377" s="1175">
        <v>368</v>
      </c>
      <c r="B377" s="1264"/>
      <c r="C377" s="1197">
        <v>94</v>
      </c>
      <c r="D377" s="1223" t="s">
        <v>844</v>
      </c>
      <c r="E377" s="1189">
        <f>F377+G377+L381+M378</f>
        <v>307292</v>
      </c>
      <c r="F377" s="1190"/>
      <c r="G377" s="1265"/>
      <c r="H377" s="1192" t="s">
        <v>296</v>
      </c>
      <c r="I377" s="1189"/>
      <c r="J377" s="1189"/>
      <c r="K377" s="1189"/>
      <c r="L377" s="1195"/>
      <c r="M377" s="1227"/>
    </row>
    <row r="378" spans="1:13" ht="18" customHeight="1" x14ac:dyDescent="0.35">
      <c r="A378" s="1175">
        <v>369</v>
      </c>
      <c r="B378" s="1264"/>
      <c r="C378" s="1197"/>
      <c r="D378" s="1198" t="s">
        <v>230</v>
      </c>
      <c r="E378" s="1199"/>
      <c r="F378" s="1200"/>
      <c r="G378" s="1201"/>
      <c r="H378" s="1202"/>
      <c r="I378" s="1203"/>
      <c r="J378" s="1204">
        <f>100000+62000</f>
        <v>162000</v>
      </c>
      <c r="K378" s="1204"/>
      <c r="L378" s="1205">
        <f>SUM(I378:K378)</f>
        <v>162000</v>
      </c>
      <c r="M378" s="1227"/>
    </row>
    <row r="379" spans="1:13" ht="18" customHeight="1" x14ac:dyDescent="0.35">
      <c r="A379" s="1175">
        <v>370</v>
      </c>
      <c r="B379" s="1264"/>
      <c r="C379" s="1197"/>
      <c r="D379" s="1206" t="s">
        <v>231</v>
      </c>
      <c r="E379" s="1199"/>
      <c r="F379" s="1200"/>
      <c r="G379" s="1201"/>
      <c r="H379" s="1202"/>
      <c r="I379" s="1207"/>
      <c r="J379" s="1208">
        <v>307292</v>
      </c>
      <c r="K379" s="1208"/>
      <c r="L379" s="1209">
        <f>SUM(I379:K379)</f>
        <v>307292</v>
      </c>
      <c r="M379" s="1227"/>
    </row>
    <row r="380" spans="1:13" ht="18" customHeight="1" x14ac:dyDescent="0.35">
      <c r="A380" s="1175">
        <v>371</v>
      </c>
      <c r="B380" s="1264"/>
      <c r="C380" s="1197"/>
      <c r="D380" s="1210" t="s">
        <v>232</v>
      </c>
      <c r="E380" s="1211"/>
      <c r="F380" s="1212"/>
      <c r="G380" s="1213"/>
      <c r="H380" s="1214"/>
      <c r="I380" s="1215"/>
      <c r="J380" s="1216"/>
      <c r="K380" s="1216"/>
      <c r="L380" s="1217">
        <f>SUM(F380:K380)</f>
        <v>0</v>
      </c>
      <c r="M380" s="1227"/>
    </row>
    <row r="381" spans="1:13" ht="18" customHeight="1" x14ac:dyDescent="0.35">
      <c r="A381" s="1175">
        <v>372</v>
      </c>
      <c r="B381" s="1264"/>
      <c r="C381" s="1197"/>
      <c r="D381" s="1206" t="s">
        <v>233</v>
      </c>
      <c r="E381" s="1218"/>
      <c r="F381" s="1219"/>
      <c r="G381" s="1220"/>
      <c r="H381" s="1221"/>
      <c r="I381" s="1207"/>
      <c r="J381" s="1208">
        <f>SUM(J379:J380)</f>
        <v>307292</v>
      </c>
      <c r="K381" s="1208"/>
      <c r="L381" s="1222">
        <f>SUM(F381:K381)</f>
        <v>307292</v>
      </c>
      <c r="M381" s="1227"/>
    </row>
    <row r="382" spans="1:13" ht="21.75" customHeight="1" x14ac:dyDescent="0.3">
      <c r="A382" s="1175">
        <v>373</v>
      </c>
      <c r="B382" s="1264"/>
      <c r="C382" s="1197">
        <v>95</v>
      </c>
      <c r="D382" s="1268" t="s">
        <v>845</v>
      </c>
      <c r="E382" s="1189">
        <f>F382+G382+L386+M383</f>
        <v>700</v>
      </c>
      <c r="F382" s="1190"/>
      <c r="G382" s="1265"/>
      <c r="H382" s="1192" t="s">
        <v>296</v>
      </c>
      <c r="I382" s="1189"/>
      <c r="J382" s="1189"/>
      <c r="K382" s="1189"/>
      <c r="L382" s="1195"/>
      <c r="M382" s="1227"/>
    </row>
    <row r="383" spans="1:13" ht="18" customHeight="1" x14ac:dyDescent="0.35">
      <c r="A383" s="1175">
        <v>374</v>
      </c>
      <c r="B383" s="1264"/>
      <c r="C383" s="1197"/>
      <c r="D383" s="1198" t="s">
        <v>230</v>
      </c>
      <c r="E383" s="1199"/>
      <c r="F383" s="1200"/>
      <c r="G383" s="1201"/>
      <c r="H383" s="1202"/>
      <c r="I383" s="1203"/>
      <c r="J383" s="1204">
        <v>700</v>
      </c>
      <c r="K383" s="1204"/>
      <c r="L383" s="1205">
        <f>SUM(I383:K383)</f>
        <v>700</v>
      </c>
      <c r="M383" s="1227"/>
    </row>
    <row r="384" spans="1:13" ht="18" customHeight="1" x14ac:dyDescent="0.35">
      <c r="A384" s="1175">
        <v>375</v>
      </c>
      <c r="B384" s="1264"/>
      <c r="C384" s="1197"/>
      <c r="D384" s="1206" t="s">
        <v>231</v>
      </c>
      <c r="E384" s="1199"/>
      <c r="F384" s="1200"/>
      <c r="G384" s="1201"/>
      <c r="H384" s="1202"/>
      <c r="I384" s="1207"/>
      <c r="J384" s="1208">
        <v>700</v>
      </c>
      <c r="K384" s="1208"/>
      <c r="L384" s="1209">
        <f>SUM(I384:K384)</f>
        <v>700</v>
      </c>
      <c r="M384" s="1227"/>
    </row>
    <row r="385" spans="1:13" ht="18" customHeight="1" x14ac:dyDescent="0.35">
      <c r="A385" s="1175">
        <v>376</v>
      </c>
      <c r="B385" s="1264"/>
      <c r="C385" s="1197"/>
      <c r="D385" s="1210" t="s">
        <v>245</v>
      </c>
      <c r="E385" s="1211"/>
      <c r="F385" s="1212"/>
      <c r="G385" s="1213"/>
      <c r="H385" s="1214"/>
      <c r="I385" s="1215"/>
      <c r="J385" s="1216"/>
      <c r="K385" s="1216"/>
      <c r="L385" s="1217">
        <f>SUM(F385:K385)</f>
        <v>0</v>
      </c>
      <c r="M385" s="1227"/>
    </row>
    <row r="386" spans="1:13" ht="18" customHeight="1" x14ac:dyDescent="0.35">
      <c r="A386" s="1175">
        <v>377</v>
      </c>
      <c r="B386" s="1264"/>
      <c r="C386" s="1197"/>
      <c r="D386" s="1206" t="s">
        <v>233</v>
      </c>
      <c r="E386" s="1218"/>
      <c r="F386" s="1219"/>
      <c r="G386" s="1220"/>
      <c r="H386" s="1221"/>
      <c r="I386" s="1207"/>
      <c r="J386" s="1208">
        <f>SUM(J384:J385)</f>
        <v>700</v>
      </c>
      <c r="K386" s="1208"/>
      <c r="L386" s="1222">
        <f>SUM(F386:K386)</f>
        <v>700</v>
      </c>
      <c r="M386" s="1227"/>
    </row>
    <row r="387" spans="1:13" ht="21.75" customHeight="1" x14ac:dyDescent="0.3">
      <c r="A387" s="1175">
        <v>378</v>
      </c>
      <c r="B387" s="1264"/>
      <c r="C387" s="1197">
        <v>97</v>
      </c>
      <c r="D387" s="1268" t="s">
        <v>846</v>
      </c>
      <c r="E387" s="1189">
        <f>F387+G387+L391+M388</f>
        <v>1200</v>
      </c>
      <c r="F387" s="1190"/>
      <c r="G387" s="1265"/>
      <c r="H387" s="1192" t="s">
        <v>296</v>
      </c>
      <c r="I387" s="1189"/>
      <c r="J387" s="1189"/>
      <c r="K387" s="1189"/>
      <c r="L387" s="1195"/>
      <c r="M387" s="1227"/>
    </row>
    <row r="388" spans="1:13" ht="18" customHeight="1" x14ac:dyDescent="0.35">
      <c r="A388" s="1175">
        <v>379</v>
      </c>
      <c r="B388" s="1264"/>
      <c r="C388" s="1197"/>
      <c r="D388" s="1198" t="s">
        <v>230</v>
      </c>
      <c r="E388" s="1199"/>
      <c r="F388" s="1200"/>
      <c r="G388" s="1201"/>
      <c r="H388" s="1202"/>
      <c r="I388" s="1203"/>
      <c r="J388" s="1204">
        <v>1200</v>
      </c>
      <c r="K388" s="1204"/>
      <c r="L388" s="1205">
        <f>SUM(I388:K388)</f>
        <v>1200</v>
      </c>
      <c r="M388" s="1227"/>
    </row>
    <row r="389" spans="1:13" ht="18" customHeight="1" x14ac:dyDescent="0.35">
      <c r="A389" s="1175">
        <v>380</v>
      </c>
      <c r="B389" s="1264"/>
      <c r="C389" s="1197"/>
      <c r="D389" s="1206" t="s">
        <v>231</v>
      </c>
      <c r="E389" s="1199"/>
      <c r="F389" s="1200"/>
      <c r="G389" s="1201"/>
      <c r="H389" s="1202"/>
      <c r="I389" s="1207"/>
      <c r="J389" s="1208">
        <v>1200</v>
      </c>
      <c r="K389" s="1208"/>
      <c r="L389" s="1209">
        <f>SUM(I389:K389)</f>
        <v>1200</v>
      </c>
      <c r="M389" s="1227"/>
    </row>
    <row r="390" spans="1:13" ht="18" customHeight="1" x14ac:dyDescent="0.35">
      <c r="A390" s="1175">
        <v>381</v>
      </c>
      <c r="B390" s="1264"/>
      <c r="C390" s="1197"/>
      <c r="D390" s="1210" t="s">
        <v>245</v>
      </c>
      <c r="E390" s="1211"/>
      <c r="F390" s="1212"/>
      <c r="G390" s="1213"/>
      <c r="H390" s="1214"/>
      <c r="I390" s="1215"/>
      <c r="J390" s="1216"/>
      <c r="K390" s="1216"/>
      <c r="L390" s="1217">
        <f>SUM(F390:K390)</f>
        <v>0</v>
      </c>
      <c r="M390" s="1227"/>
    </row>
    <row r="391" spans="1:13" ht="18" customHeight="1" x14ac:dyDescent="0.35">
      <c r="A391" s="1175">
        <v>382</v>
      </c>
      <c r="B391" s="1264"/>
      <c r="C391" s="1197"/>
      <c r="D391" s="1206" t="s">
        <v>233</v>
      </c>
      <c r="E391" s="1218"/>
      <c r="F391" s="1219"/>
      <c r="G391" s="1220"/>
      <c r="H391" s="1221"/>
      <c r="I391" s="1207"/>
      <c r="J391" s="1208">
        <f>SUM(J389:J390)</f>
        <v>1200</v>
      </c>
      <c r="K391" s="1208"/>
      <c r="L391" s="1222">
        <f>SUM(F391:K391)</f>
        <v>1200</v>
      </c>
      <c r="M391" s="1227"/>
    </row>
    <row r="392" spans="1:13" ht="51" customHeight="1" x14ac:dyDescent="0.3">
      <c r="A392" s="1175">
        <v>383</v>
      </c>
      <c r="B392" s="1264"/>
      <c r="C392" s="1187">
        <v>98</v>
      </c>
      <c r="D392" s="1268" t="s">
        <v>847</v>
      </c>
      <c r="E392" s="1189">
        <f>F392+G392+L396+M393</f>
        <v>121342</v>
      </c>
      <c r="F392" s="1190"/>
      <c r="G392" s="1265"/>
      <c r="H392" s="1192" t="s">
        <v>106</v>
      </c>
      <c r="I392" s="1189"/>
      <c r="J392" s="1189"/>
      <c r="K392" s="1189"/>
      <c r="L392" s="1195"/>
      <c r="M392" s="1227"/>
    </row>
    <row r="393" spans="1:13" ht="18" customHeight="1" x14ac:dyDescent="0.35">
      <c r="A393" s="1175">
        <v>384</v>
      </c>
      <c r="B393" s="1264"/>
      <c r="C393" s="1197"/>
      <c r="D393" s="1198" t="s">
        <v>230</v>
      </c>
      <c r="E393" s="1199"/>
      <c r="F393" s="1200"/>
      <c r="G393" s="1201"/>
      <c r="H393" s="1202"/>
      <c r="I393" s="1203"/>
      <c r="J393" s="1204"/>
      <c r="K393" s="1204">
        <v>1444944</v>
      </c>
      <c r="L393" s="1205">
        <f>SUM(I393:K393)</f>
        <v>1444944</v>
      </c>
      <c r="M393" s="1227"/>
    </row>
    <row r="394" spans="1:13" ht="18" customHeight="1" x14ac:dyDescent="0.35">
      <c r="A394" s="1175">
        <v>385</v>
      </c>
      <c r="B394" s="1264"/>
      <c r="C394" s="1197"/>
      <c r="D394" s="1206" t="s">
        <v>231</v>
      </c>
      <c r="E394" s="1199"/>
      <c r="F394" s="1200"/>
      <c r="G394" s="1201"/>
      <c r="H394" s="1202"/>
      <c r="I394" s="1207"/>
      <c r="J394" s="1208"/>
      <c r="K394" s="1208">
        <v>121342</v>
      </c>
      <c r="L394" s="1209">
        <f>SUM(I394:K394)</f>
        <v>121342</v>
      </c>
      <c r="M394" s="1227"/>
    </row>
    <row r="395" spans="1:13" ht="18" customHeight="1" x14ac:dyDescent="0.35">
      <c r="A395" s="1175">
        <v>386</v>
      </c>
      <c r="B395" s="1264"/>
      <c r="C395" s="1197"/>
      <c r="D395" s="1210" t="s">
        <v>232</v>
      </c>
      <c r="E395" s="1211"/>
      <c r="F395" s="1212"/>
      <c r="G395" s="1213"/>
      <c r="H395" s="1214"/>
      <c r="I395" s="1215"/>
      <c r="J395" s="1216"/>
      <c r="K395" s="1216"/>
      <c r="L395" s="1217">
        <f>SUM(F395:K395)</f>
        <v>0</v>
      </c>
      <c r="M395" s="1227"/>
    </row>
    <row r="396" spans="1:13" ht="18" customHeight="1" x14ac:dyDescent="0.35">
      <c r="A396" s="1175">
        <v>387</v>
      </c>
      <c r="B396" s="1264"/>
      <c r="C396" s="1197"/>
      <c r="D396" s="1206" t="s">
        <v>233</v>
      </c>
      <c r="E396" s="1218"/>
      <c r="F396" s="1219"/>
      <c r="G396" s="1220"/>
      <c r="H396" s="1221"/>
      <c r="I396" s="1207"/>
      <c r="J396" s="1208"/>
      <c r="K396" s="1208">
        <f>SUM(K394:K395)</f>
        <v>121342</v>
      </c>
      <c r="L396" s="1222">
        <f>SUM(F396:K396)</f>
        <v>121342</v>
      </c>
      <c r="M396" s="1227"/>
    </row>
    <row r="397" spans="1:13" ht="21.75" customHeight="1" x14ac:dyDescent="0.3">
      <c r="A397" s="1175">
        <v>388</v>
      </c>
      <c r="B397" s="1264"/>
      <c r="C397" s="1197">
        <v>99</v>
      </c>
      <c r="D397" s="1223" t="s">
        <v>848</v>
      </c>
      <c r="E397" s="1189">
        <f>F397+G397+L401+M398</f>
        <v>7500</v>
      </c>
      <c r="F397" s="1190"/>
      <c r="G397" s="1265"/>
      <c r="H397" s="1192" t="s">
        <v>296</v>
      </c>
      <c r="I397" s="1189"/>
      <c r="J397" s="1189"/>
      <c r="K397" s="1189"/>
      <c r="L397" s="1195"/>
      <c r="M397" s="1227"/>
    </row>
    <row r="398" spans="1:13" ht="18" customHeight="1" x14ac:dyDescent="0.35">
      <c r="A398" s="1175">
        <v>389</v>
      </c>
      <c r="B398" s="1264"/>
      <c r="C398" s="1197"/>
      <c r="D398" s="1198" t="s">
        <v>230</v>
      </c>
      <c r="E398" s="1199"/>
      <c r="F398" s="1200"/>
      <c r="G398" s="1201"/>
      <c r="H398" s="1202"/>
      <c r="I398" s="1203"/>
      <c r="J398" s="1204">
        <v>10000</v>
      </c>
      <c r="K398" s="1204"/>
      <c r="L398" s="1205">
        <f>SUM(I398:K398)</f>
        <v>10000</v>
      </c>
      <c r="M398" s="1227"/>
    </row>
    <row r="399" spans="1:13" ht="18" customHeight="1" x14ac:dyDescent="0.35">
      <c r="A399" s="1175">
        <v>390</v>
      </c>
      <c r="B399" s="1264"/>
      <c r="C399" s="1197"/>
      <c r="D399" s="1206" t="s">
        <v>231</v>
      </c>
      <c r="E399" s="1199"/>
      <c r="F399" s="1200"/>
      <c r="G399" s="1201"/>
      <c r="H399" s="1202"/>
      <c r="I399" s="1207"/>
      <c r="J399" s="1208">
        <v>7500</v>
      </c>
      <c r="K399" s="1208"/>
      <c r="L399" s="1209">
        <f>SUM(I399:K399)</f>
        <v>7500</v>
      </c>
      <c r="M399" s="1227"/>
    </row>
    <row r="400" spans="1:13" ht="18" customHeight="1" x14ac:dyDescent="0.35">
      <c r="A400" s="1175">
        <v>391</v>
      </c>
      <c r="B400" s="1264"/>
      <c r="C400" s="1197"/>
      <c r="D400" s="1210" t="s">
        <v>232</v>
      </c>
      <c r="E400" s="1211"/>
      <c r="F400" s="1212"/>
      <c r="G400" s="1213"/>
      <c r="H400" s="1214"/>
      <c r="I400" s="1215"/>
      <c r="J400" s="1216"/>
      <c r="K400" s="1216"/>
      <c r="L400" s="1217">
        <f>SUM(F400:K400)</f>
        <v>0</v>
      </c>
      <c r="M400" s="1227"/>
    </row>
    <row r="401" spans="1:13" ht="18" customHeight="1" x14ac:dyDescent="0.35">
      <c r="A401" s="1175">
        <v>392</v>
      </c>
      <c r="B401" s="1264"/>
      <c r="C401" s="1197"/>
      <c r="D401" s="1206" t="s">
        <v>233</v>
      </c>
      <c r="E401" s="1218"/>
      <c r="F401" s="1219"/>
      <c r="G401" s="1220"/>
      <c r="H401" s="1221"/>
      <c r="I401" s="1207"/>
      <c r="J401" s="1208">
        <f>SUM(J399:J400)</f>
        <v>7500</v>
      </c>
      <c r="K401" s="1208"/>
      <c r="L401" s="1222">
        <f>SUM(F401:K401)</f>
        <v>7500</v>
      </c>
      <c r="M401" s="1227"/>
    </row>
    <row r="402" spans="1:13" ht="33" customHeight="1" x14ac:dyDescent="0.3">
      <c r="A402" s="1175">
        <v>393</v>
      </c>
      <c r="B402" s="1264"/>
      <c r="C402" s="1187">
        <v>101</v>
      </c>
      <c r="D402" s="1223" t="s">
        <v>849</v>
      </c>
      <c r="E402" s="1189">
        <f>F402+G402+L406+M403</f>
        <v>1500</v>
      </c>
      <c r="F402" s="1190"/>
      <c r="G402" s="1265"/>
      <c r="H402" s="1192" t="s">
        <v>296</v>
      </c>
      <c r="I402" s="1189"/>
      <c r="J402" s="1189"/>
      <c r="K402" s="1189"/>
      <c r="L402" s="1195"/>
      <c r="M402" s="1227"/>
    </row>
    <row r="403" spans="1:13" ht="18" customHeight="1" x14ac:dyDescent="0.35">
      <c r="A403" s="1175">
        <v>394</v>
      </c>
      <c r="B403" s="1264"/>
      <c r="C403" s="1197"/>
      <c r="D403" s="1198" t="s">
        <v>230</v>
      </c>
      <c r="E403" s="1199"/>
      <c r="F403" s="1200"/>
      <c r="G403" s="1201"/>
      <c r="H403" s="1202"/>
      <c r="I403" s="1203"/>
      <c r="J403" s="1204">
        <v>1500</v>
      </c>
      <c r="K403" s="1204"/>
      <c r="L403" s="1205">
        <f>SUM(I403:K403)</f>
        <v>1500</v>
      </c>
      <c r="M403" s="1227"/>
    </row>
    <row r="404" spans="1:13" ht="18" customHeight="1" x14ac:dyDescent="0.35">
      <c r="A404" s="1175">
        <v>395</v>
      </c>
      <c r="B404" s="1264"/>
      <c r="C404" s="1197"/>
      <c r="D404" s="1206" t="s">
        <v>231</v>
      </c>
      <c r="E404" s="1199"/>
      <c r="F404" s="1200"/>
      <c r="G404" s="1201"/>
      <c r="H404" s="1202"/>
      <c r="I404" s="1207"/>
      <c r="J404" s="1208">
        <v>1500</v>
      </c>
      <c r="K404" s="1208"/>
      <c r="L404" s="1209">
        <f>SUM(I404:K404)</f>
        <v>1500</v>
      </c>
      <c r="M404" s="1227"/>
    </row>
    <row r="405" spans="1:13" ht="18" customHeight="1" x14ac:dyDescent="0.35">
      <c r="A405" s="1175">
        <v>396</v>
      </c>
      <c r="B405" s="1264"/>
      <c r="C405" s="1197"/>
      <c r="D405" s="1210" t="s">
        <v>245</v>
      </c>
      <c r="E405" s="1211"/>
      <c r="F405" s="1212"/>
      <c r="G405" s="1213"/>
      <c r="H405" s="1214"/>
      <c r="I405" s="1215"/>
      <c r="J405" s="1216"/>
      <c r="K405" s="1216"/>
      <c r="L405" s="1217">
        <f>SUM(F405:K405)</f>
        <v>0</v>
      </c>
      <c r="M405" s="1227"/>
    </row>
    <row r="406" spans="1:13" ht="18" customHeight="1" x14ac:dyDescent="0.35">
      <c r="A406" s="1175">
        <v>397</v>
      </c>
      <c r="B406" s="1264"/>
      <c r="C406" s="1197"/>
      <c r="D406" s="1206" t="s">
        <v>233</v>
      </c>
      <c r="E406" s="1218"/>
      <c r="F406" s="1219"/>
      <c r="G406" s="1220"/>
      <c r="H406" s="1221"/>
      <c r="I406" s="1207"/>
      <c r="J406" s="1208">
        <f>SUM(J404:J405)</f>
        <v>1500</v>
      </c>
      <c r="K406" s="1208"/>
      <c r="L406" s="1222">
        <f>SUM(F406:K406)</f>
        <v>1500</v>
      </c>
      <c r="M406" s="1227"/>
    </row>
    <row r="407" spans="1:13" ht="66.75" customHeight="1" x14ac:dyDescent="0.3">
      <c r="A407" s="1175">
        <v>398</v>
      </c>
      <c r="B407" s="1264"/>
      <c r="C407" s="1187">
        <v>102</v>
      </c>
      <c r="D407" s="1223" t="s">
        <v>850</v>
      </c>
      <c r="E407" s="1189">
        <f>F407+G407+L411+M408</f>
        <v>330000</v>
      </c>
      <c r="F407" s="1190"/>
      <c r="G407" s="1265"/>
      <c r="H407" s="1192" t="s">
        <v>296</v>
      </c>
      <c r="I407" s="1189"/>
      <c r="J407" s="1189"/>
      <c r="K407" s="1189"/>
      <c r="L407" s="1195"/>
      <c r="M407" s="1227"/>
    </row>
    <row r="408" spans="1:13" ht="18" customHeight="1" x14ac:dyDescent="0.35">
      <c r="A408" s="1175">
        <v>399</v>
      </c>
      <c r="B408" s="1264"/>
      <c r="C408" s="1197"/>
      <c r="D408" s="1198" t="s">
        <v>230</v>
      </c>
      <c r="E408" s="1199"/>
      <c r="F408" s="1200"/>
      <c r="G408" s="1201"/>
      <c r="H408" s="1202"/>
      <c r="I408" s="1203"/>
      <c r="J408" s="1204">
        <v>200000</v>
      </c>
      <c r="K408" s="1204"/>
      <c r="L408" s="1205">
        <f>SUM(I408:K408)</f>
        <v>200000</v>
      </c>
      <c r="M408" s="1227">
        <f>120000+10000</f>
        <v>130000</v>
      </c>
    </row>
    <row r="409" spans="1:13" ht="18" customHeight="1" x14ac:dyDescent="0.35">
      <c r="A409" s="1175">
        <v>400</v>
      </c>
      <c r="B409" s="1264"/>
      <c r="C409" s="1197"/>
      <c r="D409" s="1206" t="s">
        <v>231</v>
      </c>
      <c r="E409" s="1199"/>
      <c r="F409" s="1200"/>
      <c r="G409" s="1201"/>
      <c r="H409" s="1202"/>
      <c r="I409" s="1207"/>
      <c r="J409" s="1208">
        <v>200000</v>
      </c>
      <c r="K409" s="1208"/>
      <c r="L409" s="1209">
        <f>SUM(I409:K409)</f>
        <v>200000</v>
      </c>
      <c r="M409" s="1227"/>
    </row>
    <row r="410" spans="1:13" ht="18" customHeight="1" x14ac:dyDescent="0.35">
      <c r="A410" s="1175">
        <v>401</v>
      </c>
      <c r="B410" s="1264"/>
      <c r="C410" s="1197"/>
      <c r="D410" s="1210" t="s">
        <v>245</v>
      </c>
      <c r="E410" s="1211"/>
      <c r="F410" s="1212"/>
      <c r="G410" s="1213"/>
      <c r="H410" s="1214"/>
      <c r="I410" s="1215"/>
      <c r="J410" s="1216"/>
      <c r="K410" s="1216"/>
      <c r="L410" s="1217">
        <f>SUM(F410:K410)</f>
        <v>0</v>
      </c>
      <c r="M410" s="1227"/>
    </row>
    <row r="411" spans="1:13" ht="18" customHeight="1" x14ac:dyDescent="0.35">
      <c r="A411" s="1175">
        <v>402</v>
      </c>
      <c r="B411" s="1264"/>
      <c r="C411" s="1197"/>
      <c r="D411" s="1206" t="s">
        <v>233</v>
      </c>
      <c r="E411" s="1218"/>
      <c r="F411" s="1219"/>
      <c r="G411" s="1220"/>
      <c r="H411" s="1221"/>
      <c r="I411" s="1207"/>
      <c r="J411" s="1208">
        <f>SUM(J409:J410)</f>
        <v>200000</v>
      </c>
      <c r="K411" s="1208"/>
      <c r="L411" s="1222">
        <f>SUM(F411:K411)</f>
        <v>200000</v>
      </c>
      <c r="M411" s="1227"/>
    </row>
    <row r="412" spans="1:13" ht="34.5" customHeight="1" x14ac:dyDescent="0.3">
      <c r="A412" s="1175">
        <v>403</v>
      </c>
      <c r="B412" s="1264"/>
      <c r="C412" s="1187">
        <v>103</v>
      </c>
      <c r="D412" s="1266" t="s">
        <v>851</v>
      </c>
      <c r="E412" s="1189">
        <f>F412+G412+L416+M413</f>
        <v>46050</v>
      </c>
      <c r="F412" s="1190"/>
      <c r="G412" s="1265"/>
      <c r="H412" s="1192" t="s">
        <v>296</v>
      </c>
      <c r="I412" s="1189"/>
      <c r="J412" s="1189"/>
      <c r="K412" s="1189"/>
      <c r="L412" s="1195"/>
      <c r="M412" s="1227"/>
    </row>
    <row r="413" spans="1:13" ht="18" customHeight="1" x14ac:dyDescent="0.35">
      <c r="A413" s="1175">
        <v>404</v>
      </c>
      <c r="B413" s="1264"/>
      <c r="C413" s="1197"/>
      <c r="D413" s="1198" t="s">
        <v>230</v>
      </c>
      <c r="E413" s="1199"/>
      <c r="F413" s="1200"/>
      <c r="G413" s="1201"/>
      <c r="H413" s="1202"/>
      <c r="I413" s="1203"/>
      <c r="J413" s="1204">
        <v>46050</v>
      </c>
      <c r="K413" s="1204"/>
      <c r="L413" s="1205">
        <f>SUM(I413:K413)</f>
        <v>46050</v>
      </c>
      <c r="M413" s="1227"/>
    </row>
    <row r="414" spans="1:13" ht="18" customHeight="1" x14ac:dyDescent="0.35">
      <c r="A414" s="1175">
        <v>405</v>
      </c>
      <c r="B414" s="1264"/>
      <c r="C414" s="1197"/>
      <c r="D414" s="1206" t="s">
        <v>231</v>
      </c>
      <c r="E414" s="1199"/>
      <c r="F414" s="1200"/>
      <c r="G414" s="1201"/>
      <c r="H414" s="1202"/>
      <c r="I414" s="1207"/>
      <c r="J414" s="1208">
        <v>46050</v>
      </c>
      <c r="K414" s="1208"/>
      <c r="L414" s="1209">
        <f>SUM(I414:K414)</f>
        <v>46050</v>
      </c>
      <c r="M414" s="1227"/>
    </row>
    <row r="415" spans="1:13" ht="18" customHeight="1" x14ac:dyDescent="0.35">
      <c r="A415" s="1175">
        <v>406</v>
      </c>
      <c r="B415" s="1264"/>
      <c r="C415" s="1197"/>
      <c r="D415" s="1210" t="s">
        <v>245</v>
      </c>
      <c r="E415" s="1211"/>
      <c r="F415" s="1212"/>
      <c r="G415" s="1213"/>
      <c r="H415" s="1214"/>
      <c r="I415" s="1215"/>
      <c r="J415" s="1216"/>
      <c r="K415" s="1216"/>
      <c r="L415" s="1217">
        <f>SUM(F415:K415)</f>
        <v>0</v>
      </c>
      <c r="M415" s="1227"/>
    </row>
    <row r="416" spans="1:13" ht="18" customHeight="1" x14ac:dyDescent="0.35">
      <c r="A416" s="1175">
        <v>407</v>
      </c>
      <c r="B416" s="1264"/>
      <c r="C416" s="1197"/>
      <c r="D416" s="1206" t="s">
        <v>233</v>
      </c>
      <c r="E416" s="1218"/>
      <c r="F416" s="1219"/>
      <c r="G416" s="1220"/>
      <c r="H416" s="1221"/>
      <c r="I416" s="1207"/>
      <c r="J416" s="1208">
        <f>SUM(J414:J415)</f>
        <v>46050</v>
      </c>
      <c r="K416" s="1208"/>
      <c r="L416" s="1222">
        <f>SUM(F416:K416)</f>
        <v>46050</v>
      </c>
      <c r="M416" s="1227"/>
    </row>
    <row r="417" spans="1:13" ht="21.75" customHeight="1" x14ac:dyDescent="0.3">
      <c r="A417" s="1175">
        <v>408</v>
      </c>
      <c r="B417" s="1264"/>
      <c r="C417" s="1197">
        <v>104</v>
      </c>
      <c r="D417" s="1272" t="s">
        <v>852</v>
      </c>
      <c r="E417" s="1189">
        <f>F417+G417+L421+M418</f>
        <v>9600</v>
      </c>
      <c r="F417" s="1190"/>
      <c r="G417" s="1265"/>
      <c r="H417" s="1192" t="s">
        <v>296</v>
      </c>
      <c r="I417" s="1189"/>
      <c r="J417" s="1189"/>
      <c r="K417" s="1189"/>
      <c r="L417" s="1195"/>
      <c r="M417" s="1227"/>
    </row>
    <row r="418" spans="1:13" ht="18" customHeight="1" x14ac:dyDescent="0.35">
      <c r="A418" s="1175">
        <v>409</v>
      </c>
      <c r="B418" s="1264"/>
      <c r="C418" s="1197"/>
      <c r="D418" s="1198" t="s">
        <v>230</v>
      </c>
      <c r="E418" s="1199"/>
      <c r="F418" s="1200"/>
      <c r="G418" s="1201"/>
      <c r="H418" s="1202"/>
      <c r="I418" s="1203"/>
      <c r="J418" s="1204">
        <v>9600</v>
      </c>
      <c r="K418" s="1204"/>
      <c r="L418" s="1205">
        <f>SUM(I418:K418)</f>
        <v>9600</v>
      </c>
      <c r="M418" s="1227"/>
    </row>
    <row r="419" spans="1:13" ht="18" customHeight="1" x14ac:dyDescent="0.35">
      <c r="A419" s="1175">
        <v>410</v>
      </c>
      <c r="B419" s="1264"/>
      <c r="C419" s="1197"/>
      <c r="D419" s="1206" t="s">
        <v>231</v>
      </c>
      <c r="E419" s="1199"/>
      <c r="F419" s="1200"/>
      <c r="G419" s="1201"/>
      <c r="H419" s="1202"/>
      <c r="I419" s="1207"/>
      <c r="J419" s="1208">
        <v>9600</v>
      </c>
      <c r="K419" s="1208"/>
      <c r="L419" s="1209">
        <f>SUM(I419:K419)</f>
        <v>9600</v>
      </c>
      <c r="M419" s="1227"/>
    </row>
    <row r="420" spans="1:13" ht="18" customHeight="1" x14ac:dyDescent="0.35">
      <c r="A420" s="1175">
        <v>411</v>
      </c>
      <c r="B420" s="1264"/>
      <c r="C420" s="1197"/>
      <c r="D420" s="1210" t="s">
        <v>245</v>
      </c>
      <c r="E420" s="1211"/>
      <c r="F420" s="1212"/>
      <c r="G420" s="1213"/>
      <c r="H420" s="1214"/>
      <c r="I420" s="1215"/>
      <c r="J420" s="1216"/>
      <c r="K420" s="1216"/>
      <c r="L420" s="1217">
        <f>SUM(F420:K420)</f>
        <v>0</v>
      </c>
      <c r="M420" s="1227"/>
    </row>
    <row r="421" spans="1:13" ht="18" customHeight="1" x14ac:dyDescent="0.35">
      <c r="A421" s="1175">
        <v>412</v>
      </c>
      <c r="B421" s="1264"/>
      <c r="C421" s="1197"/>
      <c r="D421" s="1206" t="s">
        <v>233</v>
      </c>
      <c r="E421" s="1218"/>
      <c r="F421" s="1219"/>
      <c r="G421" s="1220"/>
      <c r="H421" s="1221"/>
      <c r="I421" s="1207"/>
      <c r="J421" s="1208">
        <f>SUM(J419:J420)</f>
        <v>9600</v>
      </c>
      <c r="K421" s="1208"/>
      <c r="L421" s="1222">
        <f>SUM(F421:K421)</f>
        <v>9600</v>
      </c>
      <c r="M421" s="1227"/>
    </row>
    <row r="422" spans="1:13" ht="21.75" customHeight="1" x14ac:dyDescent="0.3">
      <c r="A422" s="1175">
        <v>413</v>
      </c>
      <c r="B422" s="1264"/>
      <c r="C422" s="1197">
        <v>105</v>
      </c>
      <c r="D422" s="1272" t="s">
        <v>853</v>
      </c>
      <c r="E422" s="1189">
        <f>F422+G422+L426+M423</f>
        <v>15000</v>
      </c>
      <c r="F422" s="1190"/>
      <c r="G422" s="1265"/>
      <c r="H422" s="1192" t="s">
        <v>296</v>
      </c>
      <c r="I422" s="1189"/>
      <c r="J422" s="1189"/>
      <c r="K422" s="1189"/>
      <c r="L422" s="1195"/>
      <c r="M422" s="1227"/>
    </row>
    <row r="423" spans="1:13" ht="18" customHeight="1" x14ac:dyDescent="0.35">
      <c r="A423" s="1175">
        <v>414</v>
      </c>
      <c r="B423" s="1264"/>
      <c r="C423" s="1197"/>
      <c r="D423" s="1198" t="s">
        <v>230</v>
      </c>
      <c r="E423" s="1199"/>
      <c r="F423" s="1200"/>
      <c r="G423" s="1201"/>
      <c r="H423" s="1202"/>
      <c r="I423" s="1203"/>
      <c r="J423" s="1204">
        <v>15000</v>
      </c>
      <c r="K423" s="1204"/>
      <c r="L423" s="1205">
        <f>SUM(I423:K423)</f>
        <v>15000</v>
      </c>
      <c r="M423" s="1227"/>
    </row>
    <row r="424" spans="1:13" ht="18" customHeight="1" x14ac:dyDescent="0.35">
      <c r="A424" s="1175">
        <v>415</v>
      </c>
      <c r="B424" s="1264"/>
      <c r="C424" s="1197"/>
      <c r="D424" s="1206" t="s">
        <v>231</v>
      </c>
      <c r="E424" s="1199"/>
      <c r="F424" s="1200"/>
      <c r="G424" s="1201"/>
      <c r="H424" s="1221"/>
      <c r="I424" s="1207"/>
      <c r="J424" s="1208">
        <v>15000</v>
      </c>
      <c r="K424" s="1208"/>
      <c r="L424" s="1209">
        <f>SUM(I424:K424)</f>
        <v>15000</v>
      </c>
      <c r="M424" s="1227"/>
    </row>
    <row r="425" spans="1:13" ht="18" customHeight="1" x14ac:dyDescent="0.35">
      <c r="A425" s="1175">
        <v>416</v>
      </c>
      <c r="B425" s="1264"/>
      <c r="C425" s="1197"/>
      <c r="D425" s="1210" t="s">
        <v>245</v>
      </c>
      <c r="E425" s="1211"/>
      <c r="F425" s="1212"/>
      <c r="G425" s="1213"/>
      <c r="H425" s="1214"/>
      <c r="I425" s="1215"/>
      <c r="J425" s="1216"/>
      <c r="K425" s="1216"/>
      <c r="L425" s="1217">
        <f>SUM(F425:K425)</f>
        <v>0</v>
      </c>
      <c r="M425" s="1227"/>
    </row>
    <row r="426" spans="1:13" ht="18" customHeight="1" x14ac:dyDescent="0.35">
      <c r="A426" s="1175">
        <v>417</v>
      </c>
      <c r="B426" s="1264"/>
      <c r="C426" s="1197"/>
      <c r="D426" s="1206" t="s">
        <v>233</v>
      </c>
      <c r="E426" s="1218"/>
      <c r="F426" s="1219"/>
      <c r="G426" s="1220"/>
      <c r="H426" s="1221"/>
      <c r="I426" s="1207"/>
      <c r="J426" s="1208">
        <f>SUM(J424:J425)</f>
        <v>15000</v>
      </c>
      <c r="K426" s="1208"/>
      <c r="L426" s="1222">
        <f>SUM(F426:K426)</f>
        <v>15000</v>
      </c>
      <c r="M426" s="1227"/>
    </row>
    <row r="427" spans="1:13" ht="21.75" customHeight="1" x14ac:dyDescent="0.3">
      <c r="A427" s="1175">
        <v>418</v>
      </c>
      <c r="B427" s="1264"/>
      <c r="C427" s="1197">
        <v>106</v>
      </c>
      <c r="D427" s="1272" t="s">
        <v>35</v>
      </c>
      <c r="E427" s="1189">
        <f>F427+G427+L431+M428</f>
        <v>0</v>
      </c>
      <c r="F427" s="1190"/>
      <c r="G427" s="1265"/>
      <c r="H427" s="1192" t="s">
        <v>296</v>
      </c>
      <c r="I427" s="1189"/>
      <c r="J427" s="1189"/>
      <c r="K427" s="1189"/>
      <c r="L427" s="1195"/>
      <c r="M427" s="1227"/>
    </row>
    <row r="428" spans="1:13" ht="18" customHeight="1" x14ac:dyDescent="0.35">
      <c r="A428" s="1175">
        <v>419</v>
      </c>
      <c r="B428" s="1264"/>
      <c r="C428" s="1197"/>
      <c r="D428" s="1198" t="s">
        <v>230</v>
      </c>
      <c r="E428" s="1199"/>
      <c r="F428" s="1200"/>
      <c r="G428" s="1201"/>
      <c r="H428" s="1202"/>
      <c r="I428" s="1203"/>
      <c r="J428" s="1204">
        <v>20000</v>
      </c>
      <c r="K428" s="1204"/>
      <c r="L428" s="1205">
        <f>SUM(I428:K428)</f>
        <v>20000</v>
      </c>
      <c r="M428" s="1227"/>
    </row>
    <row r="429" spans="1:13" ht="18" customHeight="1" x14ac:dyDescent="0.35">
      <c r="A429" s="1175">
        <v>420</v>
      </c>
      <c r="B429" s="1264"/>
      <c r="C429" s="1197"/>
      <c r="D429" s="1206" t="s">
        <v>231</v>
      </c>
      <c r="E429" s="1199"/>
      <c r="F429" s="1200"/>
      <c r="G429" s="1201"/>
      <c r="H429" s="1202"/>
      <c r="I429" s="1207"/>
      <c r="J429" s="1208">
        <v>20000</v>
      </c>
      <c r="K429" s="1208"/>
      <c r="L429" s="1209">
        <f>SUM(I429:K429)</f>
        <v>20000</v>
      </c>
      <c r="M429" s="1227"/>
    </row>
    <row r="430" spans="1:13" ht="18" customHeight="1" x14ac:dyDescent="0.35">
      <c r="A430" s="1175">
        <v>421</v>
      </c>
      <c r="B430" s="1264"/>
      <c r="C430" s="1197"/>
      <c r="D430" s="1210" t="s">
        <v>287</v>
      </c>
      <c r="E430" s="1211"/>
      <c r="F430" s="1212"/>
      <c r="G430" s="1213"/>
      <c r="H430" s="1214"/>
      <c r="I430" s="1215"/>
      <c r="J430" s="1216">
        <v>-20000</v>
      </c>
      <c r="K430" s="1216"/>
      <c r="L430" s="1217">
        <f>SUM(F430:K430)</f>
        <v>-20000</v>
      </c>
      <c r="M430" s="1227"/>
    </row>
    <row r="431" spans="1:13" ht="18" customHeight="1" x14ac:dyDescent="0.35">
      <c r="A431" s="1175">
        <v>422</v>
      </c>
      <c r="B431" s="1264"/>
      <c r="C431" s="1197"/>
      <c r="D431" s="1206" t="s">
        <v>233</v>
      </c>
      <c r="E431" s="1218"/>
      <c r="F431" s="1219"/>
      <c r="G431" s="1220"/>
      <c r="H431" s="1221"/>
      <c r="I431" s="1208"/>
      <c r="J431" s="1208">
        <f>SUM(J429:J430)</f>
        <v>0</v>
      </c>
      <c r="K431" s="1208"/>
      <c r="L431" s="1222">
        <f>SUM(F431:K431)</f>
        <v>0</v>
      </c>
      <c r="M431" s="1227"/>
    </row>
    <row r="432" spans="1:13" ht="21.75" customHeight="1" x14ac:dyDescent="0.3">
      <c r="A432" s="1175">
        <v>423</v>
      </c>
      <c r="B432" s="1264"/>
      <c r="C432" s="1197">
        <v>107</v>
      </c>
      <c r="D432" s="1272" t="s">
        <v>36</v>
      </c>
      <c r="E432" s="1189">
        <f>F432+G432+L436+M433</f>
        <v>0</v>
      </c>
      <c r="F432" s="1190"/>
      <c r="G432" s="1265"/>
      <c r="H432" s="1192" t="s">
        <v>296</v>
      </c>
      <c r="I432" s="1189"/>
      <c r="J432" s="1189"/>
      <c r="K432" s="1189"/>
      <c r="L432" s="1195"/>
      <c r="M432" s="1227"/>
    </row>
    <row r="433" spans="1:13" ht="18" customHeight="1" x14ac:dyDescent="0.35">
      <c r="A433" s="1175">
        <v>424</v>
      </c>
      <c r="B433" s="1264"/>
      <c r="C433" s="1197"/>
      <c r="D433" s="1198" t="s">
        <v>230</v>
      </c>
      <c r="E433" s="1199"/>
      <c r="F433" s="1200"/>
      <c r="G433" s="1201"/>
      <c r="H433" s="1202"/>
      <c r="I433" s="1203"/>
      <c r="J433" s="1204">
        <v>20000</v>
      </c>
      <c r="K433" s="1204"/>
      <c r="L433" s="1205">
        <f>SUM(I433:K433)</f>
        <v>20000</v>
      </c>
      <c r="M433" s="1227"/>
    </row>
    <row r="434" spans="1:13" ht="18" customHeight="1" x14ac:dyDescent="0.35">
      <c r="A434" s="1175">
        <v>425</v>
      </c>
      <c r="B434" s="1264"/>
      <c r="C434" s="1197"/>
      <c r="D434" s="1206" t="s">
        <v>231</v>
      </c>
      <c r="E434" s="1199"/>
      <c r="F434" s="1200"/>
      <c r="G434" s="1201"/>
      <c r="H434" s="1202"/>
      <c r="I434" s="1207"/>
      <c r="J434" s="1208">
        <v>20000</v>
      </c>
      <c r="K434" s="1208"/>
      <c r="L434" s="1209">
        <f>SUM(I434:K434)</f>
        <v>20000</v>
      </c>
      <c r="M434" s="1227"/>
    </row>
    <row r="435" spans="1:13" ht="18" customHeight="1" x14ac:dyDescent="0.35">
      <c r="A435" s="1175">
        <v>426</v>
      </c>
      <c r="B435" s="1264"/>
      <c r="C435" s="1197"/>
      <c r="D435" s="1210" t="s">
        <v>287</v>
      </c>
      <c r="E435" s="1211"/>
      <c r="F435" s="1212"/>
      <c r="G435" s="1213"/>
      <c r="H435" s="1214"/>
      <c r="I435" s="1215"/>
      <c r="J435" s="1216">
        <v>-20000</v>
      </c>
      <c r="K435" s="1216"/>
      <c r="L435" s="1217">
        <f>SUM(F435:K435)</f>
        <v>-20000</v>
      </c>
      <c r="M435" s="1227"/>
    </row>
    <row r="436" spans="1:13" ht="18" customHeight="1" x14ac:dyDescent="0.35">
      <c r="A436" s="1175">
        <v>427</v>
      </c>
      <c r="B436" s="1264"/>
      <c r="C436" s="1197"/>
      <c r="D436" s="1206" t="s">
        <v>233</v>
      </c>
      <c r="E436" s="1218"/>
      <c r="F436" s="1219"/>
      <c r="G436" s="1220"/>
      <c r="H436" s="1221"/>
      <c r="I436" s="1208"/>
      <c r="J436" s="1208">
        <f>SUM(J434:J435)</f>
        <v>0</v>
      </c>
      <c r="K436" s="1208"/>
      <c r="L436" s="1222">
        <f>SUM(F436:K436)</f>
        <v>0</v>
      </c>
      <c r="M436" s="1227"/>
    </row>
    <row r="437" spans="1:13" ht="21.75" customHeight="1" x14ac:dyDescent="0.3">
      <c r="A437" s="1175">
        <v>428</v>
      </c>
      <c r="B437" s="1264"/>
      <c r="C437" s="1197">
        <v>108</v>
      </c>
      <c r="D437" s="1272" t="s">
        <v>854</v>
      </c>
      <c r="E437" s="1189">
        <f>F437+G437+L441+M438</f>
        <v>0</v>
      </c>
      <c r="F437" s="1190"/>
      <c r="G437" s="1265"/>
      <c r="H437" s="1192" t="s">
        <v>296</v>
      </c>
      <c r="I437" s="1189"/>
      <c r="J437" s="1189"/>
      <c r="K437" s="1189"/>
      <c r="L437" s="1195"/>
      <c r="M437" s="1227"/>
    </row>
    <row r="438" spans="1:13" ht="18" customHeight="1" x14ac:dyDescent="0.35">
      <c r="A438" s="1175">
        <v>429</v>
      </c>
      <c r="B438" s="1264"/>
      <c r="C438" s="1197"/>
      <c r="D438" s="1198" t="s">
        <v>230</v>
      </c>
      <c r="E438" s="1199"/>
      <c r="F438" s="1200"/>
      <c r="G438" s="1201"/>
      <c r="H438" s="1202"/>
      <c r="I438" s="1203"/>
      <c r="J438" s="1204">
        <v>5000</v>
      </c>
      <c r="K438" s="1204"/>
      <c r="L438" s="1205">
        <f>SUM(I438:K438)</f>
        <v>5000</v>
      </c>
      <c r="M438" s="1227"/>
    </row>
    <row r="439" spans="1:13" ht="18" customHeight="1" x14ac:dyDescent="0.35">
      <c r="A439" s="1175">
        <v>430</v>
      </c>
      <c r="B439" s="1264"/>
      <c r="C439" s="1197"/>
      <c r="D439" s="1206" t="s">
        <v>231</v>
      </c>
      <c r="E439" s="1199"/>
      <c r="F439" s="1200"/>
      <c r="G439" s="1201"/>
      <c r="H439" s="1202"/>
      <c r="I439" s="1207"/>
      <c r="J439" s="1208">
        <v>0</v>
      </c>
      <c r="K439" s="1208"/>
      <c r="L439" s="1209">
        <f>SUM(I439:K439)</f>
        <v>0</v>
      </c>
      <c r="M439" s="1227"/>
    </row>
    <row r="440" spans="1:13" ht="18" customHeight="1" x14ac:dyDescent="0.35">
      <c r="A440" s="1175">
        <v>431</v>
      </c>
      <c r="B440" s="1264"/>
      <c r="C440" s="1197"/>
      <c r="D440" s="1210" t="s">
        <v>232</v>
      </c>
      <c r="E440" s="1211"/>
      <c r="F440" s="1212"/>
      <c r="G440" s="1213"/>
      <c r="H440" s="1214"/>
      <c r="I440" s="1215"/>
      <c r="J440" s="1216"/>
      <c r="K440" s="1216"/>
      <c r="L440" s="1217">
        <f>SUM(F440:K440)</f>
        <v>0</v>
      </c>
      <c r="M440" s="1227"/>
    </row>
    <row r="441" spans="1:13" ht="18" customHeight="1" x14ac:dyDescent="0.35">
      <c r="A441" s="1175">
        <v>432</v>
      </c>
      <c r="B441" s="1264"/>
      <c r="C441" s="1197"/>
      <c r="D441" s="1206" t="s">
        <v>233</v>
      </c>
      <c r="E441" s="1218"/>
      <c r="F441" s="1219"/>
      <c r="G441" s="1220"/>
      <c r="H441" s="1221"/>
      <c r="I441" s="1207"/>
      <c r="J441" s="1208">
        <f>SUM(J439:J440)</f>
        <v>0</v>
      </c>
      <c r="K441" s="1208"/>
      <c r="L441" s="1222">
        <f>SUM(F441:K441)</f>
        <v>0</v>
      </c>
      <c r="M441" s="1227"/>
    </row>
    <row r="442" spans="1:13" ht="31.5" customHeight="1" x14ac:dyDescent="0.3">
      <c r="A442" s="1175">
        <v>433</v>
      </c>
      <c r="B442" s="1264"/>
      <c r="C442" s="1187">
        <v>109</v>
      </c>
      <c r="D442" s="1266" t="s">
        <v>855</v>
      </c>
      <c r="E442" s="1189">
        <f>F442+G442+L446+M443</f>
        <v>7500</v>
      </c>
      <c r="F442" s="1190"/>
      <c r="G442" s="1265"/>
      <c r="H442" s="1192" t="s">
        <v>296</v>
      </c>
      <c r="I442" s="1189"/>
      <c r="J442" s="1189"/>
      <c r="K442" s="1189"/>
      <c r="L442" s="1195"/>
      <c r="M442" s="1227"/>
    </row>
    <row r="443" spans="1:13" ht="18" customHeight="1" x14ac:dyDescent="0.35">
      <c r="A443" s="1175">
        <v>434</v>
      </c>
      <c r="B443" s="1264"/>
      <c r="C443" s="1197"/>
      <c r="D443" s="1198" t="s">
        <v>230</v>
      </c>
      <c r="E443" s="1199"/>
      <c r="F443" s="1200"/>
      <c r="G443" s="1201"/>
      <c r="H443" s="1202"/>
      <c r="I443" s="1203"/>
      <c r="J443" s="1204">
        <v>7500</v>
      </c>
      <c r="K443" s="1204"/>
      <c r="L443" s="1205">
        <f>SUM(I443:K443)</f>
        <v>7500</v>
      </c>
      <c r="M443" s="1227"/>
    </row>
    <row r="444" spans="1:13" ht="18" customHeight="1" x14ac:dyDescent="0.35">
      <c r="A444" s="1175">
        <v>435</v>
      </c>
      <c r="B444" s="1264"/>
      <c r="C444" s="1197"/>
      <c r="D444" s="1206" t="s">
        <v>231</v>
      </c>
      <c r="E444" s="1199"/>
      <c r="F444" s="1200"/>
      <c r="G444" s="1201"/>
      <c r="H444" s="1202"/>
      <c r="I444" s="1207"/>
      <c r="J444" s="1208">
        <v>7500</v>
      </c>
      <c r="K444" s="1208"/>
      <c r="L444" s="1209">
        <f>SUM(I444:K444)</f>
        <v>7500</v>
      </c>
      <c r="M444" s="1227"/>
    </row>
    <row r="445" spans="1:13" ht="18" customHeight="1" x14ac:dyDescent="0.35">
      <c r="A445" s="1175">
        <v>436</v>
      </c>
      <c r="B445" s="1264"/>
      <c r="C445" s="1197"/>
      <c r="D445" s="1210" t="s">
        <v>245</v>
      </c>
      <c r="E445" s="1211"/>
      <c r="F445" s="1212"/>
      <c r="G445" s="1213"/>
      <c r="H445" s="1214"/>
      <c r="I445" s="1215"/>
      <c r="J445" s="1216"/>
      <c r="K445" s="1216"/>
      <c r="L445" s="1217">
        <f>SUM(F445:K445)</f>
        <v>0</v>
      </c>
      <c r="M445" s="1227"/>
    </row>
    <row r="446" spans="1:13" ht="18" customHeight="1" x14ac:dyDescent="0.35">
      <c r="A446" s="1175">
        <v>437</v>
      </c>
      <c r="B446" s="1264"/>
      <c r="C446" s="1197"/>
      <c r="D446" s="1206" t="s">
        <v>233</v>
      </c>
      <c r="E446" s="1218"/>
      <c r="F446" s="1219"/>
      <c r="G446" s="1220"/>
      <c r="H446" s="1221"/>
      <c r="I446" s="1207"/>
      <c r="J446" s="1208">
        <f>SUM(J444:J445)</f>
        <v>7500</v>
      </c>
      <c r="K446" s="1208"/>
      <c r="L446" s="1222">
        <f>SUM(F446:K446)</f>
        <v>7500</v>
      </c>
      <c r="M446" s="1227"/>
    </row>
    <row r="447" spans="1:13" ht="21.75" customHeight="1" x14ac:dyDescent="0.3">
      <c r="A447" s="1175">
        <v>438</v>
      </c>
      <c r="B447" s="1264"/>
      <c r="C447" s="1197">
        <v>110</v>
      </c>
      <c r="D447" s="1272" t="s">
        <v>856</v>
      </c>
      <c r="E447" s="1189">
        <f>F447+G447+L451+M448</f>
        <v>5000</v>
      </c>
      <c r="F447" s="1190"/>
      <c r="G447" s="1265"/>
      <c r="H447" s="1192" t="s">
        <v>296</v>
      </c>
      <c r="I447" s="1189"/>
      <c r="J447" s="1189"/>
      <c r="K447" s="1189"/>
      <c r="L447" s="1195"/>
      <c r="M447" s="1227"/>
    </row>
    <row r="448" spans="1:13" ht="18" customHeight="1" x14ac:dyDescent="0.35">
      <c r="A448" s="1175">
        <v>439</v>
      </c>
      <c r="B448" s="1264"/>
      <c r="C448" s="1197"/>
      <c r="D448" s="1198" t="s">
        <v>230</v>
      </c>
      <c r="E448" s="1199"/>
      <c r="F448" s="1200"/>
      <c r="G448" s="1201"/>
      <c r="H448" s="1202"/>
      <c r="I448" s="1203"/>
      <c r="J448" s="1204">
        <v>5000</v>
      </c>
      <c r="K448" s="1204"/>
      <c r="L448" s="1205">
        <f>SUM(I448:K448)</f>
        <v>5000</v>
      </c>
      <c r="M448" s="1227"/>
    </row>
    <row r="449" spans="1:13" ht="18" customHeight="1" x14ac:dyDescent="0.35">
      <c r="A449" s="1175">
        <v>440</v>
      </c>
      <c r="B449" s="1264"/>
      <c r="C449" s="1197"/>
      <c r="D449" s="1206" t="s">
        <v>231</v>
      </c>
      <c r="E449" s="1199"/>
      <c r="F449" s="1200"/>
      <c r="G449" s="1201"/>
      <c r="H449" s="1202"/>
      <c r="I449" s="1207"/>
      <c r="J449" s="1208">
        <v>5000</v>
      </c>
      <c r="K449" s="1208"/>
      <c r="L449" s="1209">
        <f>SUM(I449:K449)</f>
        <v>5000</v>
      </c>
      <c r="M449" s="1227"/>
    </row>
    <row r="450" spans="1:13" ht="18" customHeight="1" x14ac:dyDescent="0.35">
      <c r="A450" s="1175">
        <v>441</v>
      </c>
      <c r="B450" s="1264"/>
      <c r="C450" s="1197"/>
      <c r="D450" s="1210" t="s">
        <v>245</v>
      </c>
      <c r="E450" s="1211"/>
      <c r="F450" s="1212"/>
      <c r="G450" s="1213"/>
      <c r="H450" s="1214"/>
      <c r="I450" s="1215"/>
      <c r="J450" s="1216"/>
      <c r="K450" s="1216"/>
      <c r="L450" s="1217">
        <f>SUM(F450:K450)</f>
        <v>0</v>
      </c>
      <c r="M450" s="1227"/>
    </row>
    <row r="451" spans="1:13" ht="18" customHeight="1" x14ac:dyDescent="0.35">
      <c r="A451" s="1175">
        <v>442</v>
      </c>
      <c r="B451" s="1264"/>
      <c r="C451" s="1197"/>
      <c r="D451" s="1206" t="s">
        <v>233</v>
      </c>
      <c r="E451" s="1218"/>
      <c r="F451" s="1219"/>
      <c r="G451" s="1220"/>
      <c r="H451" s="1221"/>
      <c r="I451" s="1207"/>
      <c r="J451" s="1208">
        <f>SUM(J449:J450)</f>
        <v>5000</v>
      </c>
      <c r="K451" s="1208"/>
      <c r="L451" s="1222">
        <f>SUM(F451:K451)</f>
        <v>5000</v>
      </c>
      <c r="M451" s="1227"/>
    </row>
    <row r="452" spans="1:13" ht="50.25" customHeight="1" x14ac:dyDescent="0.3">
      <c r="A452" s="1175">
        <v>443</v>
      </c>
      <c r="B452" s="1264"/>
      <c r="C452" s="1187">
        <v>111</v>
      </c>
      <c r="D452" s="1266" t="s">
        <v>857</v>
      </c>
      <c r="E452" s="1189">
        <f>F452+G452+L456+M453</f>
        <v>4600</v>
      </c>
      <c r="F452" s="1190"/>
      <c r="G452" s="1265"/>
      <c r="H452" s="1192" t="s">
        <v>296</v>
      </c>
      <c r="I452" s="1189"/>
      <c r="J452" s="1189"/>
      <c r="K452" s="1189"/>
      <c r="L452" s="1195"/>
      <c r="M452" s="1227"/>
    </row>
    <row r="453" spans="1:13" ht="18" customHeight="1" x14ac:dyDescent="0.35">
      <c r="A453" s="1175">
        <v>444</v>
      </c>
      <c r="B453" s="1264"/>
      <c r="C453" s="1197"/>
      <c r="D453" s="1198" t="s">
        <v>230</v>
      </c>
      <c r="E453" s="1199"/>
      <c r="F453" s="1200"/>
      <c r="G453" s="1201"/>
      <c r="H453" s="1202"/>
      <c r="I453" s="1203"/>
      <c r="J453" s="1204">
        <v>4600</v>
      </c>
      <c r="K453" s="1204"/>
      <c r="L453" s="1205">
        <f>SUM(I453:K453)</f>
        <v>4600</v>
      </c>
      <c r="M453" s="1227"/>
    </row>
    <row r="454" spans="1:13" ht="18" customHeight="1" x14ac:dyDescent="0.35">
      <c r="A454" s="1175">
        <v>445</v>
      </c>
      <c r="B454" s="1264"/>
      <c r="C454" s="1197"/>
      <c r="D454" s="1206" t="s">
        <v>231</v>
      </c>
      <c r="E454" s="1199"/>
      <c r="F454" s="1200"/>
      <c r="G454" s="1201"/>
      <c r="H454" s="1202"/>
      <c r="I454" s="1207"/>
      <c r="J454" s="1208">
        <v>4600</v>
      </c>
      <c r="K454" s="1208"/>
      <c r="L454" s="1209">
        <f>SUM(I454:K454)</f>
        <v>4600</v>
      </c>
      <c r="M454" s="1227"/>
    </row>
    <row r="455" spans="1:13" ht="18" customHeight="1" x14ac:dyDescent="0.35">
      <c r="A455" s="1175">
        <v>446</v>
      </c>
      <c r="B455" s="1264"/>
      <c r="C455" s="1197"/>
      <c r="D455" s="1210" t="s">
        <v>245</v>
      </c>
      <c r="E455" s="1211"/>
      <c r="F455" s="1212"/>
      <c r="G455" s="1213"/>
      <c r="H455" s="1214"/>
      <c r="I455" s="1215"/>
      <c r="J455" s="1216"/>
      <c r="K455" s="1216"/>
      <c r="L455" s="1217">
        <f>SUM(F455:K455)</f>
        <v>0</v>
      </c>
      <c r="M455" s="1227"/>
    </row>
    <row r="456" spans="1:13" ht="18" customHeight="1" x14ac:dyDescent="0.35">
      <c r="A456" s="1175">
        <v>447</v>
      </c>
      <c r="B456" s="1264"/>
      <c r="C456" s="1197"/>
      <c r="D456" s="1206" t="s">
        <v>233</v>
      </c>
      <c r="E456" s="1218"/>
      <c r="F456" s="1219"/>
      <c r="G456" s="1220"/>
      <c r="H456" s="1221"/>
      <c r="I456" s="1207"/>
      <c r="J456" s="1208">
        <f>SUM(J454:J455)</f>
        <v>4600</v>
      </c>
      <c r="K456" s="1208"/>
      <c r="L456" s="1222">
        <f>SUM(F456:K456)</f>
        <v>4600</v>
      </c>
      <c r="M456" s="1227"/>
    </row>
    <row r="457" spans="1:13" ht="21.75" customHeight="1" x14ac:dyDescent="0.3">
      <c r="A457" s="1175">
        <v>448</v>
      </c>
      <c r="B457" s="1264"/>
      <c r="C457" s="1197">
        <v>112</v>
      </c>
      <c r="D457" s="1272" t="s">
        <v>858</v>
      </c>
      <c r="E457" s="1189">
        <f>F457+G457+L461+M458</f>
        <v>120000</v>
      </c>
      <c r="F457" s="1190"/>
      <c r="G457" s="1265"/>
      <c r="H457" s="1192" t="s">
        <v>296</v>
      </c>
      <c r="I457" s="1189"/>
      <c r="J457" s="1189"/>
      <c r="K457" s="1189"/>
      <c r="L457" s="1195"/>
      <c r="M457" s="1227"/>
    </row>
    <row r="458" spans="1:13" ht="18" customHeight="1" x14ac:dyDescent="0.35">
      <c r="A458" s="1175">
        <v>449</v>
      </c>
      <c r="B458" s="1264"/>
      <c r="C458" s="1197"/>
      <c r="D458" s="1198" t="s">
        <v>230</v>
      </c>
      <c r="E458" s="1199"/>
      <c r="F458" s="1200"/>
      <c r="G458" s="1201"/>
      <c r="H458" s="1202"/>
      <c r="I458" s="1203"/>
      <c r="J458" s="1204">
        <v>120000</v>
      </c>
      <c r="K458" s="1204"/>
      <c r="L458" s="1205">
        <f>SUM(I458:K458)</f>
        <v>120000</v>
      </c>
      <c r="M458" s="1227"/>
    </row>
    <row r="459" spans="1:13" ht="18" customHeight="1" x14ac:dyDescent="0.35">
      <c r="A459" s="1175">
        <v>450</v>
      </c>
      <c r="B459" s="1264"/>
      <c r="C459" s="1197"/>
      <c r="D459" s="1206" t="s">
        <v>231</v>
      </c>
      <c r="E459" s="1199"/>
      <c r="F459" s="1200"/>
      <c r="G459" s="1201"/>
      <c r="H459" s="1202"/>
      <c r="I459" s="1207">
        <v>30000</v>
      </c>
      <c r="J459" s="1208">
        <v>90000</v>
      </c>
      <c r="K459" s="1208"/>
      <c r="L459" s="1209">
        <f>SUM(I459:K459)</f>
        <v>120000</v>
      </c>
      <c r="M459" s="1227"/>
    </row>
    <row r="460" spans="1:13" ht="18" customHeight="1" x14ac:dyDescent="0.35">
      <c r="A460" s="1175">
        <v>451</v>
      </c>
      <c r="B460" s="1264"/>
      <c r="C460" s="1197"/>
      <c r="D460" s="1210" t="s">
        <v>232</v>
      </c>
      <c r="E460" s="1211"/>
      <c r="F460" s="1212"/>
      <c r="G460" s="1213"/>
      <c r="H460" s="1214"/>
      <c r="I460" s="1215"/>
      <c r="J460" s="1216"/>
      <c r="K460" s="1216"/>
      <c r="L460" s="1217">
        <f>SUM(F460:K460)</f>
        <v>0</v>
      </c>
      <c r="M460" s="1227"/>
    </row>
    <row r="461" spans="1:13" ht="18" customHeight="1" x14ac:dyDescent="0.35">
      <c r="A461" s="1175">
        <v>452</v>
      </c>
      <c r="B461" s="1264"/>
      <c r="C461" s="1197"/>
      <c r="D461" s="1206" t="s">
        <v>233</v>
      </c>
      <c r="E461" s="1218"/>
      <c r="F461" s="1219"/>
      <c r="G461" s="1220"/>
      <c r="H461" s="1221"/>
      <c r="I461" s="1208">
        <f>SUM(I459:I460)</f>
        <v>30000</v>
      </c>
      <c r="J461" s="1208">
        <f>SUM(J459:J460)</f>
        <v>90000</v>
      </c>
      <c r="K461" s="1208"/>
      <c r="L461" s="1222">
        <f>SUM(F461:K461)</f>
        <v>120000</v>
      </c>
      <c r="M461" s="1227"/>
    </row>
    <row r="462" spans="1:13" ht="37.5" customHeight="1" x14ac:dyDescent="0.3">
      <c r="A462" s="1175">
        <v>453</v>
      </c>
      <c r="B462" s="1264"/>
      <c r="C462" s="1187">
        <v>113</v>
      </c>
      <c r="D462" s="1266" t="s">
        <v>859</v>
      </c>
      <c r="E462" s="1189">
        <f>F462+G462+L466+M463</f>
        <v>80000</v>
      </c>
      <c r="F462" s="1190"/>
      <c r="G462" s="1265"/>
      <c r="H462" s="1192" t="s">
        <v>296</v>
      </c>
      <c r="I462" s="1189"/>
      <c r="J462" s="1189"/>
      <c r="K462" s="1189"/>
      <c r="L462" s="1195"/>
      <c r="M462" s="1227"/>
    </row>
    <row r="463" spans="1:13" ht="18" customHeight="1" x14ac:dyDescent="0.35">
      <c r="A463" s="1175">
        <v>454</v>
      </c>
      <c r="B463" s="1264"/>
      <c r="C463" s="1197"/>
      <c r="D463" s="1198" t="s">
        <v>230</v>
      </c>
      <c r="E463" s="1199"/>
      <c r="F463" s="1200"/>
      <c r="G463" s="1201"/>
      <c r="H463" s="1202"/>
      <c r="I463" s="1203"/>
      <c r="J463" s="1204">
        <v>80000</v>
      </c>
      <c r="K463" s="1204"/>
      <c r="L463" s="1205">
        <f>SUM(I463:K463)</f>
        <v>80000</v>
      </c>
      <c r="M463" s="1227"/>
    </row>
    <row r="464" spans="1:13" ht="18" customHeight="1" x14ac:dyDescent="0.35">
      <c r="A464" s="1175">
        <v>455</v>
      </c>
      <c r="B464" s="1264"/>
      <c r="C464" s="1197"/>
      <c r="D464" s="1206" t="s">
        <v>231</v>
      </c>
      <c r="E464" s="1199"/>
      <c r="F464" s="1200"/>
      <c r="G464" s="1201"/>
      <c r="H464" s="1202"/>
      <c r="I464" s="1207"/>
      <c r="J464" s="1208">
        <v>80000</v>
      </c>
      <c r="K464" s="1208"/>
      <c r="L464" s="1209">
        <f>SUM(I464:K464)</f>
        <v>80000</v>
      </c>
      <c r="M464" s="1227"/>
    </row>
    <row r="465" spans="1:13" ht="18" customHeight="1" x14ac:dyDescent="0.35">
      <c r="A465" s="1175">
        <v>456</v>
      </c>
      <c r="B465" s="1264"/>
      <c r="C465" s="1197"/>
      <c r="D465" s="1210" t="s">
        <v>245</v>
      </c>
      <c r="E465" s="1211"/>
      <c r="F465" s="1212"/>
      <c r="G465" s="1213"/>
      <c r="H465" s="1214"/>
      <c r="I465" s="1215"/>
      <c r="J465" s="1216"/>
      <c r="K465" s="1216"/>
      <c r="L465" s="1217">
        <f>SUM(F465:K465)</f>
        <v>0</v>
      </c>
      <c r="M465" s="1227"/>
    </row>
    <row r="466" spans="1:13" ht="18" customHeight="1" x14ac:dyDescent="0.35">
      <c r="A466" s="1175">
        <v>457</v>
      </c>
      <c r="B466" s="1264"/>
      <c r="C466" s="1197"/>
      <c r="D466" s="1206" t="s">
        <v>233</v>
      </c>
      <c r="E466" s="1218"/>
      <c r="F466" s="1219"/>
      <c r="G466" s="1220"/>
      <c r="H466" s="1221"/>
      <c r="I466" s="1207"/>
      <c r="J466" s="1208">
        <f>SUM(J464:J465)</f>
        <v>80000</v>
      </c>
      <c r="K466" s="1208"/>
      <c r="L466" s="1222">
        <f>SUM(F466:K466)</f>
        <v>80000</v>
      </c>
      <c r="M466" s="1227"/>
    </row>
    <row r="467" spans="1:13" ht="21.75" customHeight="1" x14ac:dyDescent="0.3">
      <c r="A467" s="1175">
        <v>458</v>
      </c>
      <c r="B467" s="1264"/>
      <c r="C467" s="1197">
        <v>114</v>
      </c>
      <c r="D467" s="1266" t="s">
        <v>26</v>
      </c>
      <c r="E467" s="1189">
        <f>F467+G467+L471+M468</f>
        <v>13500</v>
      </c>
      <c r="F467" s="1190"/>
      <c r="G467" s="1265"/>
      <c r="H467" s="1192" t="s">
        <v>296</v>
      </c>
      <c r="I467" s="1189"/>
      <c r="J467" s="1189"/>
      <c r="K467" s="1189"/>
      <c r="L467" s="1195"/>
      <c r="M467" s="1227"/>
    </row>
    <row r="468" spans="1:13" ht="18" customHeight="1" x14ac:dyDescent="0.35">
      <c r="A468" s="1175">
        <v>459</v>
      </c>
      <c r="B468" s="1264"/>
      <c r="C468" s="1197"/>
      <c r="D468" s="1198" t="s">
        <v>230</v>
      </c>
      <c r="E468" s="1199"/>
      <c r="F468" s="1200"/>
      <c r="G468" s="1201"/>
      <c r="H468" s="1202"/>
      <c r="I468" s="1203"/>
      <c r="J468" s="1204">
        <v>11500</v>
      </c>
      <c r="K468" s="1204"/>
      <c r="L468" s="1205">
        <f>SUM(I468:K468)</f>
        <v>11500</v>
      </c>
      <c r="M468" s="1227"/>
    </row>
    <row r="469" spans="1:13" ht="18" customHeight="1" x14ac:dyDescent="0.35">
      <c r="A469" s="1175">
        <v>460</v>
      </c>
      <c r="B469" s="1264"/>
      <c r="C469" s="1197"/>
      <c r="D469" s="1206" t="s">
        <v>231</v>
      </c>
      <c r="E469" s="1199"/>
      <c r="F469" s="1200"/>
      <c r="G469" s="1201"/>
      <c r="H469" s="1202"/>
      <c r="I469" s="1207"/>
      <c r="J469" s="1208">
        <v>11500</v>
      </c>
      <c r="K469" s="1208"/>
      <c r="L469" s="1209">
        <f>SUM(I469:K469)</f>
        <v>11500</v>
      </c>
      <c r="M469" s="1227"/>
    </row>
    <row r="470" spans="1:13" ht="18" customHeight="1" x14ac:dyDescent="0.35">
      <c r="A470" s="1175">
        <v>461</v>
      </c>
      <c r="B470" s="1264"/>
      <c r="C470" s="1197"/>
      <c r="D470" s="1210" t="s">
        <v>287</v>
      </c>
      <c r="E470" s="1211"/>
      <c r="F470" s="1212"/>
      <c r="G470" s="1213"/>
      <c r="H470" s="1214"/>
      <c r="I470" s="1215"/>
      <c r="J470" s="1216">
        <v>2000</v>
      </c>
      <c r="K470" s="1216"/>
      <c r="L470" s="1217">
        <f>SUM(F470:K470)</f>
        <v>2000</v>
      </c>
      <c r="M470" s="1227"/>
    </row>
    <row r="471" spans="1:13" ht="18" customHeight="1" x14ac:dyDescent="0.35">
      <c r="A471" s="1175">
        <v>462</v>
      </c>
      <c r="B471" s="1264"/>
      <c r="C471" s="1197"/>
      <c r="D471" s="1206" t="s">
        <v>233</v>
      </c>
      <c r="E471" s="1218"/>
      <c r="F471" s="1219"/>
      <c r="G471" s="1220"/>
      <c r="H471" s="1221"/>
      <c r="I471" s="1207"/>
      <c r="J471" s="1208">
        <f>SUM(J469:J470)</f>
        <v>13500</v>
      </c>
      <c r="K471" s="1208"/>
      <c r="L471" s="1222">
        <f>SUM(F471:K471)</f>
        <v>13500</v>
      </c>
      <c r="M471" s="1227"/>
    </row>
    <row r="472" spans="1:13" ht="34.5" customHeight="1" x14ac:dyDescent="0.3">
      <c r="A472" s="1175">
        <v>463</v>
      </c>
      <c r="B472" s="1264"/>
      <c r="C472" s="1187">
        <v>115</v>
      </c>
      <c r="D472" s="1266" t="s">
        <v>860</v>
      </c>
      <c r="E472" s="1189">
        <f>F472+G472+L476+M473</f>
        <v>40000</v>
      </c>
      <c r="F472" s="1190"/>
      <c r="G472" s="1265"/>
      <c r="H472" s="1192" t="s">
        <v>296</v>
      </c>
      <c r="I472" s="1189"/>
      <c r="J472" s="1189"/>
      <c r="K472" s="1189"/>
      <c r="L472" s="1195"/>
      <c r="M472" s="1227"/>
    </row>
    <row r="473" spans="1:13" ht="18" customHeight="1" x14ac:dyDescent="0.35">
      <c r="A473" s="1175">
        <v>464</v>
      </c>
      <c r="B473" s="1264"/>
      <c r="C473" s="1197"/>
      <c r="D473" s="1198" t="s">
        <v>230</v>
      </c>
      <c r="E473" s="1199"/>
      <c r="F473" s="1200"/>
      <c r="G473" s="1201"/>
      <c r="H473" s="1202"/>
      <c r="I473" s="1203"/>
      <c r="J473" s="1204">
        <v>40000</v>
      </c>
      <c r="K473" s="1204"/>
      <c r="L473" s="1205">
        <f>SUM(I473:K473)</f>
        <v>40000</v>
      </c>
      <c r="M473" s="1227"/>
    </row>
    <row r="474" spans="1:13" ht="18" customHeight="1" x14ac:dyDescent="0.35">
      <c r="A474" s="1175">
        <v>465</v>
      </c>
      <c r="B474" s="1264"/>
      <c r="C474" s="1197"/>
      <c r="D474" s="1206" t="s">
        <v>231</v>
      </c>
      <c r="E474" s="1199"/>
      <c r="F474" s="1200"/>
      <c r="G474" s="1201"/>
      <c r="H474" s="1202"/>
      <c r="I474" s="1207"/>
      <c r="J474" s="1208">
        <v>40000</v>
      </c>
      <c r="K474" s="1208"/>
      <c r="L474" s="1209">
        <f>SUM(I474:K474)</f>
        <v>40000</v>
      </c>
      <c r="M474" s="1227"/>
    </row>
    <row r="475" spans="1:13" ht="18" customHeight="1" x14ac:dyDescent="0.35">
      <c r="A475" s="1175">
        <v>466</v>
      </c>
      <c r="B475" s="1264"/>
      <c r="C475" s="1197"/>
      <c r="D475" s="1210" t="s">
        <v>245</v>
      </c>
      <c r="E475" s="1211"/>
      <c r="F475" s="1212"/>
      <c r="G475" s="1213"/>
      <c r="H475" s="1214"/>
      <c r="I475" s="1215"/>
      <c r="J475" s="1216"/>
      <c r="K475" s="1216"/>
      <c r="L475" s="1217">
        <f>SUM(F475:K475)</f>
        <v>0</v>
      </c>
      <c r="M475" s="1227"/>
    </row>
    <row r="476" spans="1:13" ht="18" customHeight="1" x14ac:dyDescent="0.35">
      <c r="A476" s="1175">
        <v>467</v>
      </c>
      <c r="B476" s="1264"/>
      <c r="C476" s="1197"/>
      <c r="D476" s="1206" t="s">
        <v>233</v>
      </c>
      <c r="E476" s="1218"/>
      <c r="F476" s="1219"/>
      <c r="G476" s="1220"/>
      <c r="H476" s="1221"/>
      <c r="I476" s="1207"/>
      <c r="J476" s="1208">
        <f>SUM(J474:J475)</f>
        <v>40000</v>
      </c>
      <c r="K476" s="1208"/>
      <c r="L476" s="1222">
        <f>SUM(F476:K476)</f>
        <v>40000</v>
      </c>
      <c r="M476" s="1227"/>
    </row>
    <row r="477" spans="1:13" ht="34.5" customHeight="1" x14ac:dyDescent="0.3">
      <c r="A477" s="1175">
        <v>468</v>
      </c>
      <c r="B477" s="1264"/>
      <c r="C477" s="1187">
        <v>116</v>
      </c>
      <c r="D477" s="1266" t="s">
        <v>861</v>
      </c>
      <c r="E477" s="1189">
        <f>F477+G477+L481+M478</f>
        <v>20000</v>
      </c>
      <c r="F477" s="1190"/>
      <c r="G477" s="1265"/>
      <c r="H477" s="1192" t="s">
        <v>296</v>
      </c>
      <c r="I477" s="1189"/>
      <c r="J477" s="1189"/>
      <c r="K477" s="1189"/>
      <c r="L477" s="1195"/>
      <c r="M477" s="1227"/>
    </row>
    <row r="478" spans="1:13" ht="18" customHeight="1" x14ac:dyDescent="0.35">
      <c r="A478" s="1175">
        <v>469</v>
      </c>
      <c r="B478" s="1264"/>
      <c r="C478" s="1197"/>
      <c r="D478" s="1198" t="s">
        <v>230</v>
      </c>
      <c r="E478" s="1199"/>
      <c r="F478" s="1200"/>
      <c r="G478" s="1201"/>
      <c r="H478" s="1202"/>
      <c r="I478" s="1203"/>
      <c r="J478" s="1204">
        <v>20000</v>
      </c>
      <c r="K478" s="1204"/>
      <c r="L478" s="1205">
        <f>SUM(I478:K478)</f>
        <v>20000</v>
      </c>
      <c r="M478" s="1227"/>
    </row>
    <row r="479" spans="1:13" ht="18" customHeight="1" x14ac:dyDescent="0.35">
      <c r="A479" s="1175">
        <v>470</v>
      </c>
      <c r="B479" s="1264"/>
      <c r="C479" s="1197"/>
      <c r="D479" s="1206" t="s">
        <v>231</v>
      </c>
      <c r="E479" s="1199"/>
      <c r="F479" s="1200"/>
      <c r="G479" s="1201"/>
      <c r="H479" s="1202"/>
      <c r="I479" s="1207"/>
      <c r="J479" s="1208">
        <v>20000</v>
      </c>
      <c r="K479" s="1208"/>
      <c r="L479" s="1209">
        <f>SUM(I479:K479)</f>
        <v>20000</v>
      </c>
      <c r="M479" s="1227"/>
    </row>
    <row r="480" spans="1:13" ht="18" customHeight="1" x14ac:dyDescent="0.35">
      <c r="A480" s="1175">
        <v>471</v>
      </c>
      <c r="B480" s="1264"/>
      <c r="C480" s="1197"/>
      <c r="D480" s="1210" t="s">
        <v>245</v>
      </c>
      <c r="E480" s="1211"/>
      <c r="F480" s="1212"/>
      <c r="G480" s="1213"/>
      <c r="H480" s="1214"/>
      <c r="I480" s="1215"/>
      <c r="J480" s="1216"/>
      <c r="K480" s="1216"/>
      <c r="L480" s="1217">
        <f>SUM(F480:K480)</f>
        <v>0</v>
      </c>
      <c r="M480" s="1227"/>
    </row>
    <row r="481" spans="1:13" ht="18" customHeight="1" x14ac:dyDescent="0.35">
      <c r="A481" s="1175">
        <v>472</v>
      </c>
      <c r="B481" s="1264"/>
      <c r="C481" s="1197"/>
      <c r="D481" s="1206" t="s">
        <v>233</v>
      </c>
      <c r="E481" s="1218"/>
      <c r="F481" s="1219"/>
      <c r="G481" s="1220"/>
      <c r="H481" s="1221"/>
      <c r="I481" s="1207"/>
      <c r="J481" s="1208">
        <f>SUM(J479:J480)</f>
        <v>20000</v>
      </c>
      <c r="K481" s="1208"/>
      <c r="L481" s="1222">
        <f>SUM(F481:K481)</f>
        <v>20000</v>
      </c>
      <c r="M481" s="1227"/>
    </row>
    <row r="482" spans="1:13" ht="21.75" customHeight="1" x14ac:dyDescent="0.3">
      <c r="A482" s="1175">
        <v>473</v>
      </c>
      <c r="B482" s="1264"/>
      <c r="C482" s="1197">
        <v>117</v>
      </c>
      <c r="D482" s="1266" t="s">
        <v>862</v>
      </c>
      <c r="E482" s="1189">
        <f>F482+G482+L486+M483</f>
        <v>5500</v>
      </c>
      <c r="F482" s="1190"/>
      <c r="G482" s="1265"/>
      <c r="H482" s="1192" t="s">
        <v>296</v>
      </c>
      <c r="I482" s="1189"/>
      <c r="J482" s="1189"/>
      <c r="K482" s="1189"/>
      <c r="L482" s="1195"/>
      <c r="M482" s="1227"/>
    </row>
    <row r="483" spans="1:13" ht="18" customHeight="1" x14ac:dyDescent="0.35">
      <c r="A483" s="1175">
        <v>474</v>
      </c>
      <c r="B483" s="1264"/>
      <c r="C483" s="1197"/>
      <c r="D483" s="1198" t="s">
        <v>230</v>
      </c>
      <c r="E483" s="1199"/>
      <c r="F483" s="1200"/>
      <c r="G483" s="1201"/>
      <c r="H483" s="1202"/>
      <c r="I483" s="1203"/>
      <c r="J483" s="1204">
        <v>5500</v>
      </c>
      <c r="K483" s="1204"/>
      <c r="L483" s="1205">
        <f>SUM(I483:K483)</f>
        <v>5500</v>
      </c>
      <c r="M483" s="1227"/>
    </row>
    <row r="484" spans="1:13" ht="18" customHeight="1" x14ac:dyDescent="0.35">
      <c r="A484" s="1175">
        <v>475</v>
      </c>
      <c r="B484" s="1264"/>
      <c r="C484" s="1197"/>
      <c r="D484" s="1206" t="s">
        <v>231</v>
      </c>
      <c r="E484" s="1199"/>
      <c r="F484" s="1200"/>
      <c r="G484" s="1201"/>
      <c r="H484" s="1202"/>
      <c r="I484" s="1207"/>
      <c r="J484" s="1208">
        <v>5500</v>
      </c>
      <c r="K484" s="1208"/>
      <c r="L484" s="1209">
        <f>SUM(I484:K484)</f>
        <v>5500</v>
      </c>
      <c r="M484" s="1227"/>
    </row>
    <row r="485" spans="1:13" ht="18" customHeight="1" x14ac:dyDescent="0.35">
      <c r="A485" s="1175">
        <v>476</v>
      </c>
      <c r="B485" s="1264"/>
      <c r="C485" s="1197"/>
      <c r="D485" s="1210" t="s">
        <v>245</v>
      </c>
      <c r="E485" s="1211"/>
      <c r="F485" s="1212"/>
      <c r="G485" s="1213"/>
      <c r="H485" s="1214"/>
      <c r="I485" s="1215"/>
      <c r="J485" s="1216"/>
      <c r="K485" s="1216"/>
      <c r="L485" s="1217">
        <f>SUM(F485:K485)</f>
        <v>0</v>
      </c>
      <c r="M485" s="1227"/>
    </row>
    <row r="486" spans="1:13" ht="18" customHeight="1" x14ac:dyDescent="0.35">
      <c r="A486" s="1175">
        <v>477</v>
      </c>
      <c r="B486" s="1264"/>
      <c r="C486" s="1197"/>
      <c r="D486" s="1206" t="s">
        <v>233</v>
      </c>
      <c r="E486" s="1218"/>
      <c r="F486" s="1219"/>
      <c r="G486" s="1220"/>
      <c r="H486" s="1221"/>
      <c r="I486" s="1207"/>
      <c r="J486" s="1208">
        <f>SUM(J484:J485)</f>
        <v>5500</v>
      </c>
      <c r="K486" s="1208"/>
      <c r="L486" s="1222">
        <f>SUM(F486:K486)</f>
        <v>5500</v>
      </c>
      <c r="M486" s="1227"/>
    </row>
    <row r="487" spans="1:13" ht="21.75" customHeight="1" x14ac:dyDescent="0.3">
      <c r="A487" s="1175">
        <v>478</v>
      </c>
      <c r="B487" s="1264"/>
      <c r="C487" s="1197">
        <v>118</v>
      </c>
      <c r="D487" s="1266" t="s">
        <v>863</v>
      </c>
      <c r="E487" s="1189">
        <f>F487+G487+L491+M488</f>
        <v>20000</v>
      </c>
      <c r="F487" s="1190"/>
      <c r="G487" s="1265"/>
      <c r="H487" s="1192" t="s">
        <v>106</v>
      </c>
      <c r="I487" s="1189"/>
      <c r="J487" s="1189"/>
      <c r="K487" s="1189"/>
      <c r="L487" s="1195"/>
      <c r="M487" s="1227"/>
    </row>
    <row r="488" spans="1:13" ht="18" customHeight="1" x14ac:dyDescent="0.35">
      <c r="A488" s="1175">
        <v>479</v>
      </c>
      <c r="B488" s="1264"/>
      <c r="C488" s="1197"/>
      <c r="D488" s="1198" t="s">
        <v>230</v>
      </c>
      <c r="E488" s="1199"/>
      <c r="F488" s="1200"/>
      <c r="G488" s="1201"/>
      <c r="H488" s="1202"/>
      <c r="I488" s="1203"/>
      <c r="J488" s="1204">
        <v>20000</v>
      </c>
      <c r="K488" s="1204"/>
      <c r="L488" s="1205">
        <f>SUM(I488:K488)</f>
        <v>20000</v>
      </c>
      <c r="M488" s="1227"/>
    </row>
    <row r="489" spans="1:13" ht="18" customHeight="1" x14ac:dyDescent="0.35">
      <c r="A489" s="1175">
        <v>480</v>
      </c>
      <c r="B489" s="1264"/>
      <c r="C489" s="1197"/>
      <c r="D489" s="1206" t="s">
        <v>231</v>
      </c>
      <c r="E489" s="1199"/>
      <c r="F489" s="1200"/>
      <c r="G489" s="1201"/>
      <c r="H489" s="1202"/>
      <c r="I489" s="1207"/>
      <c r="J489" s="1208">
        <v>20000</v>
      </c>
      <c r="K489" s="1208"/>
      <c r="L489" s="1209">
        <f>SUM(I489:K489)</f>
        <v>20000</v>
      </c>
      <c r="M489" s="1227"/>
    </row>
    <row r="490" spans="1:13" ht="18" customHeight="1" x14ac:dyDescent="0.35">
      <c r="A490" s="1175">
        <v>481</v>
      </c>
      <c r="B490" s="1264"/>
      <c r="C490" s="1197"/>
      <c r="D490" s="1210" t="s">
        <v>245</v>
      </c>
      <c r="E490" s="1211"/>
      <c r="F490" s="1212"/>
      <c r="G490" s="1213"/>
      <c r="H490" s="1214"/>
      <c r="I490" s="1215"/>
      <c r="J490" s="1216"/>
      <c r="K490" s="1216"/>
      <c r="L490" s="1217">
        <f>SUM(F490:K490)</f>
        <v>0</v>
      </c>
      <c r="M490" s="1227"/>
    </row>
    <row r="491" spans="1:13" ht="18" customHeight="1" x14ac:dyDescent="0.35">
      <c r="A491" s="1175">
        <v>482</v>
      </c>
      <c r="B491" s="1264"/>
      <c r="C491" s="1197"/>
      <c r="D491" s="1206" t="s">
        <v>233</v>
      </c>
      <c r="E491" s="1218"/>
      <c r="F491" s="1219"/>
      <c r="G491" s="1220"/>
      <c r="H491" s="1221"/>
      <c r="I491" s="1207"/>
      <c r="J491" s="1208">
        <f>SUM(J489:J490)</f>
        <v>20000</v>
      </c>
      <c r="K491" s="1208"/>
      <c r="L491" s="1222">
        <f>SUM(F491:K491)</f>
        <v>20000</v>
      </c>
      <c r="M491" s="1227"/>
    </row>
    <row r="492" spans="1:13" ht="21.75" customHeight="1" x14ac:dyDescent="0.3">
      <c r="A492" s="1175">
        <v>483</v>
      </c>
      <c r="B492" s="1264"/>
      <c r="C492" s="1197">
        <v>119</v>
      </c>
      <c r="D492" s="1266" t="s">
        <v>864</v>
      </c>
      <c r="E492" s="1189">
        <f>F492+G492+L496+M493</f>
        <v>20000</v>
      </c>
      <c r="F492" s="1190"/>
      <c r="G492" s="1265"/>
      <c r="H492" s="1192" t="s">
        <v>106</v>
      </c>
      <c r="I492" s="1189"/>
      <c r="J492" s="1189"/>
      <c r="K492" s="1189"/>
      <c r="L492" s="1195"/>
      <c r="M492" s="1227"/>
    </row>
    <row r="493" spans="1:13" ht="18" customHeight="1" x14ac:dyDescent="0.35">
      <c r="A493" s="1175">
        <v>484</v>
      </c>
      <c r="B493" s="1264"/>
      <c r="C493" s="1197"/>
      <c r="D493" s="1198" t="s">
        <v>230</v>
      </c>
      <c r="E493" s="1199"/>
      <c r="F493" s="1200"/>
      <c r="G493" s="1201"/>
      <c r="H493" s="1202"/>
      <c r="I493" s="1203"/>
      <c r="J493" s="1204">
        <v>20000</v>
      </c>
      <c r="K493" s="1204"/>
      <c r="L493" s="1205">
        <f>SUM(I493:K493)</f>
        <v>20000</v>
      </c>
      <c r="M493" s="1227"/>
    </row>
    <row r="494" spans="1:13" ht="18" customHeight="1" x14ac:dyDescent="0.35">
      <c r="A494" s="1175">
        <v>485</v>
      </c>
      <c r="B494" s="1264"/>
      <c r="C494" s="1197"/>
      <c r="D494" s="1206" t="s">
        <v>231</v>
      </c>
      <c r="E494" s="1199"/>
      <c r="F494" s="1200"/>
      <c r="G494" s="1201"/>
      <c r="H494" s="1202"/>
      <c r="I494" s="1207"/>
      <c r="J494" s="1208">
        <v>20000</v>
      </c>
      <c r="K494" s="1208"/>
      <c r="L494" s="1209">
        <f>SUM(I494:K494)</f>
        <v>20000</v>
      </c>
      <c r="M494" s="1227"/>
    </row>
    <row r="495" spans="1:13" ht="18" customHeight="1" x14ac:dyDescent="0.35">
      <c r="A495" s="1175">
        <v>486</v>
      </c>
      <c r="B495" s="1264"/>
      <c r="C495" s="1197"/>
      <c r="D495" s="1210" t="s">
        <v>245</v>
      </c>
      <c r="E495" s="1211"/>
      <c r="F495" s="1212"/>
      <c r="G495" s="1213"/>
      <c r="H495" s="1214"/>
      <c r="I495" s="1215"/>
      <c r="J495" s="1216"/>
      <c r="K495" s="1216"/>
      <c r="L495" s="1217">
        <f>SUM(F495:K495)</f>
        <v>0</v>
      </c>
      <c r="M495" s="1227"/>
    </row>
    <row r="496" spans="1:13" ht="18" customHeight="1" x14ac:dyDescent="0.35">
      <c r="A496" s="1175">
        <v>487</v>
      </c>
      <c r="B496" s="1264"/>
      <c r="C496" s="1197"/>
      <c r="D496" s="1206" t="s">
        <v>233</v>
      </c>
      <c r="E496" s="1218"/>
      <c r="F496" s="1219"/>
      <c r="G496" s="1220"/>
      <c r="H496" s="1221"/>
      <c r="I496" s="1207"/>
      <c r="J496" s="1208">
        <f>SUM(J494:J495)</f>
        <v>20000</v>
      </c>
      <c r="K496" s="1208"/>
      <c r="L496" s="1222">
        <f>SUM(F496:K496)</f>
        <v>20000</v>
      </c>
      <c r="M496" s="1227"/>
    </row>
    <row r="497" spans="1:13" ht="21.75" customHeight="1" x14ac:dyDescent="0.3">
      <c r="A497" s="1175">
        <v>488</v>
      </c>
      <c r="B497" s="1264"/>
      <c r="C497" s="1197">
        <v>120</v>
      </c>
      <c r="D497" s="1266" t="s">
        <v>865</v>
      </c>
      <c r="E497" s="1189">
        <f>F497+G497+L501+M498</f>
        <v>16608</v>
      </c>
      <c r="F497" s="1190"/>
      <c r="G497" s="1265"/>
      <c r="H497" s="1192" t="s">
        <v>296</v>
      </c>
      <c r="I497" s="1189"/>
      <c r="J497" s="1189"/>
      <c r="K497" s="1189"/>
      <c r="L497" s="1195"/>
      <c r="M497" s="1227"/>
    </row>
    <row r="498" spans="1:13" ht="18" customHeight="1" x14ac:dyDescent="0.35">
      <c r="A498" s="1175">
        <v>489</v>
      </c>
      <c r="B498" s="1264"/>
      <c r="C498" s="1197"/>
      <c r="D498" s="1198" t="s">
        <v>230</v>
      </c>
      <c r="E498" s="1199"/>
      <c r="F498" s="1200"/>
      <c r="G498" s="1201"/>
      <c r="H498" s="1202"/>
      <c r="I498" s="1203"/>
      <c r="J498" s="1204">
        <v>15000</v>
      </c>
      <c r="K498" s="1204"/>
      <c r="L498" s="1205">
        <f>SUM(I498:K498)</f>
        <v>15000</v>
      </c>
      <c r="M498" s="1227"/>
    </row>
    <row r="499" spans="1:13" ht="18" customHeight="1" x14ac:dyDescent="0.35">
      <c r="A499" s="1175">
        <v>490</v>
      </c>
      <c r="B499" s="1264"/>
      <c r="C499" s="1197"/>
      <c r="D499" s="1206" t="s">
        <v>231</v>
      </c>
      <c r="E499" s="1199"/>
      <c r="F499" s="1200"/>
      <c r="G499" s="1201"/>
      <c r="H499" s="1202"/>
      <c r="I499" s="1207"/>
      <c r="J499" s="1208">
        <v>16608</v>
      </c>
      <c r="K499" s="1208"/>
      <c r="L499" s="1209">
        <f>SUM(I499:K499)</f>
        <v>16608</v>
      </c>
      <c r="M499" s="1227"/>
    </row>
    <row r="500" spans="1:13" ht="18" customHeight="1" x14ac:dyDescent="0.35">
      <c r="A500" s="1175">
        <v>491</v>
      </c>
      <c r="B500" s="1264"/>
      <c r="C500" s="1197"/>
      <c r="D500" s="1210" t="s">
        <v>232</v>
      </c>
      <c r="E500" s="1211"/>
      <c r="F500" s="1212"/>
      <c r="G500" s="1213"/>
      <c r="H500" s="1214"/>
      <c r="I500" s="1215"/>
      <c r="J500" s="1216"/>
      <c r="K500" s="1216"/>
      <c r="L500" s="1217">
        <f>SUM(F500:K500)</f>
        <v>0</v>
      </c>
      <c r="M500" s="1227"/>
    </row>
    <row r="501" spans="1:13" ht="18" customHeight="1" x14ac:dyDescent="0.35">
      <c r="A501" s="1175">
        <v>492</v>
      </c>
      <c r="B501" s="1264"/>
      <c r="C501" s="1197"/>
      <c r="D501" s="1206" t="s">
        <v>233</v>
      </c>
      <c r="E501" s="1218"/>
      <c r="F501" s="1219"/>
      <c r="G501" s="1220"/>
      <c r="H501" s="1221"/>
      <c r="I501" s="1207"/>
      <c r="J501" s="1208">
        <f>SUM(J499:J500)</f>
        <v>16608</v>
      </c>
      <c r="K501" s="1208"/>
      <c r="L501" s="1222">
        <f>SUM(F501:K501)</f>
        <v>16608</v>
      </c>
      <c r="M501" s="1227"/>
    </row>
    <row r="502" spans="1:13" ht="21.75" customHeight="1" x14ac:dyDescent="0.3">
      <c r="A502" s="1175">
        <v>493</v>
      </c>
      <c r="B502" s="1264"/>
      <c r="C502" s="1197">
        <v>121</v>
      </c>
      <c r="D502" s="1266" t="s">
        <v>866</v>
      </c>
      <c r="E502" s="1189">
        <f>F502+G502+L506+M503</f>
        <v>15000</v>
      </c>
      <c r="F502" s="1190"/>
      <c r="G502" s="1265"/>
      <c r="H502" s="1192" t="s">
        <v>296</v>
      </c>
      <c r="I502" s="1189"/>
      <c r="J502" s="1189"/>
      <c r="K502" s="1189"/>
      <c r="L502" s="1195"/>
      <c r="M502" s="1227"/>
    </row>
    <row r="503" spans="1:13" ht="18" customHeight="1" x14ac:dyDescent="0.35">
      <c r="A503" s="1175">
        <v>494</v>
      </c>
      <c r="B503" s="1264"/>
      <c r="C503" s="1197"/>
      <c r="D503" s="1198" t="s">
        <v>230</v>
      </c>
      <c r="E503" s="1199"/>
      <c r="F503" s="1200"/>
      <c r="G503" s="1201"/>
      <c r="H503" s="1202"/>
      <c r="I503" s="1203"/>
      <c r="J503" s="1204">
        <v>15000</v>
      </c>
      <c r="K503" s="1204"/>
      <c r="L503" s="1205">
        <f>SUM(I503:K503)</f>
        <v>15000</v>
      </c>
      <c r="M503" s="1227"/>
    </row>
    <row r="504" spans="1:13" ht="18" customHeight="1" x14ac:dyDescent="0.35">
      <c r="A504" s="1175">
        <v>495</v>
      </c>
      <c r="B504" s="1264"/>
      <c r="C504" s="1197"/>
      <c r="D504" s="1206" t="s">
        <v>231</v>
      </c>
      <c r="E504" s="1199"/>
      <c r="F504" s="1200"/>
      <c r="G504" s="1201"/>
      <c r="H504" s="1202"/>
      <c r="I504" s="1207"/>
      <c r="J504" s="1208">
        <v>15000</v>
      </c>
      <c r="K504" s="1208"/>
      <c r="L504" s="1209">
        <f>SUM(I504:K504)</f>
        <v>15000</v>
      </c>
      <c r="M504" s="1227"/>
    </row>
    <row r="505" spans="1:13" ht="18" customHeight="1" x14ac:dyDescent="0.35">
      <c r="A505" s="1175">
        <v>496</v>
      </c>
      <c r="B505" s="1264"/>
      <c r="C505" s="1197"/>
      <c r="D505" s="1210" t="s">
        <v>245</v>
      </c>
      <c r="E505" s="1211"/>
      <c r="F505" s="1212"/>
      <c r="G505" s="1213"/>
      <c r="H505" s="1214"/>
      <c r="I505" s="1215"/>
      <c r="J505" s="1216"/>
      <c r="K505" s="1216"/>
      <c r="L505" s="1217">
        <f>SUM(F505:K505)</f>
        <v>0</v>
      </c>
      <c r="M505" s="1227"/>
    </row>
    <row r="506" spans="1:13" ht="18" customHeight="1" x14ac:dyDescent="0.35">
      <c r="A506" s="1175">
        <v>497</v>
      </c>
      <c r="B506" s="1264"/>
      <c r="C506" s="1197"/>
      <c r="D506" s="1206" t="s">
        <v>233</v>
      </c>
      <c r="E506" s="1218"/>
      <c r="F506" s="1219"/>
      <c r="G506" s="1220"/>
      <c r="H506" s="1221"/>
      <c r="I506" s="1207"/>
      <c r="J506" s="1208">
        <f>SUM(J504:J505)</f>
        <v>15000</v>
      </c>
      <c r="K506" s="1208"/>
      <c r="L506" s="1222">
        <f>SUM(F506:K506)</f>
        <v>15000</v>
      </c>
      <c r="M506" s="1227"/>
    </row>
    <row r="507" spans="1:13" ht="21.75" customHeight="1" x14ac:dyDescent="0.3">
      <c r="A507" s="1175">
        <v>498</v>
      </c>
      <c r="B507" s="1264"/>
      <c r="C507" s="1197">
        <v>122</v>
      </c>
      <c r="D507" s="1266" t="s">
        <v>867</v>
      </c>
      <c r="E507" s="1189">
        <f>F507+G507+L511+M508</f>
        <v>30000</v>
      </c>
      <c r="F507" s="1190"/>
      <c r="G507" s="1265"/>
      <c r="H507" s="1192" t="s">
        <v>296</v>
      </c>
      <c r="I507" s="1189"/>
      <c r="J507" s="1189"/>
      <c r="K507" s="1189"/>
      <c r="L507" s="1195"/>
      <c r="M507" s="1227"/>
    </row>
    <row r="508" spans="1:13" ht="18" customHeight="1" x14ac:dyDescent="0.35">
      <c r="A508" s="1175">
        <v>499</v>
      </c>
      <c r="B508" s="1264"/>
      <c r="C508" s="1197"/>
      <c r="D508" s="1198" t="s">
        <v>230</v>
      </c>
      <c r="E508" s="1199"/>
      <c r="F508" s="1200"/>
      <c r="G508" s="1201"/>
      <c r="H508" s="1202"/>
      <c r="I508" s="1203"/>
      <c r="J508" s="1204">
        <v>30000</v>
      </c>
      <c r="K508" s="1204"/>
      <c r="L508" s="1205">
        <f>SUM(I508:K508)</f>
        <v>30000</v>
      </c>
      <c r="M508" s="1227"/>
    </row>
    <row r="509" spans="1:13" ht="18" customHeight="1" x14ac:dyDescent="0.35">
      <c r="A509" s="1175">
        <v>500</v>
      </c>
      <c r="B509" s="1264"/>
      <c r="C509" s="1197"/>
      <c r="D509" s="1206" t="s">
        <v>231</v>
      </c>
      <c r="E509" s="1199"/>
      <c r="F509" s="1200"/>
      <c r="G509" s="1201"/>
      <c r="H509" s="1202"/>
      <c r="I509" s="1207"/>
      <c r="J509" s="1208">
        <v>30000</v>
      </c>
      <c r="K509" s="1208"/>
      <c r="L509" s="1209">
        <f>SUM(I509:K509)</f>
        <v>30000</v>
      </c>
      <c r="M509" s="1227"/>
    </row>
    <row r="510" spans="1:13" ht="18" customHeight="1" x14ac:dyDescent="0.35">
      <c r="A510" s="1175">
        <v>501</v>
      </c>
      <c r="B510" s="1264"/>
      <c r="C510" s="1197"/>
      <c r="D510" s="1210" t="s">
        <v>245</v>
      </c>
      <c r="E510" s="1211"/>
      <c r="F510" s="1212"/>
      <c r="G510" s="1213"/>
      <c r="H510" s="1214"/>
      <c r="I510" s="1215"/>
      <c r="J510" s="1216"/>
      <c r="K510" s="1216"/>
      <c r="L510" s="1217">
        <f>SUM(F510:K510)</f>
        <v>0</v>
      </c>
      <c r="M510" s="1227"/>
    </row>
    <row r="511" spans="1:13" ht="18" customHeight="1" x14ac:dyDescent="0.35">
      <c r="A511" s="1175">
        <v>502</v>
      </c>
      <c r="B511" s="1264"/>
      <c r="C511" s="1197"/>
      <c r="D511" s="1206" t="s">
        <v>233</v>
      </c>
      <c r="E511" s="1218"/>
      <c r="F511" s="1219"/>
      <c r="G511" s="1220"/>
      <c r="H511" s="1221"/>
      <c r="I511" s="1207"/>
      <c r="J511" s="1208">
        <f>SUM(J509:J510)</f>
        <v>30000</v>
      </c>
      <c r="K511" s="1208"/>
      <c r="L511" s="1222">
        <f>SUM(F511:K511)</f>
        <v>30000</v>
      </c>
      <c r="M511" s="1227"/>
    </row>
    <row r="512" spans="1:13" ht="21.75" customHeight="1" x14ac:dyDescent="0.3">
      <c r="A512" s="1175">
        <v>503</v>
      </c>
      <c r="B512" s="1264"/>
      <c r="C512" s="1197">
        <v>123</v>
      </c>
      <c r="D512" s="1266" t="s">
        <v>868</v>
      </c>
      <c r="E512" s="1189">
        <f>F512+G512+L516+M513</f>
        <v>5000</v>
      </c>
      <c r="F512" s="1190"/>
      <c r="G512" s="1265"/>
      <c r="H512" s="1192" t="s">
        <v>296</v>
      </c>
      <c r="I512" s="1189"/>
      <c r="J512" s="1189"/>
      <c r="K512" s="1189"/>
      <c r="L512" s="1195"/>
      <c r="M512" s="1227"/>
    </row>
    <row r="513" spans="1:13" ht="18" customHeight="1" x14ac:dyDescent="0.35">
      <c r="A513" s="1175">
        <v>504</v>
      </c>
      <c r="B513" s="1264"/>
      <c r="C513" s="1197"/>
      <c r="D513" s="1198" t="s">
        <v>230</v>
      </c>
      <c r="E513" s="1199"/>
      <c r="F513" s="1200"/>
      <c r="G513" s="1201"/>
      <c r="H513" s="1202"/>
      <c r="I513" s="1203"/>
      <c r="J513" s="1204">
        <v>5000</v>
      </c>
      <c r="K513" s="1204"/>
      <c r="L513" s="1205">
        <f>SUM(I513:K513)</f>
        <v>5000</v>
      </c>
      <c r="M513" s="1227"/>
    </row>
    <row r="514" spans="1:13" ht="18" customHeight="1" x14ac:dyDescent="0.35">
      <c r="A514" s="1175">
        <v>505</v>
      </c>
      <c r="B514" s="1273"/>
      <c r="C514" s="1197"/>
      <c r="D514" s="1206" t="s">
        <v>231</v>
      </c>
      <c r="E514" s="1199"/>
      <c r="F514" s="1200"/>
      <c r="G514" s="1201"/>
      <c r="H514" s="1202"/>
      <c r="I514" s="1207"/>
      <c r="J514" s="1208">
        <v>5000</v>
      </c>
      <c r="K514" s="1208"/>
      <c r="L514" s="1209">
        <f>SUM(I514:K514)</f>
        <v>5000</v>
      </c>
      <c r="M514" s="1274"/>
    </row>
    <row r="515" spans="1:13" ht="18" customHeight="1" x14ac:dyDescent="0.35">
      <c r="A515" s="1175">
        <v>506</v>
      </c>
      <c r="B515" s="1273"/>
      <c r="C515" s="1197"/>
      <c r="D515" s="1210" t="s">
        <v>245</v>
      </c>
      <c r="E515" s="1211"/>
      <c r="F515" s="1212"/>
      <c r="G515" s="1213"/>
      <c r="H515" s="1214"/>
      <c r="I515" s="1215"/>
      <c r="J515" s="1216"/>
      <c r="K515" s="1216"/>
      <c r="L515" s="1217">
        <f>SUM(F515:K515)</f>
        <v>0</v>
      </c>
      <c r="M515" s="1274"/>
    </row>
    <row r="516" spans="1:13" ht="18" customHeight="1" x14ac:dyDescent="0.35">
      <c r="A516" s="1175">
        <v>507</v>
      </c>
      <c r="B516" s="1273"/>
      <c r="C516" s="1197"/>
      <c r="D516" s="1206" t="s">
        <v>233</v>
      </c>
      <c r="E516" s="1218"/>
      <c r="F516" s="1219"/>
      <c r="G516" s="1220"/>
      <c r="H516" s="1221"/>
      <c r="I516" s="1207"/>
      <c r="J516" s="1208">
        <f>SUM(J514:J515)</f>
        <v>5000</v>
      </c>
      <c r="K516" s="1208"/>
      <c r="L516" s="1222">
        <f>SUM(F516:K516)</f>
        <v>5000</v>
      </c>
      <c r="M516" s="1274"/>
    </row>
    <row r="517" spans="1:13" ht="22.5" customHeight="1" x14ac:dyDescent="0.35">
      <c r="A517" s="1175">
        <v>508</v>
      </c>
      <c r="B517" s="1273"/>
      <c r="C517" s="1197"/>
      <c r="D517" s="1275" t="s">
        <v>41</v>
      </c>
      <c r="E517" s="1276"/>
      <c r="F517" s="1190"/>
      <c r="G517" s="1277"/>
      <c r="H517" s="1278" t="s">
        <v>106</v>
      </c>
      <c r="I517" s="1279"/>
      <c r="J517" s="1279"/>
      <c r="K517" s="1279"/>
      <c r="L517" s="1280"/>
      <c r="M517" s="1274"/>
    </row>
    <row r="518" spans="1:13" ht="21.75" customHeight="1" x14ac:dyDescent="0.3">
      <c r="A518" s="1175">
        <v>509</v>
      </c>
      <c r="B518" s="1273"/>
      <c r="C518" s="1281">
        <v>124</v>
      </c>
      <c r="D518" s="1282" t="s">
        <v>869</v>
      </c>
      <c r="E518" s="1189">
        <f>F518+G518+L522+M519</f>
        <v>1200</v>
      </c>
      <c r="F518" s="1283"/>
      <c r="G518" s="1277"/>
      <c r="H518" s="1278"/>
      <c r="I518" s="1279"/>
      <c r="J518" s="1279"/>
      <c r="K518" s="1279"/>
      <c r="L518" s="1280"/>
      <c r="M518" s="1274"/>
    </row>
    <row r="519" spans="1:13" ht="18" customHeight="1" x14ac:dyDescent="0.35">
      <c r="A519" s="1175">
        <v>510</v>
      </c>
      <c r="B519" s="1284"/>
      <c r="C519" s="1285"/>
      <c r="D519" s="1198" t="s">
        <v>230</v>
      </c>
      <c r="E519" s="1199"/>
      <c r="F519" s="1200"/>
      <c r="G519" s="1201"/>
      <c r="H519" s="1202"/>
      <c r="I519" s="1203"/>
      <c r="J519" s="1204">
        <v>1200</v>
      </c>
      <c r="K519" s="1204"/>
      <c r="L519" s="1205">
        <f>SUM(I519:K519)</f>
        <v>1200</v>
      </c>
      <c r="M519" s="1263"/>
    </row>
    <row r="520" spans="1:13" ht="18" customHeight="1" x14ac:dyDescent="0.35">
      <c r="A520" s="1175">
        <v>511</v>
      </c>
      <c r="B520" s="1264"/>
      <c r="C520" s="1197"/>
      <c r="D520" s="1206" t="s">
        <v>231</v>
      </c>
      <c r="E520" s="1199"/>
      <c r="F520" s="1200"/>
      <c r="G520" s="1201"/>
      <c r="H520" s="1202"/>
      <c r="I520" s="1207"/>
      <c r="J520" s="1208">
        <v>1200</v>
      </c>
      <c r="K520" s="1208"/>
      <c r="L520" s="1209">
        <f>SUM(I520:K520)</f>
        <v>1200</v>
      </c>
      <c r="M520" s="1263"/>
    </row>
    <row r="521" spans="1:13" ht="18" customHeight="1" x14ac:dyDescent="0.35">
      <c r="A521" s="1175">
        <v>512</v>
      </c>
      <c r="B521" s="1186"/>
      <c r="C521" s="1197"/>
      <c r="D521" s="1210" t="s">
        <v>245</v>
      </c>
      <c r="E521" s="1211"/>
      <c r="F521" s="1212"/>
      <c r="G521" s="1213"/>
      <c r="H521" s="1214"/>
      <c r="I521" s="1215"/>
      <c r="J521" s="1216"/>
      <c r="K521" s="1216"/>
      <c r="L521" s="1217">
        <f>SUM(F521:K521)</f>
        <v>0</v>
      </c>
      <c r="M521" s="1227"/>
    </row>
    <row r="522" spans="1:13" ht="18" customHeight="1" x14ac:dyDescent="0.35">
      <c r="A522" s="1175">
        <v>513</v>
      </c>
      <c r="B522" s="1286"/>
      <c r="C522" s="1262"/>
      <c r="D522" s="1206" t="s">
        <v>233</v>
      </c>
      <c r="E522" s="1218"/>
      <c r="F522" s="1219"/>
      <c r="G522" s="1220"/>
      <c r="H522" s="1221"/>
      <c r="I522" s="1207"/>
      <c r="J522" s="1208">
        <f>SUM(J520:J521)</f>
        <v>1200</v>
      </c>
      <c r="K522" s="1208"/>
      <c r="L522" s="1222">
        <f>SUM(F522:K522)</f>
        <v>1200</v>
      </c>
      <c r="M522" s="1287"/>
    </row>
    <row r="523" spans="1:13" ht="52.5" customHeight="1" x14ac:dyDescent="0.35">
      <c r="A523" s="1175">
        <v>514</v>
      </c>
      <c r="B523" s="1264"/>
      <c r="C523" s="1187">
        <v>125</v>
      </c>
      <c r="D523" s="1268" t="s">
        <v>870</v>
      </c>
      <c r="E523" s="1189">
        <f>F523+G523+L526</f>
        <v>33847</v>
      </c>
      <c r="F523" s="1190"/>
      <c r="G523" s="1265"/>
      <c r="H523" s="1192" t="s">
        <v>106</v>
      </c>
      <c r="I523" s="1189"/>
      <c r="J523" s="1218"/>
      <c r="K523" s="1189"/>
      <c r="L523" s="1222"/>
      <c r="M523" s="1227"/>
    </row>
    <row r="524" spans="1:13" ht="18" customHeight="1" x14ac:dyDescent="0.35">
      <c r="A524" s="1175">
        <v>515</v>
      </c>
      <c r="B524" s="1264"/>
      <c r="C524" s="1187"/>
      <c r="D524" s="1288" t="s">
        <v>231</v>
      </c>
      <c r="E524" s="1189"/>
      <c r="F524" s="1190"/>
      <c r="G524" s="1265"/>
      <c r="H524" s="1192"/>
      <c r="I524" s="1189"/>
      <c r="J524" s="1218"/>
      <c r="K524" s="1218">
        <v>33847</v>
      </c>
      <c r="L524" s="1289">
        <f>SUM(F524:K524)</f>
        <v>33847</v>
      </c>
      <c r="M524" s="1227"/>
    </row>
    <row r="525" spans="1:13" ht="18" customHeight="1" x14ac:dyDescent="0.35">
      <c r="A525" s="1175">
        <v>516</v>
      </c>
      <c r="B525" s="1264"/>
      <c r="C525" s="1197"/>
      <c r="D525" s="1210" t="s">
        <v>245</v>
      </c>
      <c r="E525" s="1189"/>
      <c r="F525" s="1190"/>
      <c r="G525" s="1265"/>
      <c r="H525" s="1192"/>
      <c r="I525" s="1189"/>
      <c r="J525" s="1218"/>
      <c r="K525" s="1211"/>
      <c r="L525" s="1217">
        <f>SUM(F525:K525)</f>
        <v>0</v>
      </c>
      <c r="M525" s="1227"/>
    </row>
    <row r="526" spans="1:13" ht="18" customHeight="1" x14ac:dyDescent="0.35">
      <c r="A526" s="1175">
        <v>517</v>
      </c>
      <c r="B526" s="1264"/>
      <c r="C526" s="1197"/>
      <c r="D526" s="1288" t="s">
        <v>233</v>
      </c>
      <c r="E526" s="1189"/>
      <c r="F526" s="1190"/>
      <c r="G526" s="1265"/>
      <c r="H526" s="1192"/>
      <c r="I526" s="1189"/>
      <c r="J526" s="1218"/>
      <c r="K526" s="1218">
        <f>SUM(K524:K525)</f>
        <v>33847</v>
      </c>
      <c r="L526" s="1289">
        <f>SUM(F526:K526)</f>
        <v>33847</v>
      </c>
      <c r="M526" s="1227"/>
    </row>
    <row r="527" spans="1:13" ht="22.5" customHeight="1" x14ac:dyDescent="0.35">
      <c r="A527" s="1175">
        <v>518</v>
      </c>
      <c r="B527" s="1264"/>
      <c r="C527" s="1197">
        <v>126</v>
      </c>
      <c r="D527" s="1268" t="s">
        <v>871</v>
      </c>
      <c r="E527" s="1189">
        <f>F527+G527+L530</f>
        <v>1500</v>
      </c>
      <c r="F527" s="1190"/>
      <c r="G527" s="1265"/>
      <c r="H527" s="1192" t="s">
        <v>296</v>
      </c>
      <c r="I527" s="1189"/>
      <c r="J527" s="1218"/>
      <c r="K527" s="1218"/>
      <c r="L527" s="1289"/>
      <c r="M527" s="1227"/>
    </row>
    <row r="528" spans="1:13" ht="18" customHeight="1" x14ac:dyDescent="0.35">
      <c r="A528" s="1175">
        <v>519</v>
      </c>
      <c r="B528" s="1264"/>
      <c r="C528" s="1197"/>
      <c r="D528" s="1288" t="s">
        <v>231</v>
      </c>
      <c r="E528" s="1189"/>
      <c r="F528" s="1190"/>
      <c r="G528" s="1265"/>
      <c r="H528" s="1192"/>
      <c r="I528" s="1189"/>
      <c r="J528" s="1218">
        <v>1500</v>
      </c>
      <c r="K528" s="1218"/>
      <c r="L528" s="1289">
        <f>SUM(F528:K528)</f>
        <v>1500</v>
      </c>
      <c r="M528" s="1227"/>
    </row>
    <row r="529" spans="1:13" ht="18" customHeight="1" x14ac:dyDescent="0.35">
      <c r="A529" s="1175">
        <v>520</v>
      </c>
      <c r="B529" s="1264"/>
      <c r="C529" s="1197"/>
      <c r="D529" s="1210" t="s">
        <v>232</v>
      </c>
      <c r="E529" s="1189"/>
      <c r="F529" s="1190"/>
      <c r="G529" s="1265"/>
      <c r="H529" s="1192"/>
      <c r="I529" s="1189"/>
      <c r="J529" s="1211"/>
      <c r="K529" s="1218"/>
      <c r="L529" s="1217">
        <f>SUM(F529:K529)</f>
        <v>0</v>
      </c>
      <c r="M529" s="1227"/>
    </row>
    <row r="530" spans="1:13" ht="18" customHeight="1" x14ac:dyDescent="0.35">
      <c r="A530" s="1175">
        <v>521</v>
      </c>
      <c r="B530" s="1264"/>
      <c r="C530" s="1197"/>
      <c r="D530" s="1288" t="s">
        <v>233</v>
      </c>
      <c r="E530" s="1189"/>
      <c r="F530" s="1190"/>
      <c r="G530" s="1265"/>
      <c r="H530" s="1192"/>
      <c r="I530" s="1189"/>
      <c r="J530" s="1218">
        <f>SUM(J528:J529)</f>
        <v>1500</v>
      </c>
      <c r="K530" s="1218"/>
      <c r="L530" s="1289">
        <f>SUM(F530:K530)</f>
        <v>1500</v>
      </c>
      <c r="M530" s="1227"/>
    </row>
    <row r="531" spans="1:13" ht="34.5" customHeight="1" x14ac:dyDescent="0.35">
      <c r="A531" s="1175">
        <v>522</v>
      </c>
      <c r="B531" s="1264"/>
      <c r="C531" s="1187">
        <v>127</v>
      </c>
      <c r="D531" s="1268" t="s">
        <v>872</v>
      </c>
      <c r="E531" s="1189">
        <f>F531+G531+L534</f>
        <v>1000</v>
      </c>
      <c r="F531" s="1190"/>
      <c r="G531" s="1265"/>
      <c r="H531" s="1192" t="s">
        <v>296</v>
      </c>
      <c r="I531" s="1189"/>
      <c r="J531" s="1218"/>
      <c r="K531" s="1218"/>
      <c r="L531" s="1289"/>
      <c r="M531" s="1227"/>
    </row>
    <row r="532" spans="1:13" ht="18" customHeight="1" x14ac:dyDescent="0.35">
      <c r="A532" s="1175">
        <v>523</v>
      </c>
      <c r="B532" s="1264"/>
      <c r="C532" s="1187"/>
      <c r="D532" s="1290" t="s">
        <v>231</v>
      </c>
      <c r="E532" s="1189"/>
      <c r="F532" s="1190"/>
      <c r="G532" s="1265"/>
      <c r="H532" s="1192"/>
      <c r="I532" s="1189"/>
      <c r="J532" s="1218"/>
      <c r="K532" s="1218">
        <v>1000</v>
      </c>
      <c r="L532" s="1289">
        <f>SUM(F532:K532)</f>
        <v>1000</v>
      </c>
      <c r="M532" s="1227"/>
    </row>
    <row r="533" spans="1:13" ht="18" customHeight="1" x14ac:dyDescent="0.35">
      <c r="A533" s="1175">
        <v>524</v>
      </c>
      <c r="B533" s="1264"/>
      <c r="C533" s="1197"/>
      <c r="D533" s="1210" t="s">
        <v>232</v>
      </c>
      <c r="E533" s="1189"/>
      <c r="F533" s="1190"/>
      <c r="G533" s="1265"/>
      <c r="H533" s="1192"/>
      <c r="I533" s="1189"/>
      <c r="J533" s="1218"/>
      <c r="K533" s="1211"/>
      <c r="L533" s="1217">
        <f>SUM(F533:K533)</f>
        <v>0</v>
      </c>
      <c r="M533" s="1227"/>
    </row>
    <row r="534" spans="1:13" ht="18" customHeight="1" x14ac:dyDescent="0.35">
      <c r="A534" s="1175">
        <v>525</v>
      </c>
      <c r="B534" s="1264"/>
      <c r="C534" s="1197"/>
      <c r="D534" s="1290" t="s">
        <v>233</v>
      </c>
      <c r="E534" s="1189"/>
      <c r="F534" s="1190"/>
      <c r="G534" s="1265"/>
      <c r="H534" s="1192"/>
      <c r="I534" s="1189"/>
      <c r="J534" s="1218"/>
      <c r="K534" s="1218">
        <f>SUM(K532:K533)</f>
        <v>1000</v>
      </c>
      <c r="L534" s="1289">
        <f>SUM(F534:K534)</f>
        <v>1000</v>
      </c>
      <c r="M534" s="1227"/>
    </row>
    <row r="535" spans="1:13" ht="22.5" customHeight="1" x14ac:dyDescent="0.35">
      <c r="A535" s="1175">
        <v>526</v>
      </c>
      <c r="B535" s="1264"/>
      <c r="C535" s="1197">
        <v>128</v>
      </c>
      <c r="D535" s="1268" t="s">
        <v>873</v>
      </c>
      <c r="E535" s="1189">
        <f>F535+G535+L538</f>
        <v>5000</v>
      </c>
      <c r="F535" s="1190"/>
      <c r="G535" s="1265"/>
      <c r="H535" s="1192" t="s">
        <v>296</v>
      </c>
      <c r="I535" s="1189"/>
      <c r="J535" s="1218"/>
      <c r="K535" s="1218"/>
      <c r="L535" s="1289"/>
      <c r="M535" s="1227"/>
    </row>
    <row r="536" spans="1:13" ht="18" customHeight="1" x14ac:dyDescent="0.35">
      <c r="A536" s="1175">
        <v>527</v>
      </c>
      <c r="B536" s="1264"/>
      <c r="C536" s="1197"/>
      <c r="D536" s="1290" t="s">
        <v>231</v>
      </c>
      <c r="E536" s="1189"/>
      <c r="F536" s="1190"/>
      <c r="G536" s="1265"/>
      <c r="H536" s="1192"/>
      <c r="I536" s="1189"/>
      <c r="J536" s="1218">
        <v>5000</v>
      </c>
      <c r="K536" s="1218"/>
      <c r="L536" s="1289">
        <f>SUM(F536:K536)</f>
        <v>5000</v>
      </c>
      <c r="M536" s="1227"/>
    </row>
    <row r="537" spans="1:13" ht="18" customHeight="1" x14ac:dyDescent="0.35">
      <c r="A537" s="1175">
        <v>528</v>
      </c>
      <c r="B537" s="1264"/>
      <c r="C537" s="1197"/>
      <c r="D537" s="1210" t="s">
        <v>232</v>
      </c>
      <c r="E537" s="1189"/>
      <c r="F537" s="1190"/>
      <c r="G537" s="1265"/>
      <c r="H537" s="1192"/>
      <c r="I537" s="1189"/>
      <c r="J537" s="1211"/>
      <c r="K537" s="1218"/>
      <c r="L537" s="1217">
        <f>SUM(F537:K537)</f>
        <v>0</v>
      </c>
      <c r="M537" s="1227"/>
    </row>
    <row r="538" spans="1:13" ht="18" customHeight="1" x14ac:dyDescent="0.35">
      <c r="A538" s="1175">
        <v>529</v>
      </c>
      <c r="B538" s="1264"/>
      <c r="C538" s="1197"/>
      <c r="D538" s="1290" t="s">
        <v>233</v>
      </c>
      <c r="E538" s="1189"/>
      <c r="F538" s="1190"/>
      <c r="G538" s="1265"/>
      <c r="H538" s="1192"/>
      <c r="I538" s="1189"/>
      <c r="J538" s="1218">
        <f>SUM(J536:J537)</f>
        <v>5000</v>
      </c>
      <c r="K538" s="1218"/>
      <c r="L538" s="1289">
        <f>SUM(F538:K538)</f>
        <v>5000</v>
      </c>
      <c r="M538" s="1227"/>
    </row>
    <row r="539" spans="1:13" ht="22.5" customHeight="1" x14ac:dyDescent="0.35">
      <c r="A539" s="1175">
        <v>530</v>
      </c>
      <c r="B539" s="1264"/>
      <c r="C539" s="1197">
        <v>129</v>
      </c>
      <c r="D539" s="1268" t="s">
        <v>874</v>
      </c>
      <c r="E539" s="1189">
        <f>F539+G539+L542</f>
        <v>6300</v>
      </c>
      <c r="F539" s="1190"/>
      <c r="G539" s="1265"/>
      <c r="H539" s="1192" t="s">
        <v>296</v>
      </c>
      <c r="I539" s="1189"/>
      <c r="J539" s="1218"/>
      <c r="K539" s="1218"/>
      <c r="L539" s="1289"/>
      <c r="M539" s="1227"/>
    </row>
    <row r="540" spans="1:13" ht="18" customHeight="1" x14ac:dyDescent="0.35">
      <c r="A540" s="1175">
        <v>531</v>
      </c>
      <c r="B540" s="1264"/>
      <c r="C540" s="1197"/>
      <c r="D540" s="1290" t="s">
        <v>231</v>
      </c>
      <c r="E540" s="1189"/>
      <c r="F540" s="1190"/>
      <c r="G540" s="1265"/>
      <c r="H540" s="1192"/>
      <c r="I540" s="1218">
        <v>6300</v>
      </c>
      <c r="J540" s="1218"/>
      <c r="K540" s="1218"/>
      <c r="L540" s="1289">
        <f>SUM(F540:K540)</f>
        <v>6300</v>
      </c>
      <c r="M540" s="1227"/>
    </row>
    <row r="541" spans="1:13" ht="18" customHeight="1" x14ac:dyDescent="0.35">
      <c r="A541" s="1175">
        <v>532</v>
      </c>
      <c r="B541" s="1264"/>
      <c r="C541" s="1197"/>
      <c r="D541" s="1210" t="s">
        <v>232</v>
      </c>
      <c r="E541" s="1189"/>
      <c r="F541" s="1190"/>
      <c r="G541" s="1265"/>
      <c r="H541" s="1192"/>
      <c r="I541" s="1211"/>
      <c r="J541" s="1211"/>
      <c r="K541" s="1218"/>
      <c r="L541" s="1217">
        <f>SUM(F541:K541)</f>
        <v>0</v>
      </c>
      <c r="M541" s="1227"/>
    </row>
    <row r="542" spans="1:13" ht="18" customHeight="1" x14ac:dyDescent="0.35">
      <c r="A542" s="1175">
        <v>533</v>
      </c>
      <c r="B542" s="1264"/>
      <c r="C542" s="1197"/>
      <c r="D542" s="1290" t="s">
        <v>233</v>
      </c>
      <c r="E542" s="1189"/>
      <c r="F542" s="1190"/>
      <c r="G542" s="1265"/>
      <c r="H542" s="1192"/>
      <c r="I542" s="1218">
        <f>SUM(I540:I541)</f>
        <v>6300</v>
      </c>
      <c r="J542" s="1218">
        <f>SUM(J540:J541)</f>
        <v>0</v>
      </c>
      <c r="K542" s="1218"/>
      <c r="L542" s="1289">
        <f>SUM(F542:K542)</f>
        <v>6300</v>
      </c>
      <c r="M542" s="1227"/>
    </row>
    <row r="543" spans="1:13" ht="22.5" customHeight="1" x14ac:dyDescent="0.35">
      <c r="A543" s="1175">
        <v>534</v>
      </c>
      <c r="B543" s="1264"/>
      <c r="C543" s="1197">
        <v>130</v>
      </c>
      <c r="D543" s="1268" t="s">
        <v>875</v>
      </c>
      <c r="E543" s="1189">
        <f>F543+G543+L546</f>
        <v>10000</v>
      </c>
      <c r="F543" s="1190"/>
      <c r="G543" s="1265"/>
      <c r="H543" s="1192" t="s">
        <v>296</v>
      </c>
      <c r="I543" s="1189"/>
      <c r="J543" s="1218"/>
      <c r="K543" s="1218"/>
      <c r="L543" s="1289"/>
      <c r="M543" s="1227"/>
    </row>
    <row r="544" spans="1:13" ht="18" customHeight="1" x14ac:dyDescent="0.35">
      <c r="A544" s="1175">
        <v>535</v>
      </c>
      <c r="B544" s="1264"/>
      <c r="C544" s="1197"/>
      <c r="D544" s="1290" t="s">
        <v>231</v>
      </c>
      <c r="E544" s="1189"/>
      <c r="F544" s="1190"/>
      <c r="G544" s="1265"/>
      <c r="H544" s="1192"/>
      <c r="I544" s="1189"/>
      <c r="J544" s="1218">
        <v>10000</v>
      </c>
      <c r="K544" s="1218"/>
      <c r="L544" s="1289">
        <f>SUM(F544:K544)</f>
        <v>10000</v>
      </c>
      <c r="M544" s="1227"/>
    </row>
    <row r="545" spans="1:13" ht="18" customHeight="1" x14ac:dyDescent="0.35">
      <c r="A545" s="1175">
        <v>536</v>
      </c>
      <c r="B545" s="1264"/>
      <c r="C545" s="1197"/>
      <c r="D545" s="1210" t="s">
        <v>232</v>
      </c>
      <c r="E545" s="1189"/>
      <c r="F545" s="1190"/>
      <c r="G545" s="1265"/>
      <c r="H545" s="1192"/>
      <c r="I545" s="1189"/>
      <c r="J545" s="1211"/>
      <c r="K545" s="1218"/>
      <c r="L545" s="1217">
        <f>SUM(F545:K545)</f>
        <v>0</v>
      </c>
      <c r="M545" s="1227"/>
    </row>
    <row r="546" spans="1:13" ht="18" customHeight="1" x14ac:dyDescent="0.35">
      <c r="A546" s="1175">
        <v>537</v>
      </c>
      <c r="B546" s="1264"/>
      <c r="C546" s="1197"/>
      <c r="D546" s="1290" t="s">
        <v>233</v>
      </c>
      <c r="E546" s="1189"/>
      <c r="F546" s="1190"/>
      <c r="G546" s="1265"/>
      <c r="H546" s="1192"/>
      <c r="I546" s="1189"/>
      <c r="J546" s="1218">
        <f>SUM(J544:J545)</f>
        <v>10000</v>
      </c>
      <c r="K546" s="1218"/>
      <c r="L546" s="1289">
        <f>SUM(F546:K546)</f>
        <v>10000</v>
      </c>
      <c r="M546" s="1227"/>
    </row>
    <row r="547" spans="1:13" ht="22.5" customHeight="1" x14ac:dyDescent="0.35">
      <c r="A547" s="1175">
        <v>538</v>
      </c>
      <c r="B547" s="1264"/>
      <c r="C547" s="1197">
        <v>131</v>
      </c>
      <c r="D547" s="1268" t="s">
        <v>876</v>
      </c>
      <c r="E547" s="1189">
        <f>F547+G547+L550</f>
        <v>6500</v>
      </c>
      <c r="F547" s="1190"/>
      <c r="G547" s="1265"/>
      <c r="H547" s="1192" t="s">
        <v>296</v>
      </c>
      <c r="I547" s="1189"/>
      <c r="J547" s="1218"/>
      <c r="K547" s="1218"/>
      <c r="L547" s="1289"/>
      <c r="M547" s="1227"/>
    </row>
    <row r="548" spans="1:13" ht="18" customHeight="1" x14ac:dyDescent="0.35">
      <c r="A548" s="1175">
        <v>539</v>
      </c>
      <c r="B548" s="1264"/>
      <c r="C548" s="1197"/>
      <c r="D548" s="1290" t="s">
        <v>231</v>
      </c>
      <c r="E548" s="1189"/>
      <c r="F548" s="1190"/>
      <c r="G548" s="1265"/>
      <c r="H548" s="1192"/>
      <c r="I548" s="1189"/>
      <c r="J548" s="1218">
        <v>6500</v>
      </c>
      <c r="K548" s="1218"/>
      <c r="L548" s="1289">
        <f>SUM(F548:K548)</f>
        <v>6500</v>
      </c>
      <c r="M548" s="1227"/>
    </row>
    <row r="549" spans="1:13" ht="18" customHeight="1" x14ac:dyDescent="0.35">
      <c r="A549" s="1175">
        <v>540</v>
      </c>
      <c r="B549" s="1264"/>
      <c r="C549" s="1197"/>
      <c r="D549" s="1210" t="s">
        <v>232</v>
      </c>
      <c r="E549" s="1189"/>
      <c r="F549" s="1190"/>
      <c r="G549" s="1265"/>
      <c r="H549" s="1192"/>
      <c r="I549" s="1189"/>
      <c r="J549" s="1211"/>
      <c r="K549" s="1218"/>
      <c r="L549" s="1217">
        <f>SUM(F549:K549)</f>
        <v>0</v>
      </c>
      <c r="M549" s="1227"/>
    </row>
    <row r="550" spans="1:13" ht="18" customHeight="1" x14ac:dyDescent="0.35">
      <c r="A550" s="1175">
        <v>541</v>
      </c>
      <c r="B550" s="1264"/>
      <c r="C550" s="1197"/>
      <c r="D550" s="1290" t="s">
        <v>233</v>
      </c>
      <c r="E550" s="1189"/>
      <c r="F550" s="1190"/>
      <c r="G550" s="1265"/>
      <c r="H550" s="1192"/>
      <c r="I550" s="1189"/>
      <c r="J550" s="1218">
        <f>SUM(J548:J549)</f>
        <v>6500</v>
      </c>
      <c r="K550" s="1218"/>
      <c r="L550" s="1289">
        <f>SUM(F550:K550)</f>
        <v>6500</v>
      </c>
      <c r="M550" s="1227"/>
    </row>
    <row r="551" spans="1:13" ht="36.75" customHeight="1" x14ac:dyDescent="0.35">
      <c r="A551" s="1175">
        <v>542</v>
      </c>
      <c r="B551" s="1264"/>
      <c r="C551" s="1187">
        <v>132</v>
      </c>
      <c r="D551" s="1268" t="s">
        <v>877</v>
      </c>
      <c r="E551" s="1189">
        <f>F551+G551+L554</f>
        <v>30000</v>
      </c>
      <c r="F551" s="1190"/>
      <c r="G551" s="1265"/>
      <c r="H551" s="1192" t="s">
        <v>296</v>
      </c>
      <c r="I551" s="1189"/>
      <c r="J551" s="1218"/>
      <c r="K551" s="1218"/>
      <c r="L551" s="1289"/>
      <c r="M551" s="1227"/>
    </row>
    <row r="552" spans="1:13" ht="18" customHeight="1" x14ac:dyDescent="0.35">
      <c r="A552" s="1175">
        <v>543</v>
      </c>
      <c r="B552" s="1264"/>
      <c r="C552" s="1187"/>
      <c r="D552" s="1290" t="s">
        <v>231</v>
      </c>
      <c r="E552" s="1189"/>
      <c r="F552" s="1190"/>
      <c r="G552" s="1265"/>
      <c r="H552" s="1192"/>
      <c r="I552" s="1189"/>
      <c r="J552" s="1218">
        <v>30000</v>
      </c>
      <c r="K552" s="1218"/>
      <c r="L552" s="1289">
        <f>SUM(F552:K552)</f>
        <v>30000</v>
      </c>
      <c r="M552" s="1227"/>
    </row>
    <row r="553" spans="1:13" ht="18" customHeight="1" x14ac:dyDescent="0.35">
      <c r="A553" s="1175">
        <v>544</v>
      </c>
      <c r="B553" s="1264"/>
      <c r="C553" s="1197"/>
      <c r="D553" s="1210" t="s">
        <v>232</v>
      </c>
      <c r="E553" s="1189"/>
      <c r="F553" s="1190"/>
      <c r="G553" s="1265"/>
      <c r="H553" s="1192"/>
      <c r="I553" s="1189"/>
      <c r="J553" s="1211"/>
      <c r="K553" s="1218"/>
      <c r="L553" s="1217">
        <f>SUM(F553:K553)</f>
        <v>0</v>
      </c>
      <c r="M553" s="1227"/>
    </row>
    <row r="554" spans="1:13" ht="18" customHeight="1" x14ac:dyDescent="0.35">
      <c r="A554" s="1175">
        <v>545</v>
      </c>
      <c r="B554" s="1264"/>
      <c r="C554" s="1197"/>
      <c r="D554" s="1290" t="s">
        <v>233</v>
      </c>
      <c r="E554" s="1189"/>
      <c r="F554" s="1190"/>
      <c r="G554" s="1265"/>
      <c r="H554" s="1192"/>
      <c r="I554" s="1189"/>
      <c r="J554" s="1218">
        <f>SUM(J552:J553)</f>
        <v>30000</v>
      </c>
      <c r="K554" s="1218"/>
      <c r="L554" s="1289">
        <f>SUM(F554:K554)</f>
        <v>30000</v>
      </c>
      <c r="M554" s="1227"/>
    </row>
    <row r="555" spans="1:13" ht="55.5" customHeight="1" x14ac:dyDescent="0.35">
      <c r="A555" s="1175">
        <v>546</v>
      </c>
      <c r="B555" s="1273"/>
      <c r="C555" s="1291">
        <v>133</v>
      </c>
      <c r="D555" s="1292" t="s">
        <v>878</v>
      </c>
      <c r="E555" s="1293">
        <f>F555+G555+L558</f>
        <v>1247</v>
      </c>
      <c r="F555" s="1283"/>
      <c r="G555" s="1277"/>
      <c r="H555" s="1278" t="s">
        <v>296</v>
      </c>
      <c r="I555" s="1279"/>
      <c r="J555" s="1294"/>
      <c r="K555" s="1294"/>
      <c r="L555" s="1222"/>
      <c r="M555" s="1274"/>
    </row>
    <row r="556" spans="1:13" ht="18" customHeight="1" x14ac:dyDescent="0.35">
      <c r="A556" s="1175">
        <v>547</v>
      </c>
      <c r="B556" s="1273"/>
      <c r="C556" s="1291"/>
      <c r="D556" s="1290" t="s">
        <v>231</v>
      </c>
      <c r="E556" s="1293"/>
      <c r="F556" s="1283"/>
      <c r="G556" s="1277"/>
      <c r="H556" s="1278"/>
      <c r="I556" s="1279"/>
      <c r="J556" s="1294">
        <v>1247</v>
      </c>
      <c r="K556" s="1294"/>
      <c r="L556" s="1289">
        <f>SUM(F556:K556)</f>
        <v>1247</v>
      </c>
      <c r="M556" s="1274"/>
    </row>
    <row r="557" spans="1:13" ht="18" customHeight="1" x14ac:dyDescent="0.35">
      <c r="A557" s="1175">
        <v>548</v>
      </c>
      <c r="B557" s="1273"/>
      <c r="C557" s="1281"/>
      <c r="D557" s="1210" t="s">
        <v>232</v>
      </c>
      <c r="E557" s="1293"/>
      <c r="F557" s="1283"/>
      <c r="G557" s="1277"/>
      <c r="H557" s="1278"/>
      <c r="I557" s="1279"/>
      <c r="J557" s="1295"/>
      <c r="K557" s="1294"/>
      <c r="L557" s="1217">
        <f>SUM(F557:K557)</f>
        <v>0</v>
      </c>
      <c r="M557" s="1274"/>
    </row>
    <row r="558" spans="1:13" ht="18" customHeight="1" x14ac:dyDescent="0.35">
      <c r="A558" s="1175">
        <v>549</v>
      </c>
      <c r="B558" s="1273"/>
      <c r="C558" s="1281"/>
      <c r="D558" s="1296" t="s">
        <v>233</v>
      </c>
      <c r="E558" s="1293"/>
      <c r="F558" s="1283"/>
      <c r="G558" s="1277"/>
      <c r="H558" s="1278"/>
      <c r="I558" s="1279"/>
      <c r="J558" s="1294">
        <f>SUM(J556:J557)</f>
        <v>1247</v>
      </c>
      <c r="K558" s="1294"/>
      <c r="L558" s="1289">
        <f>SUM(F558:K558)</f>
        <v>1247</v>
      </c>
      <c r="M558" s="1274"/>
    </row>
    <row r="559" spans="1:13" ht="22.5" customHeight="1" x14ac:dyDescent="0.35">
      <c r="A559" s="1175">
        <v>550</v>
      </c>
      <c r="B559" s="1273"/>
      <c r="C559" s="1281">
        <v>134</v>
      </c>
      <c r="D559" s="1292" t="s">
        <v>879</v>
      </c>
      <c r="E559" s="1293">
        <f>F559+G559+L562</f>
        <v>1000</v>
      </c>
      <c r="F559" s="1283"/>
      <c r="G559" s="1277"/>
      <c r="H559" s="1278" t="s">
        <v>296</v>
      </c>
      <c r="I559" s="1279"/>
      <c r="J559" s="1294"/>
      <c r="K559" s="1294"/>
      <c r="L559" s="1289"/>
      <c r="M559" s="1274"/>
    </row>
    <row r="560" spans="1:13" ht="18" customHeight="1" x14ac:dyDescent="0.35">
      <c r="A560" s="1175">
        <v>551</v>
      </c>
      <c r="B560" s="1273"/>
      <c r="C560" s="1281"/>
      <c r="D560" s="1290" t="s">
        <v>231</v>
      </c>
      <c r="E560" s="1293"/>
      <c r="F560" s="1283"/>
      <c r="G560" s="1277"/>
      <c r="H560" s="1278"/>
      <c r="I560" s="1279"/>
      <c r="J560" s="1294">
        <v>1000</v>
      </c>
      <c r="K560" s="1294"/>
      <c r="L560" s="1289">
        <f>SUM(F560:K560)</f>
        <v>1000</v>
      </c>
      <c r="M560" s="1274"/>
    </row>
    <row r="561" spans="1:13" ht="18" customHeight="1" x14ac:dyDescent="0.35">
      <c r="A561" s="1175">
        <v>552</v>
      </c>
      <c r="B561" s="1273"/>
      <c r="C561" s="1281"/>
      <c r="D561" s="1210" t="s">
        <v>232</v>
      </c>
      <c r="E561" s="1293"/>
      <c r="F561" s="1283"/>
      <c r="G561" s="1277"/>
      <c r="H561" s="1278"/>
      <c r="I561" s="1279"/>
      <c r="J561" s="1295"/>
      <c r="K561" s="1294"/>
      <c r="L561" s="1217">
        <f>SUM(F561:K561)</f>
        <v>0</v>
      </c>
      <c r="M561" s="1274"/>
    </row>
    <row r="562" spans="1:13" ht="18" customHeight="1" x14ac:dyDescent="0.35">
      <c r="A562" s="1175">
        <v>553</v>
      </c>
      <c r="B562" s="1273"/>
      <c r="C562" s="1281"/>
      <c r="D562" s="1296" t="s">
        <v>233</v>
      </c>
      <c r="E562" s="1293"/>
      <c r="F562" s="1283"/>
      <c r="G562" s="1277"/>
      <c r="H562" s="1278"/>
      <c r="I562" s="1279"/>
      <c r="J562" s="1294">
        <f>SUM(J560:J561)</f>
        <v>1000</v>
      </c>
      <c r="K562" s="1294"/>
      <c r="L562" s="1289">
        <f>SUM(F562:K562)</f>
        <v>1000</v>
      </c>
      <c r="M562" s="1274"/>
    </row>
    <row r="563" spans="1:13" ht="22.5" customHeight="1" x14ac:dyDescent="0.35">
      <c r="A563" s="1175">
        <v>554</v>
      </c>
      <c r="B563" s="1273"/>
      <c r="C563" s="1281">
        <v>135</v>
      </c>
      <c r="D563" s="1292" t="s">
        <v>880</v>
      </c>
      <c r="E563" s="1297">
        <f>F563+G563+L566</f>
        <v>1700</v>
      </c>
      <c r="F563" s="1190"/>
      <c r="G563" s="1277"/>
      <c r="H563" s="1278" t="s">
        <v>106</v>
      </c>
      <c r="I563" s="1279"/>
      <c r="J563" s="1294"/>
      <c r="K563" s="1294"/>
      <c r="L563" s="1289"/>
      <c r="M563" s="1274"/>
    </row>
    <row r="564" spans="1:13" ht="18" customHeight="1" x14ac:dyDescent="0.35">
      <c r="A564" s="1175">
        <v>555</v>
      </c>
      <c r="B564" s="1273"/>
      <c r="C564" s="1281"/>
      <c r="D564" s="1290" t="s">
        <v>231</v>
      </c>
      <c r="E564" s="1298"/>
      <c r="F564" s="1299"/>
      <c r="G564" s="1277"/>
      <c r="H564" s="1278"/>
      <c r="I564" s="1279"/>
      <c r="J564" s="1294">
        <v>1700</v>
      </c>
      <c r="K564" s="1294"/>
      <c r="L564" s="1289">
        <f>SUM(F564:K564)</f>
        <v>1700</v>
      </c>
      <c r="M564" s="1274"/>
    </row>
    <row r="565" spans="1:13" ht="18" customHeight="1" x14ac:dyDescent="0.35">
      <c r="A565" s="1175">
        <v>556</v>
      </c>
      <c r="B565" s="1273"/>
      <c r="C565" s="1281"/>
      <c r="D565" s="1210" t="s">
        <v>232</v>
      </c>
      <c r="E565" s="1189"/>
      <c r="F565" s="1190"/>
      <c r="G565" s="1277"/>
      <c r="H565" s="1278"/>
      <c r="I565" s="1279"/>
      <c r="J565" s="1295"/>
      <c r="K565" s="1294"/>
      <c r="L565" s="1217">
        <f>SUM(F565:K565)</f>
        <v>0</v>
      </c>
      <c r="M565" s="1274"/>
    </row>
    <row r="566" spans="1:13" ht="18" customHeight="1" x14ac:dyDescent="0.35">
      <c r="A566" s="1175">
        <v>557</v>
      </c>
      <c r="B566" s="1273"/>
      <c r="C566" s="1281"/>
      <c r="D566" s="1296" t="s">
        <v>233</v>
      </c>
      <c r="E566" s="1189"/>
      <c r="F566" s="1190"/>
      <c r="G566" s="1277"/>
      <c r="H566" s="1278"/>
      <c r="I566" s="1279"/>
      <c r="J566" s="1294">
        <f>SUM(J564:J565)</f>
        <v>1700</v>
      </c>
      <c r="K566" s="1294"/>
      <c r="L566" s="1289">
        <f>SUM(F566:K566)</f>
        <v>1700</v>
      </c>
      <c r="M566" s="1274"/>
    </row>
    <row r="567" spans="1:13" ht="22.5" customHeight="1" x14ac:dyDescent="0.35">
      <c r="A567" s="1175">
        <v>558</v>
      </c>
      <c r="B567" s="1273"/>
      <c r="C567" s="1281">
        <v>136</v>
      </c>
      <c r="D567" s="1292" t="s">
        <v>881</v>
      </c>
      <c r="E567" s="1293">
        <f>F567+G567+L570</f>
        <v>300</v>
      </c>
      <c r="F567" s="1299"/>
      <c r="G567" s="1277"/>
      <c r="H567" s="1278" t="s">
        <v>106</v>
      </c>
      <c r="I567" s="1279"/>
      <c r="J567" s="1294"/>
      <c r="K567" s="1294"/>
      <c r="L567" s="1289"/>
      <c r="M567" s="1274"/>
    </row>
    <row r="568" spans="1:13" ht="18" customHeight="1" x14ac:dyDescent="0.35">
      <c r="A568" s="1175">
        <v>559</v>
      </c>
      <c r="B568" s="1273"/>
      <c r="C568" s="1281"/>
      <c r="D568" s="1290" t="s">
        <v>231</v>
      </c>
      <c r="E568" s="1293"/>
      <c r="F568" s="1190"/>
      <c r="G568" s="1277"/>
      <c r="H568" s="1278"/>
      <c r="I568" s="1279"/>
      <c r="J568" s="1294">
        <v>300</v>
      </c>
      <c r="K568" s="1294"/>
      <c r="L568" s="1289">
        <f>SUM(F568:K568)</f>
        <v>300</v>
      </c>
      <c r="M568" s="1274"/>
    </row>
    <row r="569" spans="1:13" ht="18" customHeight="1" x14ac:dyDescent="0.35">
      <c r="A569" s="1175">
        <v>560</v>
      </c>
      <c r="B569" s="1273"/>
      <c r="C569" s="1281"/>
      <c r="D569" s="1210" t="s">
        <v>232</v>
      </c>
      <c r="E569" s="1189"/>
      <c r="F569" s="1190"/>
      <c r="G569" s="1277"/>
      <c r="H569" s="1278"/>
      <c r="I569" s="1279"/>
      <c r="J569" s="1295"/>
      <c r="K569" s="1294"/>
      <c r="L569" s="1217">
        <f>SUM(F569:K569)</f>
        <v>0</v>
      </c>
      <c r="M569" s="1274"/>
    </row>
    <row r="570" spans="1:13" ht="18" customHeight="1" x14ac:dyDescent="0.35">
      <c r="A570" s="1175">
        <v>561</v>
      </c>
      <c r="B570" s="1273"/>
      <c r="C570" s="1281"/>
      <c r="D570" s="1296" t="s">
        <v>233</v>
      </c>
      <c r="E570" s="1189"/>
      <c r="F570" s="1190"/>
      <c r="G570" s="1277"/>
      <c r="H570" s="1278"/>
      <c r="I570" s="1279"/>
      <c r="J570" s="1294">
        <f>SUM(J568:J569)</f>
        <v>300</v>
      </c>
      <c r="K570" s="1294"/>
      <c r="L570" s="1222">
        <f>SUM(F570:K570)</f>
        <v>300</v>
      </c>
      <c r="M570" s="1274"/>
    </row>
    <row r="571" spans="1:13" ht="34.5" customHeight="1" x14ac:dyDescent="0.35">
      <c r="A571" s="1175">
        <v>562</v>
      </c>
      <c r="B571" s="1273"/>
      <c r="C571" s="1291">
        <v>137</v>
      </c>
      <c r="D571" s="1292" t="s">
        <v>882</v>
      </c>
      <c r="E571" s="1293">
        <f>F571+G571+L574</f>
        <v>10</v>
      </c>
      <c r="F571" s="1299"/>
      <c r="G571" s="1277"/>
      <c r="H571" s="1300" t="s">
        <v>296</v>
      </c>
      <c r="I571" s="1279"/>
      <c r="J571" s="1294"/>
      <c r="K571" s="1294"/>
      <c r="L571" s="1301"/>
      <c r="M571" s="1274"/>
    </row>
    <row r="572" spans="1:13" ht="18" customHeight="1" x14ac:dyDescent="0.35">
      <c r="A572" s="1175">
        <v>563</v>
      </c>
      <c r="B572" s="1273"/>
      <c r="C572" s="1291"/>
      <c r="D572" s="1290" t="s">
        <v>231</v>
      </c>
      <c r="E572" s="1298"/>
      <c r="F572" s="1299"/>
      <c r="G572" s="1277"/>
      <c r="H572" s="1300"/>
      <c r="I572" s="1279"/>
      <c r="J572" s="1294">
        <v>10</v>
      </c>
      <c r="K572" s="1294"/>
      <c r="L572" s="1289">
        <f>SUM(F572:K572)</f>
        <v>10</v>
      </c>
      <c r="M572" s="1274"/>
    </row>
    <row r="573" spans="1:13" ht="18" customHeight="1" x14ac:dyDescent="0.35">
      <c r="A573" s="1175">
        <v>564</v>
      </c>
      <c r="B573" s="1273"/>
      <c r="C573" s="1281"/>
      <c r="D573" s="1210" t="s">
        <v>232</v>
      </c>
      <c r="E573" s="1297"/>
      <c r="F573" s="1190"/>
      <c r="G573" s="1277"/>
      <c r="H573" s="1278"/>
      <c r="I573" s="1279"/>
      <c r="J573" s="1295"/>
      <c r="K573" s="1294"/>
      <c r="L573" s="1217">
        <f>SUM(F573:K573)</f>
        <v>0</v>
      </c>
      <c r="M573" s="1274"/>
    </row>
    <row r="574" spans="1:13" ht="18" customHeight="1" x14ac:dyDescent="0.35">
      <c r="A574" s="1175">
        <v>565</v>
      </c>
      <c r="B574" s="1273"/>
      <c r="C574" s="1281"/>
      <c r="D574" s="1296" t="s">
        <v>233</v>
      </c>
      <c r="E574" s="1297"/>
      <c r="F574" s="1190"/>
      <c r="G574" s="1277"/>
      <c r="H574" s="1278"/>
      <c r="I574" s="1279"/>
      <c r="J574" s="1294">
        <f>SUM(J572:J573)</f>
        <v>10</v>
      </c>
      <c r="K574" s="1294"/>
      <c r="L574" s="1222">
        <f>SUM(F574:K574)</f>
        <v>10</v>
      </c>
      <c r="M574" s="1274"/>
    </row>
    <row r="575" spans="1:13" ht="36" customHeight="1" x14ac:dyDescent="0.35">
      <c r="A575" s="1175">
        <v>566</v>
      </c>
      <c r="B575" s="1273"/>
      <c r="C575" s="1291">
        <v>138</v>
      </c>
      <c r="D575" s="1292" t="s">
        <v>883</v>
      </c>
      <c r="E575" s="1293">
        <f>F575+G575+L578</f>
        <v>119990</v>
      </c>
      <c r="F575" s="1190"/>
      <c r="G575" s="1277"/>
      <c r="H575" s="1300" t="s">
        <v>296</v>
      </c>
      <c r="I575" s="1279"/>
      <c r="J575" s="1294"/>
      <c r="K575" s="1294"/>
      <c r="L575" s="1222"/>
      <c r="M575" s="1274"/>
    </row>
    <row r="576" spans="1:13" ht="18" customHeight="1" x14ac:dyDescent="0.35">
      <c r="A576" s="1175">
        <v>567</v>
      </c>
      <c r="B576" s="1273"/>
      <c r="C576" s="1291"/>
      <c r="D576" s="1290" t="s">
        <v>231</v>
      </c>
      <c r="E576" s="1297"/>
      <c r="F576" s="1190"/>
      <c r="G576" s="1277"/>
      <c r="H576" s="1300"/>
      <c r="I576" s="1279"/>
      <c r="J576" s="1294">
        <v>119990</v>
      </c>
      <c r="K576" s="1294"/>
      <c r="L576" s="1289">
        <f>SUM(F576:K576)</f>
        <v>119990</v>
      </c>
      <c r="M576" s="1274"/>
    </row>
    <row r="577" spans="1:13" ht="18" customHeight="1" x14ac:dyDescent="0.35">
      <c r="A577" s="1175">
        <v>568</v>
      </c>
      <c r="B577" s="1273"/>
      <c r="C577" s="1281"/>
      <c r="D577" s="1210" t="s">
        <v>232</v>
      </c>
      <c r="E577" s="1297"/>
      <c r="F577" s="1190"/>
      <c r="G577" s="1277"/>
      <c r="H577" s="1278"/>
      <c r="I577" s="1279"/>
      <c r="J577" s="1295"/>
      <c r="K577" s="1294"/>
      <c r="L577" s="1217">
        <f>SUM(F577:K577)</f>
        <v>0</v>
      </c>
      <c r="M577" s="1274"/>
    </row>
    <row r="578" spans="1:13" ht="18" customHeight="1" x14ac:dyDescent="0.35">
      <c r="A578" s="1175">
        <v>569</v>
      </c>
      <c r="B578" s="1273"/>
      <c r="C578" s="1281"/>
      <c r="D578" s="1296" t="s">
        <v>233</v>
      </c>
      <c r="E578" s="1297"/>
      <c r="F578" s="1190"/>
      <c r="G578" s="1277"/>
      <c r="H578" s="1278"/>
      <c r="I578" s="1279"/>
      <c r="J578" s="1294">
        <f>SUM(J576:J577)</f>
        <v>119990</v>
      </c>
      <c r="K578" s="1294"/>
      <c r="L578" s="1222">
        <f>SUM(F578:K578)</f>
        <v>119990</v>
      </c>
      <c r="M578" s="1274"/>
    </row>
    <row r="579" spans="1:13" ht="37.5" customHeight="1" x14ac:dyDescent="0.35">
      <c r="A579" s="1175">
        <v>570</v>
      </c>
      <c r="B579" s="1273"/>
      <c r="C579" s="1291">
        <v>139</v>
      </c>
      <c r="D579" s="1292" t="s">
        <v>884</v>
      </c>
      <c r="E579" s="1293">
        <f>F579+G579+L582</f>
        <v>10150</v>
      </c>
      <c r="F579" s="1190"/>
      <c r="G579" s="1277"/>
      <c r="H579" s="1300" t="s">
        <v>106</v>
      </c>
      <c r="I579" s="1279"/>
      <c r="J579" s="1294"/>
      <c r="K579" s="1294"/>
      <c r="L579" s="1222"/>
      <c r="M579" s="1274"/>
    </row>
    <row r="580" spans="1:13" ht="18" customHeight="1" x14ac:dyDescent="0.35">
      <c r="A580" s="1175">
        <v>571</v>
      </c>
      <c r="B580" s="1273"/>
      <c r="C580" s="1291"/>
      <c r="D580" s="1290" t="s">
        <v>231</v>
      </c>
      <c r="E580" s="1297"/>
      <c r="F580" s="1190"/>
      <c r="G580" s="1277"/>
      <c r="H580" s="1300"/>
      <c r="I580" s="1279"/>
      <c r="J580" s="1294">
        <v>10150</v>
      </c>
      <c r="K580" s="1294"/>
      <c r="L580" s="1289">
        <f>SUM(F580:K580)</f>
        <v>10150</v>
      </c>
      <c r="M580" s="1274"/>
    </row>
    <row r="581" spans="1:13" ht="18" customHeight="1" x14ac:dyDescent="0.35">
      <c r="A581" s="1175">
        <v>572</v>
      </c>
      <c r="B581" s="1273"/>
      <c r="C581" s="1281"/>
      <c r="D581" s="1210" t="s">
        <v>232</v>
      </c>
      <c r="E581" s="1297"/>
      <c r="F581" s="1190"/>
      <c r="G581" s="1277"/>
      <c r="H581" s="1278"/>
      <c r="I581" s="1279"/>
      <c r="J581" s="1295"/>
      <c r="K581" s="1294"/>
      <c r="L581" s="1217">
        <f>SUM(F581:K581)</f>
        <v>0</v>
      </c>
      <c r="M581" s="1274"/>
    </row>
    <row r="582" spans="1:13" ht="18" customHeight="1" x14ac:dyDescent="0.35">
      <c r="A582" s="1175">
        <v>573</v>
      </c>
      <c r="B582" s="1273"/>
      <c r="C582" s="1281"/>
      <c r="D582" s="1296" t="s">
        <v>233</v>
      </c>
      <c r="E582" s="1297"/>
      <c r="F582" s="1190"/>
      <c r="G582" s="1277"/>
      <c r="H582" s="1278"/>
      <c r="I582" s="1279"/>
      <c r="J582" s="1294">
        <f>SUM(J580:J581)</f>
        <v>10150</v>
      </c>
      <c r="K582" s="1294"/>
      <c r="L582" s="1222">
        <f>SUM(F582:K582)</f>
        <v>10150</v>
      </c>
      <c r="M582" s="1274"/>
    </row>
    <row r="583" spans="1:13" ht="22.5" customHeight="1" x14ac:dyDescent="0.35">
      <c r="A583" s="1175">
        <v>574</v>
      </c>
      <c r="B583" s="1273"/>
      <c r="C583" s="1281">
        <v>140</v>
      </c>
      <c r="D583" s="1302" t="s">
        <v>885</v>
      </c>
      <c r="E583" s="1293">
        <f>F583+G583+L586</f>
        <v>50000</v>
      </c>
      <c r="F583" s="1190"/>
      <c r="G583" s="1277"/>
      <c r="H583" s="1278" t="s">
        <v>296</v>
      </c>
      <c r="I583" s="1279"/>
      <c r="J583" s="1294"/>
      <c r="K583" s="1294"/>
      <c r="L583" s="1303"/>
      <c r="M583" s="1274"/>
    </row>
    <row r="584" spans="1:13" ht="18" customHeight="1" x14ac:dyDescent="0.35">
      <c r="A584" s="1175">
        <v>575</v>
      </c>
      <c r="B584" s="1273"/>
      <c r="C584" s="1281"/>
      <c r="D584" s="1296" t="s">
        <v>231</v>
      </c>
      <c r="E584" s="1279"/>
      <c r="F584" s="1283"/>
      <c r="G584" s="1277"/>
      <c r="H584" s="1278"/>
      <c r="I584" s="1279"/>
      <c r="J584" s="1294"/>
      <c r="K584" s="1294">
        <v>50000</v>
      </c>
      <c r="L584" s="1303">
        <f>SUM(J584:K584)</f>
        <v>50000</v>
      </c>
      <c r="M584" s="1274"/>
    </row>
    <row r="585" spans="1:13" ht="18" customHeight="1" x14ac:dyDescent="0.35">
      <c r="A585" s="1175">
        <v>576</v>
      </c>
      <c r="B585" s="1273"/>
      <c r="C585" s="1281"/>
      <c r="D585" s="1210" t="s">
        <v>232</v>
      </c>
      <c r="E585" s="1279"/>
      <c r="F585" s="1283"/>
      <c r="G585" s="1277"/>
      <c r="H585" s="1278"/>
      <c r="I585" s="1279"/>
      <c r="J585" s="1294"/>
      <c r="K585" s="1294"/>
      <c r="L585" s="1303"/>
      <c r="M585" s="1274"/>
    </row>
    <row r="586" spans="1:13" ht="18" customHeight="1" x14ac:dyDescent="0.35">
      <c r="A586" s="1175">
        <v>577</v>
      </c>
      <c r="B586" s="1273"/>
      <c r="C586" s="1281"/>
      <c r="D586" s="1296" t="s">
        <v>233</v>
      </c>
      <c r="E586" s="1189"/>
      <c r="F586" s="1299"/>
      <c r="G586" s="1277"/>
      <c r="H586" s="1278"/>
      <c r="I586" s="1279"/>
      <c r="J586" s="1294"/>
      <c r="K586" s="1294">
        <v>50000</v>
      </c>
      <c r="L586" s="1303">
        <f>SUM(J586:K586)</f>
        <v>50000</v>
      </c>
      <c r="M586" s="1274"/>
    </row>
    <row r="587" spans="1:13" ht="34.5" customHeight="1" x14ac:dyDescent="0.35">
      <c r="A587" s="1175">
        <v>578</v>
      </c>
      <c r="B587" s="1273"/>
      <c r="C587" s="1291">
        <v>141</v>
      </c>
      <c r="D587" s="1304" t="s">
        <v>886</v>
      </c>
      <c r="E587" s="1293">
        <f>F587+G587+L590</f>
        <v>22600</v>
      </c>
      <c r="F587" s="1190"/>
      <c r="G587" s="1277"/>
      <c r="H587" s="1278" t="s">
        <v>296</v>
      </c>
      <c r="I587" s="1279"/>
      <c r="J587" s="1294"/>
      <c r="K587" s="1294"/>
      <c r="L587" s="1303"/>
      <c r="M587" s="1274"/>
    </row>
    <row r="588" spans="1:13" ht="18" customHeight="1" x14ac:dyDescent="0.35">
      <c r="A588" s="1175">
        <v>579</v>
      </c>
      <c r="B588" s="1273"/>
      <c r="C588" s="1291"/>
      <c r="D588" s="1296" t="s">
        <v>231</v>
      </c>
      <c r="E588" s="1293"/>
      <c r="F588" s="1190"/>
      <c r="G588" s="1277"/>
      <c r="H588" s="1278"/>
      <c r="I588" s="1279"/>
      <c r="J588" s="1294">
        <v>22600</v>
      </c>
      <c r="K588" s="1294"/>
      <c r="L588" s="1303">
        <f>SUM(J588:K588)</f>
        <v>22600</v>
      </c>
      <c r="M588" s="1274"/>
    </row>
    <row r="589" spans="1:13" ht="18" customHeight="1" x14ac:dyDescent="0.35">
      <c r="A589" s="1175">
        <v>580</v>
      </c>
      <c r="B589" s="1273"/>
      <c r="C589" s="1281"/>
      <c r="D589" s="1210" t="s">
        <v>232</v>
      </c>
      <c r="E589" s="1189"/>
      <c r="F589" s="1190"/>
      <c r="G589" s="1277"/>
      <c r="H589" s="1278"/>
      <c r="I589" s="1279"/>
      <c r="J589" s="1295"/>
      <c r="K589" s="1294"/>
      <c r="L589" s="1217">
        <f>SUM(F589:K589)</f>
        <v>0</v>
      </c>
      <c r="M589" s="1274"/>
    </row>
    <row r="590" spans="1:13" ht="18" customHeight="1" x14ac:dyDescent="0.35">
      <c r="A590" s="1175">
        <v>581</v>
      </c>
      <c r="B590" s="1273"/>
      <c r="C590" s="1281"/>
      <c r="D590" s="1296" t="s">
        <v>233</v>
      </c>
      <c r="E590" s="1189"/>
      <c r="F590" s="1190"/>
      <c r="G590" s="1277"/>
      <c r="H590" s="1278"/>
      <c r="I590" s="1279"/>
      <c r="J590" s="1294">
        <f>SUM(J588:J589)</f>
        <v>22600</v>
      </c>
      <c r="K590" s="1294"/>
      <c r="L590" s="1222">
        <f>SUM(F590:K590)</f>
        <v>22600</v>
      </c>
      <c r="M590" s="1274"/>
    </row>
    <row r="591" spans="1:13" ht="72.75" customHeight="1" x14ac:dyDescent="0.35">
      <c r="A591" s="1175">
        <v>582</v>
      </c>
      <c r="B591" s="1273"/>
      <c r="C591" s="1291">
        <v>142</v>
      </c>
      <c r="D591" s="1304" t="s">
        <v>887</v>
      </c>
      <c r="E591" s="1293">
        <f>F591+G591+L594</f>
        <v>5164</v>
      </c>
      <c r="F591" s="1190"/>
      <c r="G591" s="1277"/>
      <c r="H591" s="1278" t="s">
        <v>296</v>
      </c>
      <c r="I591" s="1279"/>
      <c r="J591" s="1294"/>
      <c r="K591" s="1294"/>
      <c r="L591" s="1303"/>
      <c r="M591" s="1274"/>
    </row>
    <row r="592" spans="1:13" ht="18" customHeight="1" x14ac:dyDescent="0.35">
      <c r="A592" s="1175">
        <v>583</v>
      </c>
      <c r="B592" s="1273"/>
      <c r="C592" s="1291"/>
      <c r="D592" s="1296" t="s">
        <v>231</v>
      </c>
      <c r="E592" s="1293"/>
      <c r="F592" s="1190"/>
      <c r="G592" s="1277"/>
      <c r="H592" s="1278"/>
      <c r="I592" s="1279"/>
      <c r="J592" s="1294">
        <v>5164</v>
      </c>
      <c r="K592" s="1294"/>
      <c r="L592" s="1303">
        <f>SUM(J592:K592)</f>
        <v>5164</v>
      </c>
      <c r="M592" s="1274"/>
    </row>
    <row r="593" spans="1:13" ht="18" customHeight="1" x14ac:dyDescent="0.35">
      <c r="A593" s="1175">
        <v>584</v>
      </c>
      <c r="B593" s="1273"/>
      <c r="C593" s="1281"/>
      <c r="D593" s="1210" t="s">
        <v>232</v>
      </c>
      <c r="E593" s="1189"/>
      <c r="F593" s="1190"/>
      <c r="G593" s="1277"/>
      <c r="H593" s="1278"/>
      <c r="I593" s="1279"/>
      <c r="J593" s="1295"/>
      <c r="K593" s="1294"/>
      <c r="L593" s="1217">
        <f>SUM(F593:K593)</f>
        <v>0</v>
      </c>
      <c r="M593" s="1274"/>
    </row>
    <row r="594" spans="1:13" ht="18" customHeight="1" x14ac:dyDescent="0.35">
      <c r="A594" s="1175">
        <v>585</v>
      </c>
      <c r="B594" s="1273"/>
      <c r="C594" s="1281"/>
      <c r="D594" s="1296" t="s">
        <v>233</v>
      </c>
      <c r="E594" s="1189"/>
      <c r="F594" s="1190"/>
      <c r="G594" s="1277"/>
      <c r="H594" s="1278"/>
      <c r="I594" s="1279"/>
      <c r="J594" s="1294">
        <f>SUM(J592:J593)</f>
        <v>5164</v>
      </c>
      <c r="K594" s="1294"/>
      <c r="L594" s="1222">
        <f>SUM(F594:K594)</f>
        <v>5164</v>
      </c>
      <c r="M594" s="1274"/>
    </row>
    <row r="595" spans="1:13" ht="38.25" customHeight="1" x14ac:dyDescent="0.35">
      <c r="A595" s="1175">
        <v>586</v>
      </c>
      <c r="B595" s="1273"/>
      <c r="C595" s="1291">
        <v>143</v>
      </c>
      <c r="D595" s="1304" t="s">
        <v>888</v>
      </c>
      <c r="E595" s="1293">
        <f>F595+G595+L598</f>
        <v>4847</v>
      </c>
      <c r="F595" s="1190"/>
      <c r="G595" s="1277"/>
      <c r="H595" s="1278" t="s">
        <v>296</v>
      </c>
      <c r="I595" s="1279"/>
      <c r="J595" s="1294"/>
      <c r="K595" s="1294"/>
      <c r="L595" s="1303"/>
      <c r="M595" s="1274"/>
    </row>
    <row r="596" spans="1:13" ht="18" customHeight="1" x14ac:dyDescent="0.35">
      <c r="A596" s="1175">
        <v>587</v>
      </c>
      <c r="B596" s="1273"/>
      <c r="C596" s="1291"/>
      <c r="D596" s="1296" t="s">
        <v>231</v>
      </c>
      <c r="E596" s="1293"/>
      <c r="F596" s="1190"/>
      <c r="G596" s="1277"/>
      <c r="H596" s="1278"/>
      <c r="I596" s="1279"/>
      <c r="J596" s="1294">
        <v>4847</v>
      </c>
      <c r="K596" s="1294"/>
      <c r="L596" s="1303">
        <f>SUM(J596:K596)</f>
        <v>4847</v>
      </c>
      <c r="M596" s="1274"/>
    </row>
    <row r="597" spans="1:13" ht="18" customHeight="1" x14ac:dyDescent="0.35">
      <c r="A597" s="1175">
        <v>588</v>
      </c>
      <c r="B597" s="1273"/>
      <c r="C597" s="1281"/>
      <c r="D597" s="1210" t="s">
        <v>232</v>
      </c>
      <c r="E597" s="1189"/>
      <c r="F597" s="1190"/>
      <c r="G597" s="1277"/>
      <c r="H597" s="1278"/>
      <c r="I597" s="1279"/>
      <c r="J597" s="1295"/>
      <c r="K597" s="1294"/>
      <c r="L597" s="1217">
        <f>SUM(F597:K597)</f>
        <v>0</v>
      </c>
      <c r="M597" s="1274"/>
    </row>
    <row r="598" spans="1:13" ht="18" customHeight="1" x14ac:dyDescent="0.35">
      <c r="A598" s="1175">
        <v>589</v>
      </c>
      <c r="B598" s="1273"/>
      <c r="C598" s="1281"/>
      <c r="D598" s="1296" t="s">
        <v>233</v>
      </c>
      <c r="E598" s="1189"/>
      <c r="F598" s="1190"/>
      <c r="G598" s="1277"/>
      <c r="H598" s="1278"/>
      <c r="I598" s="1279"/>
      <c r="J598" s="1294">
        <f>SUM(J596:J597)</f>
        <v>4847</v>
      </c>
      <c r="K598" s="1294"/>
      <c r="L598" s="1222">
        <f>SUM(F598:K598)</f>
        <v>4847</v>
      </c>
      <c r="M598" s="1274"/>
    </row>
    <row r="599" spans="1:13" ht="22.5" customHeight="1" x14ac:dyDescent="0.35">
      <c r="A599" s="1175">
        <v>590</v>
      </c>
      <c r="B599" s="1273"/>
      <c r="C599" s="1281">
        <v>144</v>
      </c>
      <c r="D599" s="1304" t="s">
        <v>889</v>
      </c>
      <c r="E599" s="1293">
        <f>F599+G599+L602</f>
        <v>4297</v>
      </c>
      <c r="F599" s="1190"/>
      <c r="G599" s="1277"/>
      <c r="H599" s="1278" t="s">
        <v>296</v>
      </c>
      <c r="I599" s="1279"/>
      <c r="J599" s="1294"/>
      <c r="K599" s="1294"/>
      <c r="L599" s="1303"/>
      <c r="M599" s="1274"/>
    </row>
    <row r="600" spans="1:13" ht="18" customHeight="1" x14ac:dyDescent="0.35">
      <c r="A600" s="1175">
        <v>591</v>
      </c>
      <c r="B600" s="1273"/>
      <c r="C600" s="1281"/>
      <c r="D600" s="1296" t="s">
        <v>231</v>
      </c>
      <c r="E600" s="1293"/>
      <c r="F600" s="1190"/>
      <c r="G600" s="1277"/>
      <c r="H600" s="1278"/>
      <c r="I600" s="1279"/>
      <c r="J600" s="1294">
        <v>4297</v>
      </c>
      <c r="K600" s="1294"/>
      <c r="L600" s="1303">
        <f>SUM(J600:K600)</f>
        <v>4297</v>
      </c>
      <c r="M600" s="1274"/>
    </row>
    <row r="601" spans="1:13" ht="18" customHeight="1" x14ac:dyDescent="0.35">
      <c r="A601" s="1175">
        <v>592</v>
      </c>
      <c r="B601" s="1273"/>
      <c r="C601" s="1281"/>
      <c r="D601" s="1210" t="s">
        <v>232</v>
      </c>
      <c r="E601" s="1189"/>
      <c r="F601" s="1190"/>
      <c r="G601" s="1277"/>
      <c r="H601" s="1278"/>
      <c r="I601" s="1279"/>
      <c r="J601" s="1295"/>
      <c r="K601" s="1294"/>
      <c r="L601" s="1217">
        <f>SUM(F601:K601)</f>
        <v>0</v>
      </c>
      <c r="M601" s="1274"/>
    </row>
    <row r="602" spans="1:13" ht="18" customHeight="1" x14ac:dyDescent="0.35">
      <c r="A602" s="1175">
        <v>593</v>
      </c>
      <c r="B602" s="1273"/>
      <c r="C602" s="1281"/>
      <c r="D602" s="1296" t="s">
        <v>233</v>
      </c>
      <c r="E602" s="1189"/>
      <c r="F602" s="1190"/>
      <c r="G602" s="1277"/>
      <c r="H602" s="1278"/>
      <c r="I602" s="1279"/>
      <c r="J602" s="1294">
        <f>SUM(J600:J601)</f>
        <v>4297</v>
      </c>
      <c r="K602" s="1294"/>
      <c r="L602" s="1222">
        <f>SUM(F602:K602)</f>
        <v>4297</v>
      </c>
      <c r="M602" s="1274"/>
    </row>
    <row r="603" spans="1:13" ht="22.5" customHeight="1" x14ac:dyDescent="0.35">
      <c r="A603" s="1175">
        <v>594</v>
      </c>
      <c r="B603" s="1273"/>
      <c r="C603" s="1281">
        <v>145</v>
      </c>
      <c r="D603" s="1304" t="s">
        <v>753</v>
      </c>
      <c r="E603" s="1305">
        <f>F603+G603+L606</f>
        <v>500</v>
      </c>
      <c r="F603" s="1306"/>
      <c r="G603" s="1277"/>
      <c r="H603" s="1278" t="s">
        <v>296</v>
      </c>
      <c r="I603" s="1279"/>
      <c r="J603" s="1294"/>
      <c r="K603" s="1294"/>
      <c r="L603" s="1303"/>
      <c r="M603" s="1274"/>
    </row>
    <row r="604" spans="1:13" ht="18" customHeight="1" x14ac:dyDescent="0.35">
      <c r="A604" s="1175">
        <v>595</v>
      </c>
      <c r="B604" s="1273"/>
      <c r="C604" s="1281"/>
      <c r="D604" s="1296" t="s">
        <v>231</v>
      </c>
      <c r="E604" s="1305"/>
      <c r="F604" s="1306"/>
      <c r="G604" s="1277"/>
      <c r="H604" s="1278"/>
      <c r="I604" s="1279"/>
      <c r="J604" s="1294"/>
      <c r="K604" s="1307">
        <v>500</v>
      </c>
      <c r="L604" s="1303">
        <f>SUM(J604:K604)</f>
        <v>500</v>
      </c>
      <c r="M604" s="1274"/>
    </row>
    <row r="605" spans="1:13" ht="18" customHeight="1" x14ac:dyDescent="0.35">
      <c r="A605" s="1175">
        <v>596</v>
      </c>
      <c r="B605" s="1273"/>
      <c r="C605" s="1281"/>
      <c r="D605" s="1210" t="s">
        <v>232</v>
      </c>
      <c r="E605" s="1305"/>
      <c r="F605" s="1306"/>
      <c r="G605" s="1277"/>
      <c r="H605" s="1278"/>
      <c r="I605" s="1279"/>
      <c r="J605" s="1294"/>
      <c r="K605" s="1295"/>
      <c r="L605" s="1217">
        <f>SUM(F605:K605)</f>
        <v>0</v>
      </c>
      <c r="M605" s="1274"/>
    </row>
    <row r="606" spans="1:13" ht="18" customHeight="1" x14ac:dyDescent="0.35">
      <c r="A606" s="1175">
        <v>597</v>
      </c>
      <c r="B606" s="1273"/>
      <c r="C606" s="1281"/>
      <c r="D606" s="1296" t="s">
        <v>233</v>
      </c>
      <c r="E606" s="1189"/>
      <c r="F606" s="1190"/>
      <c r="G606" s="1277"/>
      <c r="H606" s="1278"/>
      <c r="I606" s="1279"/>
      <c r="J606" s="1294"/>
      <c r="K606" s="1294">
        <f>SUM(K604:K605)</f>
        <v>500</v>
      </c>
      <c r="L606" s="1222">
        <f>SUM(F606:K606)</f>
        <v>500</v>
      </c>
      <c r="M606" s="1274"/>
    </row>
    <row r="607" spans="1:13" ht="36.75" customHeight="1" x14ac:dyDescent="0.35">
      <c r="A607" s="1175">
        <v>598</v>
      </c>
      <c r="B607" s="1273"/>
      <c r="C607" s="1291">
        <v>146</v>
      </c>
      <c r="D607" s="1304" t="s">
        <v>890</v>
      </c>
      <c r="E607" s="1189">
        <f>F607+G607+L610</f>
        <v>19050</v>
      </c>
      <c r="F607" s="1190"/>
      <c r="G607" s="1277"/>
      <c r="H607" s="1278" t="s">
        <v>296</v>
      </c>
      <c r="I607" s="1279"/>
      <c r="J607" s="1294"/>
      <c r="K607" s="1294"/>
      <c r="L607" s="1303"/>
      <c r="M607" s="1274"/>
    </row>
    <row r="608" spans="1:13" ht="18" customHeight="1" x14ac:dyDescent="0.35">
      <c r="A608" s="1175">
        <v>599</v>
      </c>
      <c r="B608" s="1273"/>
      <c r="C608" s="1291"/>
      <c r="D608" s="1296" t="s">
        <v>231</v>
      </c>
      <c r="E608" s="1189"/>
      <c r="F608" s="1190"/>
      <c r="G608" s="1277"/>
      <c r="H608" s="1278"/>
      <c r="I608" s="1279"/>
      <c r="J608" s="1294">
        <v>19050</v>
      </c>
      <c r="K608" s="1294"/>
      <c r="L608" s="1303">
        <f>SUM(J608:K608)</f>
        <v>19050</v>
      </c>
      <c r="M608" s="1274"/>
    </row>
    <row r="609" spans="1:13" ht="18" customHeight="1" x14ac:dyDescent="0.35">
      <c r="A609" s="1175">
        <v>600</v>
      </c>
      <c r="B609" s="1273"/>
      <c r="C609" s="1281"/>
      <c r="D609" s="1210" t="s">
        <v>232</v>
      </c>
      <c r="E609" s="1189"/>
      <c r="F609" s="1190"/>
      <c r="G609" s="1277"/>
      <c r="H609" s="1278"/>
      <c r="I609" s="1279"/>
      <c r="J609" s="1295"/>
      <c r="K609" s="1294"/>
      <c r="L609" s="1217">
        <f>SUM(F609:K609)</f>
        <v>0</v>
      </c>
      <c r="M609" s="1274"/>
    </row>
    <row r="610" spans="1:13" ht="18" customHeight="1" x14ac:dyDescent="0.35">
      <c r="A610" s="1175">
        <v>601</v>
      </c>
      <c r="B610" s="1273"/>
      <c r="C610" s="1281"/>
      <c r="D610" s="1296" t="s">
        <v>233</v>
      </c>
      <c r="E610" s="1189"/>
      <c r="F610" s="1190"/>
      <c r="G610" s="1277"/>
      <c r="H610" s="1278"/>
      <c r="I610" s="1279"/>
      <c r="J610" s="1294">
        <f>SUM(J608:J609)</f>
        <v>19050</v>
      </c>
      <c r="K610" s="1294"/>
      <c r="L610" s="1222">
        <f>SUM(F610:K610)</f>
        <v>19050</v>
      </c>
      <c r="M610" s="1274"/>
    </row>
    <row r="611" spans="1:13" ht="66" customHeight="1" x14ac:dyDescent="0.35">
      <c r="A611" s="1175">
        <v>602</v>
      </c>
      <c r="B611" s="1273"/>
      <c r="C611" s="1291">
        <v>147</v>
      </c>
      <c r="D611" s="1308" t="s">
        <v>891</v>
      </c>
      <c r="E611" s="1189">
        <f>F611+G611+L614</f>
        <v>392</v>
      </c>
      <c r="F611" s="1190"/>
      <c r="G611" s="1277"/>
      <c r="H611" s="1278" t="s">
        <v>296</v>
      </c>
      <c r="I611" s="1279"/>
      <c r="J611" s="1294"/>
      <c r="K611" s="1294"/>
      <c r="L611" s="1303"/>
      <c r="M611" s="1274"/>
    </row>
    <row r="612" spans="1:13" ht="18" customHeight="1" x14ac:dyDescent="0.35">
      <c r="A612" s="1175">
        <v>603</v>
      </c>
      <c r="B612" s="1273"/>
      <c r="C612" s="1291"/>
      <c r="D612" s="1296" t="s">
        <v>231</v>
      </c>
      <c r="E612" s="1189"/>
      <c r="F612" s="1190"/>
      <c r="G612" s="1277"/>
      <c r="H612" s="1278"/>
      <c r="I612" s="1279"/>
      <c r="J612" s="1294"/>
      <c r="K612" s="1294">
        <v>392</v>
      </c>
      <c r="L612" s="1303">
        <f>SUM(J612:K612)</f>
        <v>392</v>
      </c>
      <c r="M612" s="1274"/>
    </row>
    <row r="613" spans="1:13" ht="18" customHeight="1" x14ac:dyDescent="0.35">
      <c r="A613" s="1175">
        <v>604</v>
      </c>
      <c r="B613" s="1273"/>
      <c r="C613" s="1281"/>
      <c r="D613" s="1210" t="s">
        <v>232</v>
      </c>
      <c r="E613" s="1189"/>
      <c r="F613" s="1190"/>
      <c r="G613" s="1277"/>
      <c r="H613" s="1278"/>
      <c r="I613" s="1279"/>
      <c r="J613" s="1294"/>
      <c r="K613" s="1295"/>
      <c r="L613" s="1217">
        <f>SUM(F613:K613)</f>
        <v>0</v>
      </c>
      <c r="M613" s="1274"/>
    </row>
    <row r="614" spans="1:13" ht="18" customHeight="1" x14ac:dyDescent="0.35">
      <c r="A614" s="1175">
        <v>605</v>
      </c>
      <c r="B614" s="1273"/>
      <c r="C614" s="1281"/>
      <c r="D614" s="1296" t="s">
        <v>233</v>
      </c>
      <c r="E614" s="1189"/>
      <c r="F614" s="1190"/>
      <c r="G614" s="1277"/>
      <c r="H614" s="1278"/>
      <c r="I614" s="1279"/>
      <c r="J614" s="1294"/>
      <c r="K614" s="1294">
        <f>SUM(K612:K613)</f>
        <v>392</v>
      </c>
      <c r="L614" s="1222">
        <f>SUM(F614:K614)</f>
        <v>392</v>
      </c>
      <c r="M614" s="1274"/>
    </row>
    <row r="615" spans="1:13" ht="22.5" customHeight="1" x14ac:dyDescent="0.35">
      <c r="A615" s="1175">
        <v>606</v>
      </c>
      <c r="B615" s="1273"/>
      <c r="C615" s="1281">
        <v>148</v>
      </c>
      <c r="D615" s="1308" t="s">
        <v>892</v>
      </c>
      <c r="E615" s="1189">
        <f>F615+G615+L618</f>
        <v>10800</v>
      </c>
      <c r="F615" s="1190"/>
      <c r="G615" s="1277"/>
      <c r="H615" s="1278" t="s">
        <v>296</v>
      </c>
      <c r="I615" s="1279"/>
      <c r="J615" s="1294"/>
      <c r="K615" s="1294"/>
      <c r="L615" s="1303"/>
      <c r="M615" s="1274"/>
    </row>
    <row r="616" spans="1:13" ht="18" customHeight="1" x14ac:dyDescent="0.35">
      <c r="A616" s="1175">
        <v>607</v>
      </c>
      <c r="B616" s="1273"/>
      <c r="C616" s="1281"/>
      <c r="D616" s="1296" t="s">
        <v>231</v>
      </c>
      <c r="E616" s="1189"/>
      <c r="F616" s="1190"/>
      <c r="G616" s="1277"/>
      <c r="H616" s="1278"/>
      <c r="I616" s="1279"/>
      <c r="J616" s="1294">
        <v>10800</v>
      </c>
      <c r="K616" s="1294"/>
      <c r="L616" s="1222">
        <f>SUM(F616:K616)</f>
        <v>10800</v>
      </c>
      <c r="M616" s="1274"/>
    </row>
    <row r="617" spans="1:13" ht="18" customHeight="1" x14ac:dyDescent="0.35">
      <c r="A617" s="1175">
        <v>608</v>
      </c>
      <c r="B617" s="1273"/>
      <c r="C617" s="1281"/>
      <c r="D617" s="1210" t="s">
        <v>232</v>
      </c>
      <c r="E617" s="1189"/>
      <c r="F617" s="1190"/>
      <c r="G617" s="1277"/>
      <c r="H617" s="1278"/>
      <c r="I617" s="1279"/>
      <c r="J617" s="1295"/>
      <c r="K617" s="1294"/>
      <c r="L617" s="1217">
        <f>SUM(F617:K617)</f>
        <v>0</v>
      </c>
      <c r="M617" s="1274"/>
    </row>
    <row r="618" spans="1:13" ht="18" customHeight="1" x14ac:dyDescent="0.35">
      <c r="A618" s="1175">
        <v>609</v>
      </c>
      <c r="B618" s="1273"/>
      <c r="C618" s="1281"/>
      <c r="D618" s="1296" t="s">
        <v>233</v>
      </c>
      <c r="E618" s="1189"/>
      <c r="F618" s="1190"/>
      <c r="G618" s="1277"/>
      <c r="H618" s="1278"/>
      <c r="I618" s="1279"/>
      <c r="J618" s="1294">
        <f>SUM(J616:J617)</f>
        <v>10800</v>
      </c>
      <c r="K618" s="1294"/>
      <c r="L618" s="1222">
        <f>SUM(F618:K618)</f>
        <v>10800</v>
      </c>
      <c r="M618" s="1274"/>
    </row>
    <row r="619" spans="1:13" ht="22.5" customHeight="1" x14ac:dyDescent="0.35">
      <c r="A619" s="1175">
        <v>610</v>
      </c>
      <c r="B619" s="1273"/>
      <c r="C619" s="1281">
        <v>149</v>
      </c>
      <c r="D619" s="1308" t="s">
        <v>893</v>
      </c>
      <c r="E619" s="1305">
        <f>F619+G619+L622</f>
        <v>4000</v>
      </c>
      <c r="F619" s="1306"/>
      <c r="G619" s="1277"/>
      <c r="H619" s="1278" t="s">
        <v>296</v>
      </c>
      <c r="I619" s="1279"/>
      <c r="J619" s="1294"/>
      <c r="K619" s="1294"/>
      <c r="L619" s="1303"/>
      <c r="M619" s="1274"/>
    </row>
    <row r="620" spans="1:13" ht="18" customHeight="1" x14ac:dyDescent="0.35">
      <c r="A620" s="1175">
        <v>611</v>
      </c>
      <c r="B620" s="1273"/>
      <c r="C620" s="1281"/>
      <c r="D620" s="1296" t="s">
        <v>231</v>
      </c>
      <c r="E620" s="1305"/>
      <c r="F620" s="1306"/>
      <c r="G620" s="1277"/>
      <c r="H620" s="1278"/>
      <c r="I620" s="1279"/>
      <c r="J620" s="1294">
        <v>4000</v>
      </c>
      <c r="K620" s="1294"/>
      <c r="L620" s="1222">
        <f>SUM(F620:K620)</f>
        <v>4000</v>
      </c>
      <c r="M620" s="1274"/>
    </row>
    <row r="621" spans="1:13" ht="18" customHeight="1" x14ac:dyDescent="0.35">
      <c r="A621" s="1175">
        <v>612</v>
      </c>
      <c r="B621" s="1273"/>
      <c r="C621" s="1281"/>
      <c r="D621" s="1210" t="s">
        <v>232</v>
      </c>
      <c r="E621" s="1305"/>
      <c r="F621" s="1306"/>
      <c r="G621" s="1277"/>
      <c r="H621" s="1278"/>
      <c r="I621" s="1279"/>
      <c r="J621" s="1295"/>
      <c r="K621" s="1294"/>
      <c r="L621" s="1217">
        <f>SUM(F621:K621)</f>
        <v>0</v>
      </c>
      <c r="M621" s="1274"/>
    </row>
    <row r="622" spans="1:13" ht="18" customHeight="1" x14ac:dyDescent="0.35">
      <c r="A622" s="1175">
        <v>613</v>
      </c>
      <c r="B622" s="1273"/>
      <c r="C622" s="1281"/>
      <c r="D622" s="1296" t="s">
        <v>233</v>
      </c>
      <c r="E622" s="1305"/>
      <c r="F622" s="1306"/>
      <c r="G622" s="1277"/>
      <c r="H622" s="1278"/>
      <c r="I622" s="1279"/>
      <c r="J622" s="1294">
        <f>SUM(J620:J621)</f>
        <v>4000</v>
      </c>
      <c r="K622" s="1294"/>
      <c r="L622" s="1222">
        <f>SUM(F622:K622)</f>
        <v>4000</v>
      </c>
      <c r="M622" s="1274"/>
    </row>
    <row r="623" spans="1:13" ht="22.5" customHeight="1" x14ac:dyDescent="0.35">
      <c r="A623" s="1175">
        <v>614</v>
      </c>
      <c r="B623" s="1273"/>
      <c r="C623" s="1281">
        <v>150</v>
      </c>
      <c r="D623" s="1308" t="s">
        <v>894</v>
      </c>
      <c r="E623" s="1305">
        <f>F623+G623+L626</f>
        <v>3000</v>
      </c>
      <c r="F623" s="1306"/>
      <c r="G623" s="1277"/>
      <c r="H623" s="1278" t="s">
        <v>296</v>
      </c>
      <c r="I623" s="1279"/>
      <c r="J623" s="1294"/>
      <c r="K623" s="1294"/>
      <c r="L623" s="1303"/>
      <c r="M623" s="1274"/>
    </row>
    <row r="624" spans="1:13" ht="18" customHeight="1" x14ac:dyDescent="0.35">
      <c r="A624" s="1175">
        <v>615</v>
      </c>
      <c r="B624" s="1273"/>
      <c r="C624" s="1281"/>
      <c r="D624" s="1296" t="s">
        <v>231</v>
      </c>
      <c r="E624" s="1305"/>
      <c r="F624" s="1306"/>
      <c r="G624" s="1277"/>
      <c r="H624" s="1278"/>
      <c r="I624" s="1279"/>
      <c r="J624" s="1294">
        <v>3000</v>
      </c>
      <c r="K624" s="1294"/>
      <c r="L624" s="1222">
        <f>SUM(F624:K624)</f>
        <v>3000</v>
      </c>
      <c r="M624" s="1274"/>
    </row>
    <row r="625" spans="1:13" ht="18" customHeight="1" x14ac:dyDescent="0.35">
      <c r="A625" s="1175">
        <v>616</v>
      </c>
      <c r="B625" s="1273"/>
      <c r="C625" s="1281"/>
      <c r="D625" s="1210" t="s">
        <v>232</v>
      </c>
      <c r="E625" s="1305"/>
      <c r="F625" s="1306"/>
      <c r="G625" s="1277"/>
      <c r="H625" s="1278"/>
      <c r="I625" s="1279"/>
      <c r="J625" s="1295"/>
      <c r="K625" s="1294"/>
      <c r="L625" s="1217">
        <f>SUM(F625:K625)</f>
        <v>0</v>
      </c>
      <c r="M625" s="1274"/>
    </row>
    <row r="626" spans="1:13" ht="18" customHeight="1" x14ac:dyDescent="0.35">
      <c r="A626" s="1175">
        <v>617</v>
      </c>
      <c r="B626" s="1273"/>
      <c r="C626" s="1281"/>
      <c r="D626" s="1296" t="s">
        <v>233</v>
      </c>
      <c r="E626" s="1305"/>
      <c r="F626" s="1306"/>
      <c r="G626" s="1277"/>
      <c r="H626" s="1278"/>
      <c r="I626" s="1279"/>
      <c r="J626" s="1294">
        <f>SUM(J624:J625)</f>
        <v>3000</v>
      </c>
      <c r="K626" s="1294"/>
      <c r="L626" s="1222">
        <f>SUM(F626:K626)</f>
        <v>3000</v>
      </c>
      <c r="M626" s="1274"/>
    </row>
    <row r="627" spans="1:13" ht="22.5" customHeight="1" x14ac:dyDescent="0.35">
      <c r="A627" s="1175">
        <v>618</v>
      </c>
      <c r="B627" s="1273"/>
      <c r="C627" s="1281">
        <v>151</v>
      </c>
      <c r="D627" s="1308" t="s">
        <v>895</v>
      </c>
      <c r="E627" s="1305">
        <f>F627+G627+L630</f>
        <v>5000</v>
      </c>
      <c r="F627" s="1306"/>
      <c r="G627" s="1277"/>
      <c r="H627" s="1278" t="s">
        <v>296</v>
      </c>
      <c r="I627" s="1279"/>
      <c r="J627" s="1294"/>
      <c r="K627" s="1294"/>
      <c r="L627" s="1303"/>
      <c r="M627" s="1274"/>
    </row>
    <row r="628" spans="1:13" ht="18" customHeight="1" x14ac:dyDescent="0.35">
      <c r="A628" s="1175">
        <v>619</v>
      </c>
      <c r="B628" s="1273"/>
      <c r="C628" s="1281"/>
      <c r="D628" s="1296" t="s">
        <v>231</v>
      </c>
      <c r="E628" s="1305"/>
      <c r="F628" s="1306"/>
      <c r="G628" s="1277"/>
      <c r="H628" s="1278"/>
      <c r="I628" s="1279"/>
      <c r="J628" s="1294">
        <v>5000</v>
      </c>
      <c r="K628" s="1294"/>
      <c r="L628" s="1222">
        <f>SUM(F628:K628)</f>
        <v>5000</v>
      </c>
      <c r="M628" s="1274"/>
    </row>
    <row r="629" spans="1:13" ht="18" customHeight="1" x14ac:dyDescent="0.35">
      <c r="A629" s="1175">
        <v>620</v>
      </c>
      <c r="B629" s="1273"/>
      <c r="C629" s="1281"/>
      <c r="D629" s="1210" t="s">
        <v>232</v>
      </c>
      <c r="E629" s="1305"/>
      <c r="F629" s="1306"/>
      <c r="G629" s="1277"/>
      <c r="H629" s="1278"/>
      <c r="I629" s="1279"/>
      <c r="J629" s="1295"/>
      <c r="K629" s="1294"/>
      <c r="L629" s="1217">
        <f>SUM(F629:K629)</f>
        <v>0</v>
      </c>
      <c r="M629" s="1274"/>
    </row>
    <row r="630" spans="1:13" ht="18" customHeight="1" x14ac:dyDescent="0.35">
      <c r="A630" s="1175">
        <v>621</v>
      </c>
      <c r="B630" s="1273"/>
      <c r="C630" s="1281"/>
      <c r="D630" s="1296" t="s">
        <v>233</v>
      </c>
      <c r="E630" s="1305"/>
      <c r="F630" s="1306"/>
      <c r="G630" s="1277"/>
      <c r="H630" s="1278"/>
      <c r="I630" s="1279"/>
      <c r="J630" s="1294">
        <f>SUM(J628:J629)</f>
        <v>5000</v>
      </c>
      <c r="K630" s="1294"/>
      <c r="L630" s="1222">
        <f>SUM(F630:K630)</f>
        <v>5000</v>
      </c>
      <c r="M630" s="1274"/>
    </row>
    <row r="631" spans="1:13" ht="22.5" customHeight="1" x14ac:dyDescent="0.35">
      <c r="A631" s="1175">
        <v>622</v>
      </c>
      <c r="B631" s="1273"/>
      <c r="C631" s="1281">
        <v>152</v>
      </c>
      <c r="D631" s="1308" t="s">
        <v>896</v>
      </c>
      <c r="E631" s="1305">
        <f>F631+G631+L634</f>
        <v>4400</v>
      </c>
      <c r="F631" s="1306"/>
      <c r="G631" s="1277"/>
      <c r="H631" s="1278" t="s">
        <v>296</v>
      </c>
      <c r="I631" s="1279"/>
      <c r="J631" s="1294"/>
      <c r="K631" s="1294"/>
      <c r="L631" s="1303"/>
      <c r="M631" s="1274"/>
    </row>
    <row r="632" spans="1:13" ht="18" customHeight="1" x14ac:dyDescent="0.35">
      <c r="A632" s="1175">
        <v>623</v>
      </c>
      <c r="B632" s="1273"/>
      <c r="C632" s="1281"/>
      <c r="D632" s="1296" t="s">
        <v>231</v>
      </c>
      <c r="E632" s="1305"/>
      <c r="F632" s="1306"/>
      <c r="G632" s="1277"/>
      <c r="H632" s="1278"/>
      <c r="I632" s="1279"/>
      <c r="J632" s="1294">
        <v>4400</v>
      </c>
      <c r="K632" s="1294"/>
      <c r="L632" s="1222">
        <f>SUM(F632:K632)</f>
        <v>4400</v>
      </c>
      <c r="M632" s="1274"/>
    </row>
    <row r="633" spans="1:13" ht="18" customHeight="1" x14ac:dyDescent="0.35">
      <c r="A633" s="1175">
        <v>624</v>
      </c>
      <c r="B633" s="1273"/>
      <c r="C633" s="1281"/>
      <c r="D633" s="1210" t="s">
        <v>232</v>
      </c>
      <c r="E633" s="1305"/>
      <c r="F633" s="1306"/>
      <c r="G633" s="1277"/>
      <c r="H633" s="1278"/>
      <c r="I633" s="1279"/>
      <c r="J633" s="1295"/>
      <c r="K633" s="1294"/>
      <c r="L633" s="1217">
        <f>SUM(F633:K633)</f>
        <v>0</v>
      </c>
      <c r="M633" s="1274"/>
    </row>
    <row r="634" spans="1:13" ht="18" customHeight="1" x14ac:dyDescent="0.35">
      <c r="A634" s="1175">
        <v>625</v>
      </c>
      <c r="B634" s="1273"/>
      <c r="C634" s="1281"/>
      <c r="D634" s="1296" t="s">
        <v>233</v>
      </c>
      <c r="E634" s="1305"/>
      <c r="F634" s="1306"/>
      <c r="G634" s="1277"/>
      <c r="H634" s="1278"/>
      <c r="I634" s="1279"/>
      <c r="J634" s="1294">
        <f>SUM(J632:J633)</f>
        <v>4400</v>
      </c>
      <c r="K634" s="1294"/>
      <c r="L634" s="1222">
        <f>SUM(F634:K634)</f>
        <v>4400</v>
      </c>
      <c r="M634" s="1274"/>
    </row>
    <row r="635" spans="1:13" ht="22.5" customHeight="1" x14ac:dyDescent="0.35">
      <c r="A635" s="1175">
        <v>626</v>
      </c>
      <c r="B635" s="1273"/>
      <c r="C635" s="1281">
        <v>153</v>
      </c>
      <c r="D635" s="1308" t="s">
        <v>897</v>
      </c>
      <c r="E635" s="1305">
        <f>F635+G635+L638</f>
        <v>18000</v>
      </c>
      <c r="F635" s="1306"/>
      <c r="G635" s="1277"/>
      <c r="H635" s="1278" t="s">
        <v>296</v>
      </c>
      <c r="I635" s="1279"/>
      <c r="J635" s="1294"/>
      <c r="K635" s="1294"/>
      <c r="L635" s="1303"/>
      <c r="M635" s="1274"/>
    </row>
    <row r="636" spans="1:13" ht="18" customHeight="1" x14ac:dyDescent="0.35">
      <c r="A636" s="1175">
        <v>627</v>
      </c>
      <c r="B636" s="1273"/>
      <c r="C636" s="1281"/>
      <c r="D636" s="1296" t="s">
        <v>231</v>
      </c>
      <c r="E636" s="1305"/>
      <c r="F636" s="1306"/>
      <c r="G636" s="1277"/>
      <c r="H636" s="1278"/>
      <c r="I636" s="1279"/>
      <c r="J636" s="1294">
        <v>18000</v>
      </c>
      <c r="K636" s="1294"/>
      <c r="L636" s="1222">
        <f>SUM(F636:K636)</f>
        <v>18000</v>
      </c>
      <c r="M636" s="1274"/>
    </row>
    <row r="637" spans="1:13" ht="18" customHeight="1" x14ac:dyDescent="0.35">
      <c r="A637" s="1175">
        <v>628</v>
      </c>
      <c r="B637" s="1273"/>
      <c r="C637" s="1281"/>
      <c r="D637" s="1210" t="s">
        <v>232</v>
      </c>
      <c r="E637" s="1305"/>
      <c r="F637" s="1306"/>
      <c r="G637" s="1277"/>
      <c r="H637" s="1278"/>
      <c r="I637" s="1279"/>
      <c r="J637" s="1295"/>
      <c r="K637" s="1294"/>
      <c r="L637" s="1217">
        <f>SUM(F637:K637)</f>
        <v>0</v>
      </c>
      <c r="M637" s="1274"/>
    </row>
    <row r="638" spans="1:13" ht="18" customHeight="1" x14ac:dyDescent="0.35">
      <c r="A638" s="1175">
        <v>629</v>
      </c>
      <c r="B638" s="1273"/>
      <c r="C638" s="1281"/>
      <c r="D638" s="1296" t="s">
        <v>233</v>
      </c>
      <c r="E638" s="1305"/>
      <c r="F638" s="1306"/>
      <c r="G638" s="1277"/>
      <c r="H638" s="1278"/>
      <c r="I638" s="1279"/>
      <c r="J638" s="1294">
        <f>SUM(J636:J637)</f>
        <v>18000</v>
      </c>
      <c r="K638" s="1294"/>
      <c r="L638" s="1222">
        <f>SUM(F638:K638)</f>
        <v>18000</v>
      </c>
      <c r="M638" s="1274"/>
    </row>
    <row r="639" spans="1:13" ht="22.5" customHeight="1" x14ac:dyDescent="0.35">
      <c r="A639" s="1175">
        <v>630</v>
      </c>
      <c r="B639" s="1273"/>
      <c r="C639" s="1281">
        <v>154</v>
      </c>
      <c r="D639" s="1308" t="s">
        <v>898</v>
      </c>
      <c r="E639" s="1305">
        <f>F639+G639+L642</f>
        <v>6731</v>
      </c>
      <c r="F639" s="1306"/>
      <c r="G639" s="1277"/>
      <c r="H639" s="1278" t="s">
        <v>106</v>
      </c>
      <c r="I639" s="1279"/>
      <c r="J639" s="1294"/>
      <c r="K639" s="1294"/>
      <c r="L639" s="1303"/>
      <c r="M639" s="1274"/>
    </row>
    <row r="640" spans="1:13" ht="18" customHeight="1" x14ac:dyDescent="0.35">
      <c r="A640" s="1175">
        <v>631</v>
      </c>
      <c r="B640" s="1273"/>
      <c r="C640" s="1281"/>
      <c r="D640" s="1296" t="s">
        <v>231</v>
      </c>
      <c r="E640" s="1305"/>
      <c r="F640" s="1306"/>
      <c r="G640" s="1277"/>
      <c r="H640" s="1278"/>
      <c r="I640" s="1279"/>
      <c r="J640" s="1294">
        <v>6731</v>
      </c>
      <c r="K640" s="1294"/>
      <c r="L640" s="1222">
        <f>SUM(F640:K640)</f>
        <v>6731</v>
      </c>
      <c r="M640" s="1274"/>
    </row>
    <row r="641" spans="1:13" ht="18" customHeight="1" x14ac:dyDescent="0.35">
      <c r="A641" s="1175">
        <v>632</v>
      </c>
      <c r="B641" s="1273"/>
      <c r="C641" s="1281"/>
      <c r="D641" s="1210" t="s">
        <v>245</v>
      </c>
      <c r="E641" s="1305"/>
      <c r="F641" s="1306"/>
      <c r="G641" s="1277"/>
      <c r="H641" s="1278"/>
      <c r="I641" s="1279"/>
      <c r="J641" s="1295"/>
      <c r="K641" s="1294"/>
      <c r="L641" s="1217">
        <f>SUM(F641:K641)</f>
        <v>0</v>
      </c>
      <c r="M641" s="1274"/>
    </row>
    <row r="642" spans="1:13" ht="18" customHeight="1" x14ac:dyDescent="0.35">
      <c r="A642" s="1175">
        <v>633</v>
      </c>
      <c r="B642" s="1273"/>
      <c r="C642" s="1281"/>
      <c r="D642" s="1296" t="s">
        <v>233</v>
      </c>
      <c r="E642" s="1305"/>
      <c r="F642" s="1306"/>
      <c r="G642" s="1277"/>
      <c r="H642" s="1278"/>
      <c r="I642" s="1279"/>
      <c r="J642" s="1294">
        <f>SUM(J640:J641)</f>
        <v>6731</v>
      </c>
      <c r="K642" s="1294"/>
      <c r="L642" s="1222">
        <f>SUM(F642:K642)</f>
        <v>6731</v>
      </c>
      <c r="M642" s="1274"/>
    </row>
    <row r="643" spans="1:13" ht="22.5" customHeight="1" x14ac:dyDescent="0.35">
      <c r="A643" s="1175">
        <v>634</v>
      </c>
      <c r="B643" s="1273"/>
      <c r="C643" s="1281">
        <v>155</v>
      </c>
      <c r="D643" s="1308" t="s">
        <v>899</v>
      </c>
      <c r="E643" s="1305">
        <f>F643+G643+L646</f>
        <v>5200</v>
      </c>
      <c r="F643" s="1306"/>
      <c r="G643" s="1277"/>
      <c r="H643" s="1278" t="s">
        <v>296</v>
      </c>
      <c r="I643" s="1279"/>
      <c r="J643" s="1294"/>
      <c r="K643" s="1294"/>
      <c r="L643" s="1303"/>
      <c r="M643" s="1274"/>
    </row>
    <row r="644" spans="1:13" ht="18" customHeight="1" x14ac:dyDescent="0.35">
      <c r="A644" s="1175">
        <v>635</v>
      </c>
      <c r="B644" s="1273"/>
      <c r="C644" s="1281"/>
      <c r="D644" s="1296" t="s">
        <v>231</v>
      </c>
      <c r="E644" s="1305"/>
      <c r="F644" s="1306"/>
      <c r="G644" s="1277"/>
      <c r="H644" s="1278"/>
      <c r="I644" s="1279"/>
      <c r="J644" s="1294">
        <v>5200</v>
      </c>
      <c r="K644" s="1294"/>
      <c r="L644" s="1222">
        <f>SUM(F644:K644)</f>
        <v>5200</v>
      </c>
      <c r="M644" s="1274"/>
    </row>
    <row r="645" spans="1:13" ht="18" customHeight="1" x14ac:dyDescent="0.35">
      <c r="A645" s="1175">
        <v>636</v>
      </c>
      <c r="B645" s="1273"/>
      <c r="C645" s="1281"/>
      <c r="D645" s="1210" t="s">
        <v>232</v>
      </c>
      <c r="E645" s="1305"/>
      <c r="F645" s="1306"/>
      <c r="G645" s="1277"/>
      <c r="H645" s="1278"/>
      <c r="I645" s="1279"/>
      <c r="J645" s="1295"/>
      <c r="K645" s="1294"/>
      <c r="L645" s="1217">
        <f>SUM(F645:K645)</f>
        <v>0</v>
      </c>
      <c r="M645" s="1274"/>
    </row>
    <row r="646" spans="1:13" ht="18" customHeight="1" x14ac:dyDescent="0.35">
      <c r="A646" s="1175">
        <v>637</v>
      </c>
      <c r="B646" s="1273"/>
      <c r="C646" s="1281"/>
      <c r="D646" s="1296" t="s">
        <v>233</v>
      </c>
      <c r="E646" s="1305"/>
      <c r="F646" s="1306"/>
      <c r="G646" s="1277"/>
      <c r="H646" s="1278"/>
      <c r="I646" s="1279"/>
      <c r="J646" s="1294">
        <f>SUM(J644:J645)</f>
        <v>5200</v>
      </c>
      <c r="K646" s="1294"/>
      <c r="L646" s="1222">
        <f>SUM(F646:K646)</f>
        <v>5200</v>
      </c>
      <c r="M646" s="1274"/>
    </row>
    <row r="647" spans="1:13" ht="22.5" customHeight="1" x14ac:dyDescent="0.35">
      <c r="A647" s="1175">
        <v>638</v>
      </c>
      <c r="B647" s="1273"/>
      <c r="C647" s="1281">
        <v>156</v>
      </c>
      <c r="D647" s="1308" t="s">
        <v>900</v>
      </c>
      <c r="E647" s="1305">
        <f>F647+G647+L650</f>
        <v>6086</v>
      </c>
      <c r="F647" s="1306"/>
      <c r="G647" s="1277"/>
      <c r="H647" s="1278" t="s">
        <v>296</v>
      </c>
      <c r="I647" s="1279"/>
      <c r="J647" s="1294"/>
      <c r="K647" s="1294"/>
      <c r="L647" s="1303"/>
      <c r="M647" s="1274"/>
    </row>
    <row r="648" spans="1:13" ht="18" customHeight="1" x14ac:dyDescent="0.35">
      <c r="A648" s="1175">
        <v>639</v>
      </c>
      <c r="B648" s="1273"/>
      <c r="C648" s="1281"/>
      <c r="D648" s="1296" t="s">
        <v>231</v>
      </c>
      <c r="E648" s="1305"/>
      <c r="F648" s="1306"/>
      <c r="G648" s="1277"/>
      <c r="H648" s="1278"/>
      <c r="I648" s="1279"/>
      <c r="J648" s="1294">
        <v>6086</v>
      </c>
      <c r="K648" s="1294"/>
      <c r="L648" s="1222">
        <f>SUM(F648:K648)</f>
        <v>6086</v>
      </c>
      <c r="M648" s="1274"/>
    </row>
    <row r="649" spans="1:13" ht="18" customHeight="1" x14ac:dyDescent="0.35">
      <c r="A649" s="1175">
        <v>640</v>
      </c>
      <c r="B649" s="1273"/>
      <c r="C649" s="1281"/>
      <c r="D649" s="1210" t="s">
        <v>232</v>
      </c>
      <c r="E649" s="1189"/>
      <c r="F649" s="1190"/>
      <c r="G649" s="1277"/>
      <c r="H649" s="1278"/>
      <c r="I649" s="1279"/>
      <c r="J649" s="1295"/>
      <c r="K649" s="1294"/>
      <c r="L649" s="1217">
        <f>SUM(F649:K649)</f>
        <v>0</v>
      </c>
      <c r="M649" s="1274"/>
    </row>
    <row r="650" spans="1:13" ht="18" customHeight="1" x14ac:dyDescent="0.35">
      <c r="A650" s="1175">
        <v>641</v>
      </c>
      <c r="B650" s="1273"/>
      <c r="C650" s="1281"/>
      <c r="D650" s="1296" t="s">
        <v>233</v>
      </c>
      <c r="E650" s="1309"/>
      <c r="F650" s="1299"/>
      <c r="G650" s="1277"/>
      <c r="H650" s="1278"/>
      <c r="I650" s="1279"/>
      <c r="J650" s="1294">
        <f>SUM(J648:J649)</f>
        <v>6086</v>
      </c>
      <c r="K650" s="1294"/>
      <c r="L650" s="1222">
        <f>SUM(F650:K650)</f>
        <v>6086</v>
      </c>
      <c r="M650" s="1274"/>
    </row>
    <row r="651" spans="1:13" ht="22.5" customHeight="1" x14ac:dyDescent="0.35">
      <c r="A651" s="1175">
        <v>642</v>
      </c>
      <c r="B651" s="1273"/>
      <c r="C651" s="1281">
        <v>157</v>
      </c>
      <c r="D651" s="1308" t="s">
        <v>1097</v>
      </c>
      <c r="E651" s="1189">
        <f>F651+G651+L653</f>
        <v>8000</v>
      </c>
      <c r="F651" s="1190"/>
      <c r="G651" s="1277"/>
      <c r="H651" s="1278" t="s">
        <v>296</v>
      </c>
      <c r="I651" s="1279"/>
      <c r="J651" s="1294"/>
      <c r="K651" s="1294"/>
      <c r="L651" s="1303"/>
      <c r="M651" s="1274"/>
    </row>
    <row r="652" spans="1:13" ht="18" customHeight="1" x14ac:dyDescent="0.35">
      <c r="A652" s="1175">
        <v>643</v>
      </c>
      <c r="B652" s="1273"/>
      <c r="C652" s="1281"/>
      <c r="D652" s="1210" t="s">
        <v>232</v>
      </c>
      <c r="E652" s="1189"/>
      <c r="F652" s="1190"/>
      <c r="G652" s="1277"/>
      <c r="H652" s="1278"/>
      <c r="I652" s="1279"/>
      <c r="J652" s="1295">
        <v>8000</v>
      </c>
      <c r="K652" s="1294"/>
      <c r="L652" s="1217">
        <f>SUM(F652:K652)</f>
        <v>8000</v>
      </c>
      <c r="M652" s="1274"/>
    </row>
    <row r="653" spans="1:13" ht="18" customHeight="1" x14ac:dyDescent="0.35">
      <c r="A653" s="1175">
        <v>644</v>
      </c>
      <c r="B653" s="1273"/>
      <c r="C653" s="1281"/>
      <c r="D653" s="1296" t="s">
        <v>233</v>
      </c>
      <c r="E653" s="1189"/>
      <c r="F653" s="1190"/>
      <c r="G653" s="1277"/>
      <c r="H653" s="1278"/>
      <c r="I653" s="1279"/>
      <c r="J653" s="1294">
        <f>SUM(J652)</f>
        <v>8000</v>
      </c>
      <c r="K653" s="1294"/>
      <c r="L653" s="1222">
        <f>SUM(F653:K653)</f>
        <v>8000</v>
      </c>
      <c r="M653" s="1274"/>
    </row>
    <row r="654" spans="1:13" ht="21.75" customHeight="1" x14ac:dyDescent="0.35">
      <c r="A654" s="1175">
        <v>645</v>
      </c>
      <c r="B654" s="1273"/>
      <c r="C654" s="1281">
        <v>158</v>
      </c>
      <c r="D654" s="1308" t="s">
        <v>27</v>
      </c>
      <c r="E654" s="1189">
        <f>F654+G654+L656</f>
        <v>23775</v>
      </c>
      <c r="F654" s="1190"/>
      <c r="G654" s="1277"/>
      <c r="H654" s="1278" t="s">
        <v>296</v>
      </c>
      <c r="I654" s="1279"/>
      <c r="J654" s="1294"/>
      <c r="K654" s="1294"/>
      <c r="L654" s="1303"/>
      <c r="M654" s="1274"/>
    </row>
    <row r="655" spans="1:13" ht="18" customHeight="1" x14ac:dyDescent="0.35">
      <c r="A655" s="1175">
        <v>646</v>
      </c>
      <c r="B655" s="1273"/>
      <c r="C655" s="1281"/>
      <c r="D655" s="1210" t="s">
        <v>287</v>
      </c>
      <c r="E655" s="1189"/>
      <c r="F655" s="1190"/>
      <c r="G655" s="1277"/>
      <c r="H655" s="1278"/>
      <c r="I655" s="1279"/>
      <c r="J655" s="1295">
        <v>23775</v>
      </c>
      <c r="K655" s="1294"/>
      <c r="L655" s="1217">
        <f>SUM(F655:K655)</f>
        <v>23775</v>
      </c>
      <c r="M655" s="1274"/>
    </row>
    <row r="656" spans="1:13" ht="18" customHeight="1" x14ac:dyDescent="0.35">
      <c r="A656" s="1175">
        <v>647</v>
      </c>
      <c r="B656" s="1273"/>
      <c r="C656" s="1281"/>
      <c r="D656" s="1296" t="s">
        <v>233</v>
      </c>
      <c r="E656" s="1189"/>
      <c r="F656" s="1190"/>
      <c r="G656" s="1277"/>
      <c r="H656" s="1278"/>
      <c r="I656" s="1279"/>
      <c r="J656" s="1294">
        <f>SUM(J655)</f>
        <v>23775</v>
      </c>
      <c r="K656" s="1294"/>
      <c r="L656" s="1222">
        <f>SUM(F656:K656)</f>
        <v>23775</v>
      </c>
      <c r="M656" s="1274"/>
    </row>
    <row r="657" spans="1:13" ht="22.5" customHeight="1" x14ac:dyDescent="0.35">
      <c r="A657" s="1175">
        <v>648</v>
      </c>
      <c r="B657" s="1273"/>
      <c r="C657" s="1281">
        <v>159</v>
      </c>
      <c r="D657" s="1308" t="s">
        <v>23</v>
      </c>
      <c r="E657" s="1189">
        <f>F657+G657+L659</f>
        <v>22225</v>
      </c>
      <c r="F657" s="1190"/>
      <c r="G657" s="1277"/>
      <c r="H657" s="1278" t="s">
        <v>296</v>
      </c>
      <c r="I657" s="1279"/>
      <c r="J657" s="1294"/>
      <c r="K657" s="1294"/>
      <c r="L657" s="1303"/>
      <c r="M657" s="1274"/>
    </row>
    <row r="658" spans="1:13" ht="18" customHeight="1" x14ac:dyDescent="0.35">
      <c r="A658" s="1175">
        <v>649</v>
      </c>
      <c r="B658" s="1273"/>
      <c r="C658" s="1281"/>
      <c r="D658" s="1210" t="s">
        <v>287</v>
      </c>
      <c r="E658" s="1189"/>
      <c r="F658" s="1190"/>
      <c r="G658" s="1277"/>
      <c r="H658" s="1278"/>
      <c r="I658" s="1279">
        <v>22225</v>
      </c>
      <c r="J658" s="1295"/>
      <c r="K658" s="1294"/>
      <c r="L658" s="1217">
        <f>SUM(F658:K658)</f>
        <v>22225</v>
      </c>
      <c r="M658" s="1274"/>
    </row>
    <row r="659" spans="1:13" ht="18" customHeight="1" x14ac:dyDescent="0.35">
      <c r="A659" s="1175">
        <v>650</v>
      </c>
      <c r="B659" s="1273"/>
      <c r="C659" s="1281"/>
      <c r="D659" s="1296" t="s">
        <v>233</v>
      </c>
      <c r="E659" s="1189"/>
      <c r="F659" s="1190"/>
      <c r="G659" s="1277"/>
      <c r="H659" s="1278"/>
      <c r="I659" s="1294">
        <f>SUM(I658)</f>
        <v>22225</v>
      </c>
      <c r="J659" s="1294"/>
      <c r="K659" s="1294"/>
      <c r="L659" s="1222">
        <f>SUM(F659:K659)</f>
        <v>22225</v>
      </c>
      <c r="M659" s="1274"/>
    </row>
    <row r="660" spans="1:13" ht="22.5" customHeight="1" x14ac:dyDescent="0.35">
      <c r="A660" s="1175">
        <v>651</v>
      </c>
      <c r="B660" s="1273"/>
      <c r="C660" s="1281">
        <v>160</v>
      </c>
      <c r="D660" s="1308" t="s">
        <v>28</v>
      </c>
      <c r="E660" s="1189">
        <f>F660+G660+L662</f>
        <v>8446</v>
      </c>
      <c r="F660" s="1190"/>
      <c r="G660" s="1277"/>
      <c r="H660" s="1278" t="s">
        <v>296</v>
      </c>
      <c r="I660" s="1279"/>
      <c r="J660" s="1294"/>
      <c r="K660" s="1294"/>
      <c r="L660" s="1303"/>
      <c r="M660" s="1274"/>
    </row>
    <row r="661" spans="1:13" ht="18" customHeight="1" x14ac:dyDescent="0.35">
      <c r="A661" s="1175">
        <v>652</v>
      </c>
      <c r="B661" s="1273"/>
      <c r="C661" s="1281"/>
      <c r="D661" s="1210" t="s">
        <v>287</v>
      </c>
      <c r="E661" s="1189"/>
      <c r="F661" s="1190"/>
      <c r="G661" s="1277"/>
      <c r="H661" s="1278"/>
      <c r="I661" s="1279"/>
      <c r="J661" s="1295">
        <v>8446</v>
      </c>
      <c r="K661" s="1294"/>
      <c r="L661" s="1217">
        <f>SUM(F661:K661)</f>
        <v>8446</v>
      </c>
      <c r="M661" s="1274"/>
    </row>
    <row r="662" spans="1:13" ht="18" customHeight="1" x14ac:dyDescent="0.35">
      <c r="A662" s="1175">
        <v>653</v>
      </c>
      <c r="B662" s="1273"/>
      <c r="C662" s="1281"/>
      <c r="D662" s="1296" t="s">
        <v>233</v>
      </c>
      <c r="E662" s="1189"/>
      <c r="F662" s="1190"/>
      <c r="G662" s="1277"/>
      <c r="H662" s="1278"/>
      <c r="I662" s="1279"/>
      <c r="J662" s="1294">
        <f>SUM(J661)</f>
        <v>8446</v>
      </c>
      <c r="K662" s="1294"/>
      <c r="L662" s="1222">
        <f>SUM(F662:K662)</f>
        <v>8446</v>
      </c>
      <c r="M662" s="1274"/>
    </row>
    <row r="663" spans="1:13" ht="22.5" customHeight="1" x14ac:dyDescent="0.35">
      <c r="A663" s="1175">
        <v>654</v>
      </c>
      <c r="B663" s="1273"/>
      <c r="C663" s="1281">
        <v>161</v>
      </c>
      <c r="D663" s="1308" t="s">
        <v>29</v>
      </c>
      <c r="E663" s="1189">
        <f>F663+G663+L665</f>
        <v>51443</v>
      </c>
      <c r="F663" s="1190"/>
      <c r="G663" s="1277"/>
      <c r="H663" s="1278" t="s">
        <v>296</v>
      </c>
      <c r="I663" s="1279"/>
      <c r="J663" s="1294"/>
      <c r="K663" s="1294"/>
      <c r="L663" s="1303"/>
      <c r="M663" s="1274"/>
    </row>
    <row r="664" spans="1:13" ht="18" customHeight="1" x14ac:dyDescent="0.35">
      <c r="A664" s="1175">
        <v>655</v>
      </c>
      <c r="B664" s="1273"/>
      <c r="C664" s="1281"/>
      <c r="D664" s="1210" t="s">
        <v>287</v>
      </c>
      <c r="E664" s="1189"/>
      <c r="F664" s="1190"/>
      <c r="G664" s="1277"/>
      <c r="H664" s="1278"/>
      <c r="I664" s="1279"/>
      <c r="J664" s="1295">
        <v>51443</v>
      </c>
      <c r="K664" s="1294"/>
      <c r="L664" s="1217">
        <f>SUM(F664:K664)</f>
        <v>51443</v>
      </c>
      <c r="M664" s="1274"/>
    </row>
    <row r="665" spans="1:13" ht="18" customHeight="1" x14ac:dyDescent="0.35">
      <c r="A665" s="1175">
        <v>656</v>
      </c>
      <c r="B665" s="1273"/>
      <c r="C665" s="1281"/>
      <c r="D665" s="1296" t="s">
        <v>233</v>
      </c>
      <c r="E665" s="1189"/>
      <c r="F665" s="1190"/>
      <c r="G665" s="1277"/>
      <c r="H665" s="1278"/>
      <c r="I665" s="1279"/>
      <c r="J665" s="1294">
        <f>SUM(J664)</f>
        <v>51443</v>
      </c>
      <c r="K665" s="1294"/>
      <c r="L665" s="1222">
        <f>SUM(F665:K665)</f>
        <v>51443</v>
      </c>
      <c r="M665" s="1274"/>
    </row>
    <row r="666" spans="1:13" ht="22.5" customHeight="1" x14ac:dyDescent="0.35">
      <c r="A666" s="1175">
        <v>657</v>
      </c>
      <c r="B666" s="1273"/>
      <c r="C666" s="1281">
        <v>162</v>
      </c>
      <c r="D666" s="1308" t="s">
        <v>30</v>
      </c>
      <c r="E666" s="1189">
        <f>F666+G666+L668</f>
        <v>47838</v>
      </c>
      <c r="F666" s="1190"/>
      <c r="G666" s="1277"/>
      <c r="H666" s="1278" t="s">
        <v>296</v>
      </c>
      <c r="I666" s="1279"/>
      <c r="J666" s="1294"/>
      <c r="K666" s="1294"/>
      <c r="L666" s="1303"/>
      <c r="M666" s="1274"/>
    </row>
    <row r="667" spans="1:13" ht="18" customHeight="1" x14ac:dyDescent="0.35">
      <c r="A667" s="1175">
        <v>658</v>
      </c>
      <c r="B667" s="1273"/>
      <c r="C667" s="1281"/>
      <c r="D667" s="1210" t="s">
        <v>287</v>
      </c>
      <c r="E667" s="1189"/>
      <c r="F667" s="1190"/>
      <c r="G667" s="1277"/>
      <c r="H667" s="1278"/>
      <c r="I667" s="1279"/>
      <c r="J667" s="1295">
        <v>47838</v>
      </c>
      <c r="K667" s="1294"/>
      <c r="L667" s="1217">
        <f>SUM(F667:K667)</f>
        <v>47838</v>
      </c>
      <c r="M667" s="1274"/>
    </row>
    <row r="668" spans="1:13" ht="18" customHeight="1" x14ac:dyDescent="0.35">
      <c r="A668" s="1175">
        <v>659</v>
      </c>
      <c r="B668" s="1273"/>
      <c r="C668" s="1281"/>
      <c r="D668" s="1296" t="s">
        <v>233</v>
      </c>
      <c r="E668" s="1189"/>
      <c r="F668" s="1190"/>
      <c r="G668" s="1277"/>
      <c r="H668" s="1278"/>
      <c r="I668" s="1279"/>
      <c r="J668" s="1294">
        <f>SUM(J667)</f>
        <v>47838</v>
      </c>
      <c r="K668" s="1294"/>
      <c r="L668" s="1222">
        <f>SUM(F668:K668)</f>
        <v>47838</v>
      </c>
      <c r="M668" s="1274"/>
    </row>
    <row r="669" spans="1:13" ht="22.5" customHeight="1" x14ac:dyDescent="0.35">
      <c r="A669" s="1175">
        <v>660</v>
      </c>
      <c r="B669" s="1273"/>
      <c r="C669" s="1281">
        <v>163</v>
      </c>
      <c r="D669" s="1308" t="s">
        <v>1099</v>
      </c>
      <c r="E669" s="1189">
        <f>F669+G669+L671</f>
        <v>1207</v>
      </c>
      <c r="F669" s="1190"/>
      <c r="G669" s="1277"/>
      <c r="H669" s="1278" t="s">
        <v>296</v>
      </c>
      <c r="I669" s="1279"/>
      <c r="J669" s="1294"/>
      <c r="K669" s="1294"/>
      <c r="L669" s="1303"/>
      <c r="M669" s="1274"/>
    </row>
    <row r="670" spans="1:13" ht="18" customHeight="1" x14ac:dyDescent="0.35">
      <c r="A670" s="1175">
        <v>661</v>
      </c>
      <c r="B670" s="1273"/>
      <c r="C670" s="1281"/>
      <c r="D670" s="1210" t="s">
        <v>287</v>
      </c>
      <c r="E670" s="1189"/>
      <c r="F670" s="1190"/>
      <c r="G670" s="1277"/>
      <c r="H670" s="1278"/>
      <c r="I670" s="1279"/>
      <c r="J670" s="1295">
        <v>1207</v>
      </c>
      <c r="K670" s="1294"/>
      <c r="L670" s="1217">
        <f>SUM(F670:K670)</f>
        <v>1207</v>
      </c>
      <c r="M670" s="1274"/>
    </row>
    <row r="671" spans="1:13" ht="18" customHeight="1" x14ac:dyDescent="0.35">
      <c r="A671" s="1175">
        <v>662</v>
      </c>
      <c r="B671" s="1273"/>
      <c r="C671" s="1281"/>
      <c r="D671" s="1296" t="s">
        <v>233</v>
      </c>
      <c r="E671" s="1189"/>
      <c r="F671" s="1190"/>
      <c r="G671" s="1277"/>
      <c r="H671" s="1278"/>
      <c r="I671" s="1279"/>
      <c r="J671" s="1294">
        <f>SUM(J670)</f>
        <v>1207</v>
      </c>
      <c r="K671" s="1294"/>
      <c r="L671" s="1222">
        <f>SUM(F671:K671)</f>
        <v>1207</v>
      </c>
      <c r="M671" s="1274"/>
    </row>
    <row r="672" spans="1:13" ht="35.25" customHeight="1" x14ac:dyDescent="0.35">
      <c r="A672" s="1175">
        <v>663</v>
      </c>
      <c r="B672" s="1273"/>
      <c r="C672" s="1291">
        <v>164</v>
      </c>
      <c r="D672" s="1304" t="s">
        <v>31</v>
      </c>
      <c r="E672" s="1189">
        <f>F672+G672+L674</f>
        <v>6108</v>
      </c>
      <c r="F672" s="1190"/>
      <c r="G672" s="1277"/>
      <c r="H672" s="1278" t="s">
        <v>106</v>
      </c>
      <c r="I672" s="1279"/>
      <c r="J672" s="1294"/>
      <c r="K672" s="1294"/>
      <c r="L672" s="1303"/>
      <c r="M672" s="1274"/>
    </row>
    <row r="673" spans="1:13" ht="18" customHeight="1" x14ac:dyDescent="0.35">
      <c r="A673" s="1175">
        <v>664</v>
      </c>
      <c r="B673" s="1273"/>
      <c r="C673" s="1281"/>
      <c r="D673" s="1210" t="s">
        <v>287</v>
      </c>
      <c r="E673" s="1189"/>
      <c r="F673" s="1190"/>
      <c r="G673" s="1277"/>
      <c r="H673" s="1278"/>
      <c r="I673" s="1279"/>
      <c r="J673" s="1295">
        <v>6108</v>
      </c>
      <c r="K673" s="1294"/>
      <c r="L673" s="1217">
        <f>SUM(F673:K673)</f>
        <v>6108</v>
      </c>
      <c r="M673" s="1274"/>
    </row>
    <row r="674" spans="1:13" ht="18" customHeight="1" x14ac:dyDescent="0.35">
      <c r="A674" s="1175">
        <v>665</v>
      </c>
      <c r="B674" s="1273"/>
      <c r="C674" s="1281"/>
      <c r="D674" s="1296" t="s">
        <v>233</v>
      </c>
      <c r="E674" s="1189"/>
      <c r="F674" s="1190"/>
      <c r="G674" s="1277"/>
      <c r="H674" s="1278"/>
      <c r="I674" s="1279"/>
      <c r="J674" s="1294">
        <f>SUM(J673)</f>
        <v>6108</v>
      </c>
      <c r="K674" s="1294"/>
      <c r="L674" s="1222">
        <f>SUM(F674:K674)</f>
        <v>6108</v>
      </c>
      <c r="M674" s="1274"/>
    </row>
    <row r="675" spans="1:13" ht="37.5" customHeight="1" x14ac:dyDescent="0.35">
      <c r="A675" s="1175">
        <v>666</v>
      </c>
      <c r="B675" s="1273"/>
      <c r="C675" s="1291">
        <v>165</v>
      </c>
      <c r="D675" s="1304" t="s">
        <v>901</v>
      </c>
      <c r="E675" s="1189">
        <f>F675+G675+L677</f>
        <v>2500</v>
      </c>
      <c r="F675" s="1190"/>
      <c r="G675" s="1277"/>
      <c r="H675" s="1278" t="s">
        <v>296</v>
      </c>
      <c r="I675" s="1279"/>
      <c r="J675" s="1294"/>
      <c r="K675" s="1294"/>
      <c r="L675" s="1303"/>
      <c r="M675" s="1274"/>
    </row>
    <row r="676" spans="1:13" ht="18" customHeight="1" x14ac:dyDescent="0.35">
      <c r="A676" s="1175">
        <v>667</v>
      </c>
      <c r="B676" s="1273"/>
      <c r="C676" s="1281"/>
      <c r="D676" s="1210" t="s">
        <v>287</v>
      </c>
      <c r="E676" s="1189"/>
      <c r="F676" s="1190"/>
      <c r="G676" s="1277"/>
      <c r="H676" s="1278"/>
      <c r="I676" s="1279"/>
      <c r="J676" s="1295"/>
      <c r="K676" s="1295">
        <v>2500</v>
      </c>
      <c r="L676" s="1217">
        <f>SUM(F676:K676)</f>
        <v>2500</v>
      </c>
      <c r="M676" s="1274"/>
    </row>
    <row r="677" spans="1:13" ht="18" customHeight="1" x14ac:dyDescent="0.35">
      <c r="A677" s="1175">
        <v>668</v>
      </c>
      <c r="B677" s="1273"/>
      <c r="C677" s="1281"/>
      <c r="D677" s="1296" t="s">
        <v>233</v>
      </c>
      <c r="E677" s="1189"/>
      <c r="F677" s="1190"/>
      <c r="G677" s="1277"/>
      <c r="H677" s="1278"/>
      <c r="I677" s="1279"/>
      <c r="J677" s="1294"/>
      <c r="K677" s="1294">
        <f>SUM(K676)</f>
        <v>2500</v>
      </c>
      <c r="L677" s="1222">
        <f>SUM(F677:K677)</f>
        <v>2500</v>
      </c>
      <c r="M677" s="1274"/>
    </row>
    <row r="678" spans="1:13" ht="22.5" customHeight="1" x14ac:dyDescent="0.35">
      <c r="A678" s="1175">
        <v>669</v>
      </c>
      <c r="B678" s="1273"/>
      <c r="C678" s="1281">
        <v>166</v>
      </c>
      <c r="D678" s="1304" t="s">
        <v>34</v>
      </c>
      <c r="E678" s="1305">
        <f>F678+G678+L680</f>
        <v>3500</v>
      </c>
      <c r="F678" s="1306"/>
      <c r="G678" s="1277"/>
      <c r="H678" s="1278" t="s">
        <v>296</v>
      </c>
      <c r="I678" s="1279"/>
      <c r="J678" s="1294"/>
      <c r="K678" s="1294"/>
      <c r="L678" s="1303"/>
      <c r="M678" s="1274"/>
    </row>
    <row r="679" spans="1:13" ht="18" customHeight="1" x14ac:dyDescent="0.35">
      <c r="A679" s="1175">
        <v>670</v>
      </c>
      <c r="B679" s="1273"/>
      <c r="C679" s="1281"/>
      <c r="D679" s="1210" t="s">
        <v>287</v>
      </c>
      <c r="E679" s="1305"/>
      <c r="F679" s="1306"/>
      <c r="G679" s="1277"/>
      <c r="H679" s="1278"/>
      <c r="I679" s="1279"/>
      <c r="J679" s="1295">
        <v>3500</v>
      </c>
      <c r="K679" s="1294"/>
      <c r="L679" s="1217">
        <f>SUM(F679:K679)</f>
        <v>3500</v>
      </c>
      <c r="M679" s="1274"/>
    </row>
    <row r="680" spans="1:13" ht="18" customHeight="1" x14ac:dyDescent="0.35">
      <c r="A680" s="1175">
        <v>671</v>
      </c>
      <c r="B680" s="1273"/>
      <c r="C680" s="1281"/>
      <c r="D680" s="1296" t="s">
        <v>233</v>
      </c>
      <c r="E680" s="1189"/>
      <c r="F680" s="1190"/>
      <c r="G680" s="1277"/>
      <c r="H680" s="1278"/>
      <c r="I680" s="1279"/>
      <c r="J680" s="1294">
        <f>SUM(J679)</f>
        <v>3500</v>
      </c>
      <c r="K680" s="1294"/>
      <c r="L680" s="1222">
        <f>SUM(F680:K680)</f>
        <v>3500</v>
      </c>
      <c r="M680" s="1274"/>
    </row>
    <row r="681" spans="1:13" ht="22.5" customHeight="1" x14ac:dyDescent="0.35">
      <c r="A681" s="1175">
        <v>672</v>
      </c>
      <c r="B681" s="1273"/>
      <c r="C681" s="1281">
        <v>167</v>
      </c>
      <c r="D681" s="1290" t="s">
        <v>37</v>
      </c>
      <c r="E681" s="1189">
        <f>F681+G681+L683</f>
        <v>5200</v>
      </c>
      <c r="F681" s="1190"/>
      <c r="G681" s="1277"/>
      <c r="H681" s="1278" t="s">
        <v>106</v>
      </c>
      <c r="I681" s="1279"/>
      <c r="J681" s="1294"/>
      <c r="K681" s="1294"/>
      <c r="L681" s="1303"/>
      <c r="M681" s="1274"/>
    </row>
    <row r="682" spans="1:13" ht="18" customHeight="1" x14ac:dyDescent="0.35">
      <c r="A682" s="1175">
        <v>673</v>
      </c>
      <c r="B682" s="1273"/>
      <c r="C682" s="1281"/>
      <c r="D682" s="1210" t="s">
        <v>287</v>
      </c>
      <c r="E682" s="1189"/>
      <c r="F682" s="1190"/>
      <c r="G682" s="1277"/>
      <c r="H682" s="1278"/>
      <c r="I682" s="1279"/>
      <c r="J682" s="1295">
        <v>5200</v>
      </c>
      <c r="K682" s="1294"/>
      <c r="L682" s="1217">
        <f>SUM(F682:K682)</f>
        <v>5200</v>
      </c>
      <c r="M682" s="1274"/>
    </row>
    <row r="683" spans="1:13" ht="18" customHeight="1" x14ac:dyDescent="0.35">
      <c r="A683" s="1175">
        <v>674</v>
      </c>
      <c r="B683" s="1273"/>
      <c r="C683" s="1281"/>
      <c r="D683" s="1296" t="s">
        <v>233</v>
      </c>
      <c r="E683" s="1189"/>
      <c r="F683" s="1190"/>
      <c r="G683" s="1277"/>
      <c r="H683" s="1278"/>
      <c r="I683" s="1279"/>
      <c r="J683" s="1294">
        <f>SUM(J682)</f>
        <v>5200</v>
      </c>
      <c r="K683" s="1294"/>
      <c r="L683" s="1222">
        <f>SUM(F683:K683)</f>
        <v>5200</v>
      </c>
      <c r="M683" s="1274"/>
    </row>
    <row r="684" spans="1:13" ht="22.5" customHeight="1" x14ac:dyDescent="0.35">
      <c r="A684" s="1175">
        <v>675</v>
      </c>
      <c r="B684" s="1273"/>
      <c r="C684" s="1281">
        <v>168</v>
      </c>
      <c r="D684" s="1292" t="s">
        <v>38</v>
      </c>
      <c r="E684" s="1189">
        <f>F684+G684+L686</f>
        <v>260000</v>
      </c>
      <c r="F684" s="1190"/>
      <c r="G684" s="1277"/>
      <c r="H684" s="1278" t="s">
        <v>106</v>
      </c>
      <c r="I684" s="1279"/>
      <c r="J684" s="1294"/>
      <c r="K684" s="1294"/>
      <c r="L684" s="1303"/>
      <c r="M684" s="1274"/>
    </row>
    <row r="685" spans="1:13" ht="18" customHeight="1" x14ac:dyDescent="0.35">
      <c r="A685" s="1175">
        <v>676</v>
      </c>
      <c r="B685" s="1273"/>
      <c r="C685" s="1281"/>
      <c r="D685" s="1210" t="s">
        <v>287</v>
      </c>
      <c r="E685" s="1189"/>
      <c r="F685" s="1190"/>
      <c r="G685" s="1277"/>
      <c r="H685" s="1278"/>
      <c r="I685" s="1279"/>
      <c r="J685" s="1295">
        <v>260000</v>
      </c>
      <c r="K685" s="1294"/>
      <c r="L685" s="1217">
        <f>SUM(F685:K685)</f>
        <v>260000</v>
      </c>
      <c r="M685" s="1274"/>
    </row>
    <row r="686" spans="1:13" ht="18" customHeight="1" x14ac:dyDescent="0.35">
      <c r="A686" s="1175">
        <v>677</v>
      </c>
      <c r="B686" s="1273"/>
      <c r="C686" s="1281"/>
      <c r="D686" s="1296" t="s">
        <v>233</v>
      </c>
      <c r="E686" s="1310"/>
      <c r="F686" s="1311"/>
      <c r="G686" s="1277"/>
      <c r="H686" s="1278"/>
      <c r="I686" s="1279"/>
      <c r="J686" s="1294">
        <f>SUM(J685)</f>
        <v>260000</v>
      </c>
      <c r="K686" s="1294"/>
      <c r="L686" s="1222">
        <f>SUM(F686:K686)</f>
        <v>260000</v>
      </c>
      <c r="M686" s="1274"/>
    </row>
    <row r="687" spans="1:13" ht="27" customHeight="1" x14ac:dyDescent="0.35">
      <c r="A687" s="1175">
        <v>678</v>
      </c>
      <c r="B687" s="1312"/>
      <c r="C687" s="1313"/>
      <c r="D687" s="1998" t="s">
        <v>278</v>
      </c>
      <c r="E687" s="1998"/>
      <c r="F687" s="1998"/>
      <c r="G687" s="1998"/>
      <c r="H687" s="1314"/>
      <c r="I687" s="1315"/>
      <c r="J687" s="1315"/>
      <c r="K687" s="1315"/>
      <c r="L687" s="1316"/>
      <c r="M687" s="1317"/>
    </row>
    <row r="688" spans="1:13" ht="19.5" customHeight="1" x14ac:dyDescent="0.35">
      <c r="A688" s="1175">
        <v>679</v>
      </c>
      <c r="B688" s="1318"/>
      <c r="C688" s="1319"/>
      <c r="D688" s="1198" t="s">
        <v>230</v>
      </c>
      <c r="E688" s="1199"/>
      <c r="F688" s="1200"/>
      <c r="G688" s="1201"/>
      <c r="H688" s="1202"/>
      <c r="I688" s="1203">
        <f>I519+I513+I508+I503+I498+I493+I488+I483+I478+I473+I468+I463+I458+I453+I448+I443+I438+I433+I428+I423+I418+I413+I408+I403+I398+I393+I388+I383+I378+I373+I368+I363+I354+I349+I344+I339+I334+I329+I324+I319+I314+I309+I304+I299+I294+I289+I284+I279+I274+I269+I264+I259+I254+I249+I244+I239+I234+I229+I224+I218+I213+I208+I81+I76+I71+I66+I61+I56+I51+I46+I41+I36+I31+I22+I17+I12</f>
        <v>25587</v>
      </c>
      <c r="J688" s="1204">
        <f>J519+J513+J508+J503+J498+J493+J488+J483+J478+J473+J468+J463+J458+J453+J448+J443+J438+J433+J428+J423+J418+J413+J408+J403+J398+J393+J388+J383+J378+J373+J368+J363+J354+J349+J344+J339+J334+J329+J324+J319+J314+J309+J304+J299+J294+J289+J284+J279+J274+J269+J264+J259+J254+J249+J244+J239+J234+J229+J224+J218+J213+J208+J81+J76+J71+J66+J61+J56+J51+J46+J41+J36+J31+J22+J17+J12</f>
        <v>1826448</v>
      </c>
      <c r="K688" s="1204">
        <f>K519+K513+K508+K503+K498+K493+K488+K483+K478+K473+K468+K463+K458+K453+K448+K443+K438+K433+K428+K423+K418+K413+K408+K403+K398+K393+K388+K383+K378+K373+K368+K363+K354+K349+K344+K339+K334+K329+K324+K319+K314+K309+K304+K299+K294+K289+K284+K279+K274+K269+K264+K259+K254+K249+K244+K239+K234+K229+K224+K218+K213+K208+K81+K76+K71+K66+K61+K56+K51+K46+K41+K36+K31+K22+K17+K12</f>
        <v>1809638</v>
      </c>
      <c r="L688" s="1205">
        <f>SUM(I688:K688)</f>
        <v>3661673</v>
      </c>
      <c r="M688" s="1320">
        <f>SUM(M12:M687)</f>
        <v>130000</v>
      </c>
    </row>
    <row r="689" spans="1:13" ht="19.5" customHeight="1" x14ac:dyDescent="0.35">
      <c r="A689" s="1175">
        <v>680</v>
      </c>
      <c r="B689" s="1318"/>
      <c r="C689" s="1319"/>
      <c r="D689" s="1290" t="s">
        <v>231</v>
      </c>
      <c r="E689" s="1199"/>
      <c r="F689" s="1200"/>
      <c r="G689" s="1201"/>
      <c r="H689" s="1202"/>
      <c r="I689" s="1207">
        <f>I520+I514+I509+I504+I499+I494+I489+I484+I479+I474+I469+I464+I459+I454+I449+I444+I439+I434+I429+I424+I419+I414+I409+I404+I399+I394+I389+I384+I379+I374+I369+I364+I355+I350+I345+I340+I335+I330+I325+I320+I315+I310+I305+I300+I295+I290+I285+I280+I275+I270+I265+I260+I255+I250+I245+I240+I235+I230+I225+I219+I214+I209+I82+I77+I72+I67+I62+I57+I52+I47+I42+I37+I32+I23+I18+I13+I552+I548+I544+I540+I536+I532+I528+I524+I580+I576+I572+I568+I564+I560+I556+I359+I584+I612+I608+I604+I600+I596+I592+I588+I648+I644+I640+I636+I632+I628+I624+I620+I616</f>
        <v>74658</v>
      </c>
      <c r="J689" s="1207">
        <f>J520+J514+J509+J504+J499+J494+J489+J484+J479+J474+J469+J464+J459+J454+J449+J444+J439+J434+J429+J424+J419+J414+J409+J404+J399+J394+J389+J384+J379+J374+J369+J364+J355+J350+J345+J340+J335+J330+J325+J320+J315+J310+J305+J300+J295+J290+J285+J280+J275+J270+J265+J260+J255+J250+J245+J240+J235+J230+J225+J219+J214+J209+J82+J77+J72+J67+J62+J57+J52+J47+J42+J37+J32+J23+J18+J13+J552+J548+J544+J540+J536+J532+J528+J524+J580+J576+J572+J568+J564+J560+J556+J359+J584+J612+J608+J604+J600+J596+J592+J588+J648+J644+J640+J636+J632+J628+J624+J620+J616</f>
        <v>2323437</v>
      </c>
      <c r="K689" s="1207">
        <f>K520+K514+K509+K504+K499+K494+K489+K484+K479+K474+K469+K464+K459+K454+K449+K444+K439+K434+K429+K424+K419+K414+K409+K404+K399+K394+K389+K384+K379+K374+K369+K364+K355+K350+K345+K340+K335+K330+K325+K320+K315+K310+K305+K300+K295+K290+K285+K280+K275+K270+K265+K260+K255+K250+K245+K240+K235+K230+K225+K219+K214+K209+K82+K77+K72+K67+K62+K57+K52+K47+K42+K37+K32+K23+K18+K13+K552+K548+K544+K540+K536+K532+K528+K524+K580+K576+K572+K568+K564+K560+K556+K359+K584+K612+K608+K604+K600+K596+K592+K588+K648+K644+K640+K636+K632+K628+K624+K620+K616</f>
        <v>576025</v>
      </c>
      <c r="L689" s="1222">
        <f>SUM(I689:K689)</f>
        <v>2974120</v>
      </c>
      <c r="M689" s="1321"/>
    </row>
    <row r="690" spans="1:13" ht="19.5" customHeight="1" x14ac:dyDescent="0.35">
      <c r="A690" s="1175">
        <v>681</v>
      </c>
      <c r="B690" s="1318"/>
      <c r="C690" s="1319"/>
      <c r="D690" s="1210" t="s">
        <v>245</v>
      </c>
      <c r="E690" s="1211"/>
      <c r="F690" s="1212"/>
      <c r="G690" s="1213"/>
      <c r="H690" s="1214"/>
      <c r="I690" s="1215">
        <f>I521+I515+I510+I505+I500+I495+I490+I485+I480+I475+I470+I465+I460+I455+I450+I445+I440+I435+I430+I425+I420+I415+I410+I405+I400+I395+I390+I385+I380+I375+I370+I365+I356+I351+I346+I341+I336+I331+I326+I321+I316+I311+I306+I301+I296+I291+I286+I281+I276+I271+I266+I261+I256+I251+I246+I241+I236+I231+I226+I220+I215+I210+I78+I73+I68+I63+I58+I53+I48+I43+I38+I33+I24+I19+I14+I83+I525+I529+I533+I553+I549+I545+I541+I537+I557+I360+I561+I565+I569+I581+I573+I577+I601+I597+I593+I589+I585+I605+I613+I609+I617+I645+I641+I637+I633+I629+I625+I621+I649+I652+I670+I667+I664+I661+I658+I655+I673+I676+I679+I685+I682</f>
        <v>12961</v>
      </c>
      <c r="J690" s="1215">
        <f>J521+J515+J510+J505+J500+J495+J490+J485+J480+J475+J470+J465+J460+J455+J450+J445+J440+J435+J430+J425+J420+J415+J410+J405+J400+J395+J390+J385+J380+J375+J370+J365+J356+J351+J346+J341+J336+J331+J326+J321+J316+J311+J306+J301+J296+J291+J286+J281+J276+J271+J266+J261+J256+J251+J246+J241+J236+J231+J226+J220+J215+J210+J78+J73+J68+J63+J58+J53+J48+J43+J38+J33+J24+J19+J14+J83+J525+J529+J533+J553+J549+J545+J541+J537+J557+J360+J561+J565+J569+J581+J573+J577+J601+J597+J593+J589+J585+J605+J613+J609+J617+J645+J641+J637+J633+J629+J625+J621+J649+J652+J670+J667+J664+J661+J658+J655+J673+J676+J679+J685+J682</f>
        <v>376781</v>
      </c>
      <c r="K690" s="1215">
        <f>K521+K515+K510+K505+K500+K495+K490+K485+K480+K475+K470+K465+K460+K455+K450+K445+K440+K435+K430+K425+K420+K415+K410+K405+K400+K395+K390+K385+K380+K375+K370+K365+K356+K351+K346+K341+K336+K331+K326+K321+K316+K311+K306+K301+K296+K291+K286+K281+K276+K271+K266+K261+K256+K251+K246+K241+K236+K231+K226+K220+K215+K210+K78+K73+K68+K63+K58+K53+K48+K43+K38+K33+K24+K19+K14+K83+K525+K529+K533+K553+K549+K545+K541+K537+K557+K360+K561+K565+K569+K581+K573+K577+K601+K597+K593+K589+K585+K605+K613+K609+K617+K645+K641+K637+K633+K629+K625+K621+K649+K652+K670+K667+K664+K661+K658+K655+K673+K676+K679+K685+K682</f>
        <v>2500</v>
      </c>
      <c r="L690" s="1322">
        <f>SUM(I690:K690)</f>
        <v>392242</v>
      </c>
      <c r="M690" s="1321"/>
    </row>
    <row r="691" spans="1:13" ht="19.5" customHeight="1" x14ac:dyDescent="0.35">
      <c r="A691" s="1175">
        <v>682</v>
      </c>
      <c r="B691" s="1323"/>
      <c r="C691" s="1324"/>
      <c r="D691" s="1206" t="s">
        <v>233</v>
      </c>
      <c r="E691" s="1218"/>
      <c r="F691" s="1219"/>
      <c r="G691" s="1220"/>
      <c r="H691" s="1221"/>
      <c r="I691" s="1207">
        <f>SUM(I689:I690)</f>
        <v>87619</v>
      </c>
      <c r="J691" s="1207">
        <f>SUM(J689:J690)</f>
        <v>2700218</v>
      </c>
      <c r="K691" s="1207">
        <f>SUM(K689:K690)</f>
        <v>578525</v>
      </c>
      <c r="L691" s="1222">
        <f>SUM(I691:K691)</f>
        <v>3366362</v>
      </c>
      <c r="M691" s="1325"/>
    </row>
    <row r="692" spans="1:13" ht="18" customHeight="1" x14ac:dyDescent="0.35">
      <c r="A692" s="1175">
        <v>683</v>
      </c>
      <c r="B692" s="1326"/>
      <c r="C692" s="1313"/>
      <c r="D692" s="1109" t="s">
        <v>760</v>
      </c>
      <c r="E692" s="1327"/>
      <c r="F692" s="1327"/>
      <c r="G692" s="1328"/>
      <c r="H692" s="1329"/>
      <c r="I692" s="1330"/>
      <c r="J692" s="1330"/>
      <c r="K692" s="1330"/>
      <c r="L692" s="1331"/>
      <c r="M692" s="1332"/>
    </row>
    <row r="693" spans="1:13" ht="18" customHeight="1" x14ac:dyDescent="0.35">
      <c r="A693" s="1175">
        <v>684</v>
      </c>
      <c r="B693" s="1333"/>
      <c r="C693" s="1319"/>
      <c r="D693" s="1334" t="s">
        <v>230</v>
      </c>
      <c r="E693" s="1335"/>
      <c r="F693" s="1335"/>
      <c r="G693" s="1336"/>
      <c r="H693" s="1337"/>
      <c r="I693" s="1338">
        <f>I519+I493+I488+I393+I324+I294+I244+I234+I218+I213+I61+I56+I51+I22+I17+I12</f>
        <v>0</v>
      </c>
      <c r="J693" s="1339">
        <f>J519+J493+J488+J393+J324+J294+J244+J234+J218+J213+J61+J56+J51+J22+J17+J12</f>
        <v>474168</v>
      </c>
      <c r="K693" s="1340">
        <f>K519+K493+K488+K393+K324+K294+K244+K234+K218+K213+K61+K56+K51+K22+K17+K12</f>
        <v>1799488</v>
      </c>
      <c r="L693" s="1341">
        <f>SUM(I693:K693)</f>
        <v>2273656</v>
      </c>
      <c r="M693" s="1342"/>
    </row>
    <row r="694" spans="1:13" ht="18" customHeight="1" x14ac:dyDescent="0.35">
      <c r="A694" s="1175">
        <v>685</v>
      </c>
      <c r="B694" s="1333"/>
      <c r="C694" s="1319"/>
      <c r="D694" s="1343" t="s">
        <v>231</v>
      </c>
      <c r="E694" s="1335"/>
      <c r="F694" s="1335"/>
      <c r="G694" s="1336"/>
      <c r="H694" s="1337"/>
      <c r="I694" s="1259">
        <f>I520+I494+I489+I394+I325+I295+I245+I235+I219+I214+I62+I57+I52+I23+I18+I13+I524+I580++I568+I564+I640</f>
        <v>0</v>
      </c>
      <c r="J694" s="1259">
        <f>J520+J494+J489+J394+J325+J295+J245+J235+J219+J214+J62+J57+J52+J23+J18+J13+J524+J580++J568+J564+J640</f>
        <v>501049</v>
      </c>
      <c r="K694" s="1259">
        <f>K520+K494+K489+K394+K325+K295+K245+K235+K219+K214+K62+K57+K52+K23+K18+K13+K524+K580++K568+K564+K640</f>
        <v>509733</v>
      </c>
      <c r="L694" s="1261">
        <f>SUM(I694:K694)</f>
        <v>1010782</v>
      </c>
      <c r="M694" s="1342"/>
    </row>
    <row r="695" spans="1:13" ht="18" customHeight="1" x14ac:dyDescent="0.35">
      <c r="A695" s="1175">
        <v>686</v>
      </c>
      <c r="B695" s="1333"/>
      <c r="C695" s="1319"/>
      <c r="D695" s="270" t="s">
        <v>245</v>
      </c>
      <c r="E695" s="1344"/>
      <c r="F695" s="1344"/>
      <c r="G695" s="1345"/>
      <c r="H695" s="1346"/>
      <c r="I695" s="1347">
        <f>I521+I495+I490+I395+I326+I296+I246+I236+I220+I215+I58+I63+I53+I24+I19+I14+I525+I569+I565+I581+I641+I673+I685+I682</f>
        <v>0</v>
      </c>
      <c r="J695" s="1347">
        <f>J521+J495+J490+J395+J326+J296+J246+J236+J220+J215+J58+J63+J53+J24+J19+J14+J525+J569+J565+J581+J641+J673+J685+J682</f>
        <v>271308</v>
      </c>
      <c r="K695" s="1347">
        <f>K521+K495+K490+K395+K326+K296+K246+K236+K220+K215+K58+K63+K53+K24+K19+K14+K525+K569+K565+K581+K641+K673+K685+K682</f>
        <v>0</v>
      </c>
      <c r="L695" s="1248">
        <f>SUM(F695:K695)</f>
        <v>271308</v>
      </c>
      <c r="M695" s="1342"/>
    </row>
    <row r="696" spans="1:13" ht="18" customHeight="1" x14ac:dyDescent="0.35">
      <c r="A696" s="1175">
        <v>687</v>
      </c>
      <c r="B696" s="1333"/>
      <c r="C696" s="1319"/>
      <c r="D696" s="1343" t="s">
        <v>233</v>
      </c>
      <c r="E696" s="1344"/>
      <c r="F696" s="1344"/>
      <c r="G696" s="1345"/>
      <c r="H696" s="1346"/>
      <c r="I696" s="1259">
        <f>SUM(I694:I695)</f>
        <v>0</v>
      </c>
      <c r="J696" s="1259">
        <f>SUM(J694:J695)</f>
        <v>772357</v>
      </c>
      <c r="K696" s="1259">
        <f>SUM(K694:K695)</f>
        <v>509733</v>
      </c>
      <c r="L696" s="1257">
        <f>SUM(F696:K696)</f>
        <v>1282090</v>
      </c>
      <c r="M696" s="1342"/>
    </row>
    <row r="697" spans="1:13" ht="18" customHeight="1" x14ac:dyDescent="0.35">
      <c r="A697" s="1175">
        <v>688</v>
      </c>
      <c r="B697" s="1333"/>
      <c r="C697" s="1319"/>
      <c r="D697" s="1348" t="s">
        <v>761</v>
      </c>
      <c r="E697" s="1349"/>
      <c r="F697" s="1349"/>
      <c r="G697" s="1350"/>
      <c r="H697" s="1346"/>
      <c r="I697" s="1351"/>
      <c r="J697" s="1351"/>
      <c r="K697" s="1351"/>
      <c r="L697" s="1261"/>
      <c r="M697" s="1342"/>
    </row>
    <row r="698" spans="1:13" ht="18" customHeight="1" x14ac:dyDescent="0.35">
      <c r="A698" s="1175">
        <v>689</v>
      </c>
      <c r="B698" s="1333"/>
      <c r="C698" s="1319"/>
      <c r="D698" s="1334" t="s">
        <v>230</v>
      </c>
      <c r="E698" s="1335"/>
      <c r="F698" s="1335"/>
      <c r="G698" s="1336"/>
      <c r="H698" s="1337"/>
      <c r="I698" s="1352">
        <f>I513+I508+I503+I498+I478+I473+I468+I463+I458+I453+I448+I443+I438+I433+I428+I423+I418+I413+I408+I403+I398+I388+I383+I378+I373+I368+I363+I354+I349+I344+I339+I334+I329+I319+I314+I309+I304+I299+I289+I284+I279+I274+I269+I264+I259+I254+I249+I239+I229+I224+I208+I81+I76+I71+I66+I46+I41+I36+I31</f>
        <v>25587</v>
      </c>
      <c r="J698" s="1352">
        <f>J513+J508+J503+J498+J478+J473+J468+J463+J458+J453+J448+J443+J438+J433+J428+J423+J418+J413+J408+J403+J398+J388+J383+J378+J373+J368+J363+J354+J349+J344+J339+J334+J329+J319+J314+J309+J304+J299+J289+J284+J279+J274+J269+J264+J259+J254+J249+J239+J229+J224+J208+J81+J76+J71+J66+J46+J41+J36+J31+J483</f>
        <v>1352280</v>
      </c>
      <c r="K698" s="1352">
        <f>K513+K508+K503+K498+K478+K473+K468+K463+K458+K453+K448+K443+K438+K433+K428+K423+K418+K413+K408+K403+K398+K388+K383+K378+K373+K368+K363+K354+K349+K344+K339+K334+K329+K319+K314+K309+K304+K299+K289+K284+K279+K274+K269+K264+K259+K254+K249+K239+K229+K224+K208+K81+K76+K71+K66+K46+K41+K36+K31</f>
        <v>10150</v>
      </c>
      <c r="L698" s="1341">
        <f>SUM(I698:K698)</f>
        <v>1388017</v>
      </c>
      <c r="M698" s="1342"/>
    </row>
    <row r="699" spans="1:13" ht="18" customHeight="1" x14ac:dyDescent="0.35">
      <c r="A699" s="1175">
        <v>690</v>
      </c>
      <c r="B699" s="1333"/>
      <c r="C699" s="1319"/>
      <c r="D699" s="1343" t="s">
        <v>231</v>
      </c>
      <c r="E699" s="1335"/>
      <c r="F699" s="1335"/>
      <c r="G699" s="1336"/>
      <c r="H699" s="1337"/>
      <c r="I699" s="1351">
        <f>I514+I509+I504+I499+I479+I474+I469+I464+I459+I454+I449+I444+I439+I434+I429+I424+I419+I414+I409+I404+I399+I389+I384+I379+I374+I369+I364+I355+I350+I345+I340+I335+I330+I320+I315+I310+I305+I300+I290+I285+I280+I275+I270+I265+I260+I255+I250+I240+I230+I225+I209+I82+I77+I72+I67+I47+I42+I37+I32+I552+I548+I544+I540+I536+I532++I528+I484+I576+I572+I560+I556+I359+I584+I612+I608+I604+I600+I596+I592+I588+I648+I644+I636+I632+I628+I624+I620+I616</f>
        <v>74658</v>
      </c>
      <c r="J699" s="1351">
        <f>J514+J509+J504+J499+J479+J474+J469+J464+J459+J454+J449+J444+J439+J434+J429+J424+J419+J414+J409+J404+J399+J389+J384+J379+J374+J369+J364+J355+J350+J345+J340+J335+J330+J320+J315+J310+J305+J300+J290+J285+J280+J275+J270+J265+J260+J255+J250+J240+J230+J225+J209+J82+J77+J72+J67+J47+J42+J37+J32+J552+J548+J544+J540+J536+J532++J528+J484+J576+J572+J560+J556+J359+J584+J612+J608+J604+J600+J596+J592+J588+J648+J644+J636+J632+J628+J624+J620+J616</f>
        <v>1822388</v>
      </c>
      <c r="K699" s="1351">
        <f>K514+K509+K504+K499+K479+K474+K469+K464+K459+K454+K449+K444+K439+K434+K429+K424+K419+K414+K409+K404+K399+K389+K384+K379+K374+K369+K364+K355+K350+K345+K340+K335+K330+K320+K315+K310+K305+K300+K290+K285+K280+K275+K270+K265+K260+K255+K250+K240+K230+K225+K209+K82+K77+K72+K67+K47+K42+K37+K32+K552+K548+K544+K540+K536+K532++K528+K484+K576+K572+K560+K556+K359+K584+K612+K608+K604+K600+K596+K592+K588+K648+K644+K636+K632+K628+K624+K620+K616</f>
        <v>66292</v>
      </c>
      <c r="L699" s="1261">
        <f>SUM(I699:K699)</f>
        <v>1963338</v>
      </c>
      <c r="M699" s="1342"/>
    </row>
    <row r="700" spans="1:13" ht="18" customHeight="1" x14ac:dyDescent="0.35">
      <c r="A700" s="1175">
        <v>691</v>
      </c>
      <c r="B700" s="1333"/>
      <c r="C700" s="1319"/>
      <c r="D700" s="270" t="s">
        <v>245</v>
      </c>
      <c r="E700" s="1344"/>
      <c r="F700" s="1344"/>
      <c r="G700" s="1353"/>
      <c r="H700" s="1346"/>
      <c r="I700" s="1354">
        <f>I613+I609+I605+I601+I597+I593+I589+I585+I577+I573+I561+I557+I553+I549+I545+I541+I537+I533+I529+I515+I510+I505+I500+I490+I485+I480+I475+I470+I465+I460+I455+I450+I445+I440+I435+I430+I425+I420+I415+I410+I405+I390+I400+I385+I380+I375+I370+I365+I356+I351+I346+I341+I336+I331+I321+I316+I311+I306+I301+I291+I286+I281+I276+I271+I266+I261+I256+I251+I241+I231+I226+I210+I83+I78+I73+I68+I48+I43+I38+I33+I617+I645+I637+I633+I629+I625+I621+I649+I652+I670+I667+I664+I661+I658+I655+I676+I679</f>
        <v>12961</v>
      </c>
      <c r="J700" s="1354">
        <f>J613+J609+J605+J601+J597+J593+J589+J585+J577+J573+J561+J557+J553+J549+J545+J541+J537+J533+J529+J515+J510+J505+J500+J490+J485+J480+J475+J470+J465+J460+J455+J450+J445+J440+J435+J430+J425+J420+J415+J410+J405+J390+J400+J385+J380+J375+J370+J365+J356+J351+J346+J341+J336+J331+J321+J316+J311+J306+J301+J291+J286+J281+J276+J271+J266+J261+J256+J251+J241+J231+J226+J210+J83+J78+J73+J68+J48+J43+J38+J33+J617+J645+J637+J633+J629+J625+J621+J649+J652+J670+J667+J664+J661+J658+J655+J676+J679</f>
        <v>105473</v>
      </c>
      <c r="K700" s="1354">
        <f>K613+K609+K605+K601+K597+K593+K589+K585+K577+K573+K561+K557+K553+K549+K545+K541+K537+K533+K529+K515+K510+K505+K500+K490+K485+K480+K475+K470+K465+K460+K455+K450+K445+K440+K435+K430+K425+K420+K415+K410+K405+K390+K400+K385+K380+K375+K370+K365+K356+K351+K346+K341+K336+K331+K321+K316+K311+K306+K301+K291+K286+K281+K276+K271+K266+K261+K256+K251+K241+K231+K226+K210+K83+K78+K73+K68+K48+K43+K38+K33+K617+K645+K637+K633+K629+K625+K621+K649+K652+K670+K667+K664+K661+K658+K655+K676+K679</f>
        <v>2500</v>
      </c>
      <c r="L700" s="1248">
        <f>SUM(F700:K700)</f>
        <v>120934</v>
      </c>
      <c r="M700" s="1355"/>
    </row>
    <row r="701" spans="1:13" ht="18" customHeight="1" x14ac:dyDescent="0.35">
      <c r="A701" s="1175">
        <v>692</v>
      </c>
      <c r="B701" s="1356"/>
      <c r="C701" s="1357"/>
      <c r="D701" s="1358" t="s">
        <v>233</v>
      </c>
      <c r="E701" s="1359"/>
      <c r="F701" s="1359"/>
      <c r="G701" s="1360"/>
      <c r="H701" s="1361"/>
      <c r="I701" s="1362">
        <f>SUM(I699:I700)</f>
        <v>87619</v>
      </c>
      <c r="J701" s="1362">
        <f>SUM(J699:J700)</f>
        <v>1927861</v>
      </c>
      <c r="K701" s="1362">
        <f>SUM(K699:K700)</f>
        <v>68792</v>
      </c>
      <c r="L701" s="1363">
        <f>SUM(F701:K701)</f>
        <v>2084272</v>
      </c>
      <c r="M701" s="1364"/>
    </row>
    <row r="702" spans="1:13" ht="18" customHeight="1" x14ac:dyDescent="0.3">
      <c r="B702" s="1365" t="s">
        <v>357</v>
      </c>
      <c r="C702" s="1366"/>
      <c r="D702" s="1365"/>
      <c r="E702" s="1367"/>
      <c r="F702" s="1368"/>
      <c r="G702" s="1367"/>
      <c r="H702" s="1369"/>
      <c r="I702" s="1367"/>
      <c r="J702" s="1367"/>
      <c r="K702" s="1367"/>
      <c r="L702" s="1367"/>
    </row>
    <row r="703" spans="1:13" ht="18" customHeight="1" x14ac:dyDescent="0.3">
      <c r="B703" s="1365" t="s">
        <v>358</v>
      </c>
      <c r="C703" s="1366"/>
      <c r="D703" s="1365"/>
      <c r="E703" s="1370"/>
      <c r="F703" s="1368"/>
      <c r="G703" s="1367"/>
      <c r="H703" s="1369"/>
      <c r="I703" s="1367"/>
      <c r="J703" s="1367"/>
      <c r="K703" s="1367"/>
      <c r="L703" s="1367"/>
    </row>
    <row r="704" spans="1:13" ht="18" customHeight="1" x14ac:dyDescent="0.3">
      <c r="B704" s="1365" t="s">
        <v>359</v>
      </c>
      <c r="C704" s="1366"/>
      <c r="D704" s="1365"/>
      <c r="E704" s="1370"/>
      <c r="F704" s="1368"/>
      <c r="G704" s="1367"/>
      <c r="H704" s="1369"/>
      <c r="I704" s="1367"/>
      <c r="J704" s="1367"/>
      <c r="K704" s="1367"/>
      <c r="L704" s="1367"/>
    </row>
  </sheetData>
  <mergeCells count="16">
    <mergeCell ref="D687:G687"/>
    <mergeCell ref="B2:D2"/>
    <mergeCell ref="I2:M2"/>
    <mergeCell ref="B3:M3"/>
    <mergeCell ref="B4:M4"/>
    <mergeCell ref="B7:B9"/>
    <mergeCell ref="C7:C9"/>
    <mergeCell ref="D7:D9"/>
    <mergeCell ref="E7:E9"/>
    <mergeCell ref="F7:F9"/>
    <mergeCell ref="G7:G9"/>
    <mergeCell ref="H7:H9"/>
    <mergeCell ref="I7:L7"/>
    <mergeCell ref="M7:M9"/>
    <mergeCell ref="J8:K8"/>
    <mergeCell ref="L8:L9"/>
  </mergeCells>
  <printOptions horizontalCentered="1"/>
  <pageMargins left="0.196527777777778" right="0.196527777777778" top="0.59027777777777801" bottom="0.59027777777777801" header="0.511811023622047" footer="0.51180555555555596"/>
  <pageSetup paperSize="9" scale="54" fitToHeight="0" orientation="portrait" horizontalDpi="300" verticalDpi="300" r:id="rId1"/>
  <headerFooter>
    <oddFooter>&amp;C-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R286"/>
  <sheetViews>
    <sheetView view="pageBreakPreview" zoomScaleNormal="100" workbookViewId="0">
      <pane ySplit="9" topLeftCell="A270" activePane="bottomLeft" state="frozen"/>
      <selection pane="bottomLeft" activeCell="B1" sqref="B1"/>
    </sheetView>
  </sheetViews>
  <sheetFormatPr defaultColWidth="9.28515625" defaultRowHeight="15" x14ac:dyDescent="0.3"/>
  <cols>
    <col min="1" max="1" width="3.5703125" style="1153" customWidth="1"/>
    <col min="2" max="2" width="5.7109375" style="1154" customWidth="1"/>
    <col min="3" max="3" width="5.7109375" style="1155" customWidth="1"/>
    <col min="4" max="4" width="59.7109375" style="1156" customWidth="1"/>
    <col min="5" max="7" width="10.7109375" style="1157" customWidth="1"/>
    <col min="8" max="8" width="6.7109375" style="1158" customWidth="1"/>
    <col min="9" max="10" width="14.7109375" style="1157" customWidth="1"/>
    <col min="11" max="11" width="15.7109375" style="1157" customWidth="1"/>
    <col min="12" max="12" width="13.7109375" style="1159" customWidth="1"/>
    <col min="13" max="16384" width="9.28515625" style="1160"/>
  </cols>
  <sheetData>
    <row r="1" spans="1:250" ht="16.5" x14ac:dyDescent="0.3">
      <c r="B1" s="8" t="s">
        <v>1108</v>
      </c>
      <c r="C1" s="8"/>
      <c r="D1" s="8"/>
      <c r="E1" s="8"/>
      <c r="F1" s="8"/>
      <c r="G1" s="8"/>
      <c r="H1" s="8"/>
      <c r="I1" s="8"/>
      <c r="J1" s="8"/>
    </row>
    <row r="2" spans="1:250" s="1166" customFormat="1" ht="18" customHeight="1" x14ac:dyDescent="0.3">
      <c r="A2" s="1161"/>
      <c r="B2" s="1999" t="s">
        <v>902</v>
      </c>
      <c r="C2" s="1999"/>
      <c r="D2" s="1999"/>
      <c r="E2" s="1162"/>
      <c r="F2" s="1162"/>
      <c r="G2" s="1162"/>
      <c r="H2" s="1163"/>
      <c r="I2" s="2000"/>
      <c r="J2" s="2000"/>
      <c r="K2" s="2000"/>
      <c r="L2" s="2000"/>
      <c r="M2" s="1165"/>
      <c r="N2" s="1165"/>
      <c r="O2" s="1165"/>
      <c r="P2" s="1165"/>
      <c r="Q2" s="1165"/>
      <c r="R2" s="1165"/>
      <c r="S2" s="1165"/>
      <c r="T2" s="1165"/>
      <c r="U2" s="1165"/>
      <c r="V2" s="1165"/>
      <c r="W2" s="1165"/>
      <c r="X2" s="1165"/>
      <c r="Y2" s="1165"/>
      <c r="Z2" s="1165"/>
      <c r="AA2" s="1165"/>
      <c r="AB2" s="1165"/>
      <c r="AC2" s="1165"/>
      <c r="AD2" s="1165"/>
      <c r="AE2" s="1165"/>
      <c r="AF2" s="1165"/>
      <c r="AG2" s="1165"/>
      <c r="AH2" s="1165"/>
      <c r="AI2" s="1165"/>
      <c r="AJ2" s="1165"/>
      <c r="AK2" s="1165"/>
      <c r="AL2" s="1165"/>
      <c r="AM2" s="1165"/>
      <c r="AN2" s="1165"/>
      <c r="AO2" s="1165"/>
      <c r="AP2" s="1165"/>
      <c r="AQ2" s="1165"/>
      <c r="AR2" s="1165"/>
      <c r="AS2" s="1165"/>
      <c r="AT2" s="1165"/>
      <c r="AU2" s="1165"/>
      <c r="AV2" s="1165"/>
      <c r="AW2" s="1165"/>
      <c r="AX2" s="1165"/>
      <c r="AY2" s="1165"/>
      <c r="AZ2" s="1165"/>
      <c r="BA2" s="1165"/>
      <c r="BB2" s="1165"/>
      <c r="BC2" s="1165"/>
      <c r="BD2" s="1165"/>
      <c r="BE2" s="1165"/>
      <c r="BF2" s="1165"/>
      <c r="BG2" s="1165"/>
      <c r="BH2" s="1165"/>
      <c r="BI2" s="1165"/>
      <c r="BJ2" s="1165"/>
      <c r="BK2" s="1165"/>
      <c r="BL2" s="1165"/>
      <c r="BM2" s="1165"/>
      <c r="BN2" s="1165"/>
      <c r="BO2" s="1165"/>
      <c r="BP2" s="1165"/>
      <c r="BQ2" s="1165"/>
      <c r="BR2" s="1165"/>
      <c r="BS2" s="1165"/>
      <c r="BT2" s="1165"/>
      <c r="BU2" s="1165"/>
      <c r="BV2" s="1165"/>
      <c r="BW2" s="1165"/>
      <c r="BX2" s="1165"/>
      <c r="BY2" s="1165"/>
      <c r="BZ2" s="1165"/>
      <c r="CA2" s="1165"/>
      <c r="CB2" s="1165"/>
      <c r="CC2" s="1165"/>
      <c r="CD2" s="1165"/>
      <c r="CE2" s="1165"/>
      <c r="CF2" s="1165"/>
      <c r="CG2" s="1165"/>
      <c r="CH2" s="1165"/>
      <c r="CI2" s="1165"/>
      <c r="CJ2" s="1165"/>
      <c r="CK2" s="1165"/>
      <c r="CL2" s="1165"/>
      <c r="CM2" s="1165"/>
      <c r="CN2" s="1165"/>
      <c r="CO2" s="1165"/>
      <c r="CP2" s="1165"/>
      <c r="CQ2" s="1165"/>
      <c r="CR2" s="1165"/>
      <c r="CS2" s="1165"/>
      <c r="CT2" s="1165"/>
      <c r="CU2" s="1165"/>
      <c r="CV2" s="1165"/>
      <c r="CW2" s="1165"/>
      <c r="CX2" s="1165"/>
      <c r="CY2" s="1165"/>
      <c r="CZ2" s="1165"/>
      <c r="DA2" s="1165"/>
      <c r="DB2" s="1165"/>
      <c r="DC2" s="1165"/>
      <c r="DD2" s="1165"/>
      <c r="DE2" s="1165"/>
      <c r="DF2" s="1165"/>
      <c r="DG2" s="1165"/>
      <c r="DH2" s="1165"/>
      <c r="DI2" s="1165"/>
      <c r="DJ2" s="1165"/>
      <c r="DK2" s="1165"/>
      <c r="DL2" s="1165"/>
      <c r="DM2" s="1165"/>
      <c r="DN2" s="1165"/>
      <c r="DO2" s="1165"/>
      <c r="DP2" s="1165"/>
      <c r="DQ2" s="1165"/>
      <c r="DR2" s="1165"/>
      <c r="DS2" s="1165"/>
      <c r="DT2" s="1165"/>
      <c r="DU2" s="1165"/>
      <c r="DV2" s="1165"/>
      <c r="DW2" s="1165"/>
      <c r="DX2" s="1165"/>
      <c r="DY2" s="1165"/>
      <c r="DZ2" s="1165"/>
      <c r="EA2" s="1165"/>
      <c r="EB2" s="1165"/>
      <c r="EC2" s="1165"/>
      <c r="ED2" s="1165"/>
      <c r="EE2" s="1165"/>
      <c r="EF2" s="1165"/>
      <c r="EG2" s="1165"/>
      <c r="EH2" s="1165"/>
      <c r="EI2" s="1165"/>
      <c r="EJ2" s="1165"/>
      <c r="EK2" s="1165"/>
      <c r="EL2" s="1165"/>
      <c r="EM2" s="1165"/>
      <c r="EN2" s="1165"/>
      <c r="EO2" s="1165"/>
      <c r="EP2" s="1165"/>
      <c r="EQ2" s="1165"/>
      <c r="ER2" s="1165"/>
      <c r="ES2" s="1165"/>
      <c r="ET2" s="1165"/>
      <c r="EU2" s="1165"/>
      <c r="EV2" s="1165"/>
      <c r="EW2" s="1165"/>
      <c r="EX2" s="1165"/>
      <c r="EY2" s="1165"/>
      <c r="EZ2" s="1165"/>
      <c r="FA2" s="1165"/>
      <c r="FB2" s="1165"/>
      <c r="FC2" s="1165"/>
      <c r="FD2" s="1165"/>
      <c r="FE2" s="1165"/>
      <c r="FF2" s="1165"/>
      <c r="FG2" s="1165"/>
      <c r="FH2" s="1165"/>
      <c r="FI2" s="1165"/>
      <c r="FJ2" s="1165"/>
      <c r="FK2" s="1165"/>
      <c r="FL2" s="1165"/>
      <c r="FM2" s="1165"/>
      <c r="FN2" s="1165"/>
      <c r="FO2" s="1165"/>
      <c r="FP2" s="1165"/>
      <c r="FQ2" s="1165"/>
      <c r="FR2" s="1165"/>
      <c r="FS2" s="1165"/>
      <c r="FT2" s="1165"/>
      <c r="FU2" s="1165"/>
      <c r="FV2" s="1165"/>
      <c r="FW2" s="1165"/>
      <c r="FX2" s="1165"/>
      <c r="FY2" s="1165"/>
      <c r="FZ2" s="1165"/>
      <c r="GA2" s="1165"/>
      <c r="GB2" s="1165"/>
      <c r="GC2" s="1165"/>
      <c r="GD2" s="1165"/>
      <c r="GE2" s="1165"/>
      <c r="GF2" s="1165"/>
      <c r="GG2" s="1165"/>
      <c r="GH2" s="1165"/>
      <c r="GI2" s="1165"/>
      <c r="GJ2" s="1165"/>
      <c r="GK2" s="1165"/>
      <c r="GL2" s="1165"/>
      <c r="GM2" s="1165"/>
      <c r="GN2" s="1165"/>
      <c r="GO2" s="1165"/>
      <c r="GP2" s="1165"/>
      <c r="GQ2" s="1165"/>
      <c r="GR2" s="1165"/>
      <c r="GS2" s="1165"/>
      <c r="GT2" s="1165"/>
      <c r="GU2" s="1165"/>
      <c r="GV2" s="1165"/>
      <c r="GW2" s="1165"/>
      <c r="GX2" s="1165"/>
      <c r="GY2" s="1165"/>
      <c r="GZ2" s="1165"/>
      <c r="HA2" s="1165"/>
      <c r="HB2" s="1165"/>
      <c r="HC2" s="1165"/>
      <c r="HD2" s="1165"/>
      <c r="HE2" s="1165"/>
      <c r="HF2" s="1165"/>
      <c r="HG2" s="1165"/>
      <c r="HH2" s="1165"/>
      <c r="HI2" s="1165"/>
      <c r="HJ2" s="1165"/>
      <c r="HK2" s="1165"/>
      <c r="HL2" s="1165"/>
      <c r="HM2" s="1165"/>
      <c r="HN2" s="1165"/>
      <c r="HO2" s="1165"/>
      <c r="HP2" s="1165"/>
      <c r="HQ2" s="1165"/>
      <c r="HR2" s="1165"/>
      <c r="HS2" s="1165"/>
      <c r="HT2" s="1165"/>
      <c r="HU2" s="1165"/>
      <c r="HV2" s="1165"/>
      <c r="HW2" s="1165"/>
      <c r="HX2" s="1165"/>
      <c r="HY2" s="1165"/>
      <c r="HZ2" s="1165"/>
      <c r="IA2" s="1165"/>
      <c r="IB2" s="1165"/>
      <c r="IC2" s="1165"/>
      <c r="ID2" s="1165"/>
      <c r="IE2" s="1165"/>
      <c r="IF2" s="1165"/>
      <c r="IG2" s="1165"/>
      <c r="IH2" s="1165"/>
      <c r="II2" s="1165"/>
      <c r="IJ2" s="1165"/>
      <c r="IK2" s="1165"/>
      <c r="IL2" s="1165"/>
      <c r="IM2" s="1165"/>
      <c r="IN2" s="1165"/>
      <c r="IO2" s="1165"/>
      <c r="IP2" s="1165"/>
    </row>
    <row r="3" spans="1:250" s="1166" customFormat="1" ht="18" customHeight="1" x14ac:dyDescent="0.35">
      <c r="A3" s="1153"/>
      <c r="B3" s="2001" t="s">
        <v>518</v>
      </c>
      <c r="C3" s="2001"/>
      <c r="D3" s="2001"/>
      <c r="E3" s="2001"/>
      <c r="F3" s="2001"/>
      <c r="G3" s="2001"/>
      <c r="H3" s="2001"/>
      <c r="I3" s="2001"/>
      <c r="J3" s="2001"/>
      <c r="K3" s="2001"/>
      <c r="L3" s="2001"/>
    </row>
    <row r="4" spans="1:250" s="1166" customFormat="1" ht="18" customHeight="1" x14ac:dyDescent="0.3">
      <c r="A4" s="1153"/>
      <c r="B4" s="2002" t="s">
        <v>903</v>
      </c>
      <c r="C4" s="2002"/>
      <c r="D4" s="2002"/>
      <c r="E4" s="2002"/>
      <c r="F4" s="2002"/>
      <c r="G4" s="2002"/>
      <c r="H4" s="2002"/>
      <c r="I4" s="2002"/>
      <c r="J4" s="2002"/>
      <c r="K4" s="2002"/>
      <c r="L4" s="2002"/>
    </row>
    <row r="5" spans="1:250" ht="18" customHeight="1" x14ac:dyDescent="0.3">
      <c r="L5" s="1167" t="s">
        <v>0</v>
      </c>
    </row>
    <row r="6" spans="1:250" s="1171" customFormat="1" ht="18" customHeight="1" x14ac:dyDescent="0.3">
      <c r="A6" s="1153"/>
      <c r="B6" s="1168" t="s">
        <v>1</v>
      </c>
      <c r="C6" s="1169" t="s">
        <v>2</v>
      </c>
      <c r="D6" s="1170" t="s">
        <v>98</v>
      </c>
      <c r="E6" s="1170" t="s">
        <v>99</v>
      </c>
      <c r="F6" s="1170" t="s">
        <v>100</v>
      </c>
      <c r="G6" s="1170" t="s">
        <v>101</v>
      </c>
      <c r="H6" s="1170" t="s">
        <v>102</v>
      </c>
      <c r="I6" s="1170" t="s">
        <v>105</v>
      </c>
      <c r="J6" s="1170" t="s">
        <v>106</v>
      </c>
      <c r="K6" s="1170" t="s">
        <v>107</v>
      </c>
      <c r="L6" s="1170" t="s">
        <v>215</v>
      </c>
      <c r="M6" s="1153"/>
      <c r="N6" s="1153"/>
      <c r="O6" s="1153"/>
      <c r="P6" s="1153"/>
      <c r="Q6" s="1153"/>
      <c r="R6" s="1153"/>
      <c r="S6" s="1153"/>
      <c r="T6" s="1153"/>
      <c r="U6" s="1153"/>
      <c r="V6" s="1153"/>
      <c r="W6" s="1153"/>
      <c r="X6" s="1153"/>
      <c r="Y6" s="1153"/>
      <c r="Z6" s="1153"/>
      <c r="AA6" s="1153"/>
      <c r="AB6" s="1153"/>
      <c r="AC6" s="1153"/>
      <c r="AD6" s="1153"/>
      <c r="AE6" s="1153"/>
      <c r="AF6" s="1153"/>
      <c r="AG6" s="1153"/>
      <c r="AH6" s="1153"/>
      <c r="AI6" s="1153"/>
      <c r="AJ6" s="1153"/>
      <c r="AK6" s="1153"/>
      <c r="AL6" s="1153"/>
      <c r="AM6" s="1153"/>
      <c r="AN6" s="1153"/>
      <c r="AO6" s="1153"/>
      <c r="AP6" s="1153"/>
      <c r="AQ6" s="1153"/>
      <c r="AR6" s="1153"/>
      <c r="AS6" s="1153"/>
      <c r="AT6" s="1153"/>
      <c r="AU6" s="1153"/>
      <c r="AV6" s="1153"/>
      <c r="AW6" s="1153"/>
      <c r="AX6" s="1153"/>
      <c r="AY6" s="1153"/>
      <c r="AZ6" s="1153"/>
      <c r="BA6" s="1153"/>
      <c r="BB6" s="1153"/>
      <c r="BC6" s="1153"/>
      <c r="BD6" s="1153"/>
      <c r="BE6" s="1153"/>
      <c r="BF6" s="1153"/>
      <c r="BG6" s="1153"/>
      <c r="BH6" s="1153"/>
      <c r="BI6" s="1153"/>
      <c r="BJ6" s="1153"/>
      <c r="BK6" s="1153"/>
      <c r="BL6" s="1153"/>
      <c r="BM6" s="1153"/>
      <c r="BN6" s="1153"/>
      <c r="BO6" s="1153"/>
      <c r="BP6" s="1153"/>
      <c r="BQ6" s="1153"/>
      <c r="BR6" s="1153"/>
      <c r="BS6" s="1153"/>
      <c r="BT6" s="1153"/>
      <c r="BU6" s="1153"/>
      <c r="BV6" s="1153"/>
      <c r="BW6" s="1153"/>
      <c r="BX6" s="1153"/>
      <c r="BY6" s="1153"/>
      <c r="BZ6" s="1153"/>
      <c r="CA6" s="1153"/>
      <c r="CB6" s="1153"/>
      <c r="CC6" s="1153"/>
      <c r="CD6" s="1153"/>
      <c r="CE6" s="1153"/>
      <c r="CF6" s="1153"/>
      <c r="CG6" s="1153"/>
      <c r="CH6" s="1153"/>
      <c r="CI6" s="1153"/>
      <c r="CJ6" s="1153"/>
      <c r="CK6" s="1153"/>
      <c r="CL6" s="1153"/>
      <c r="CM6" s="1153"/>
      <c r="CN6" s="1153"/>
      <c r="CO6" s="1153"/>
      <c r="CP6" s="1153"/>
      <c r="CQ6" s="1153"/>
      <c r="CR6" s="1153"/>
      <c r="CS6" s="1153"/>
      <c r="CT6" s="1153"/>
      <c r="CU6" s="1153"/>
      <c r="CV6" s="1153"/>
      <c r="CW6" s="1153"/>
      <c r="CX6" s="1153"/>
      <c r="CY6" s="1153"/>
      <c r="CZ6" s="1153"/>
      <c r="DA6" s="1153"/>
      <c r="DB6" s="1153"/>
      <c r="DC6" s="1153"/>
      <c r="DD6" s="1153"/>
      <c r="DE6" s="1153"/>
      <c r="DF6" s="1153"/>
      <c r="DG6" s="1153"/>
      <c r="DH6" s="1153"/>
      <c r="DI6" s="1153"/>
      <c r="DJ6" s="1153"/>
      <c r="DK6" s="1153"/>
      <c r="DL6" s="1153"/>
      <c r="DM6" s="1153"/>
      <c r="DN6" s="1153"/>
      <c r="DO6" s="1153"/>
      <c r="DP6" s="1153"/>
      <c r="DQ6" s="1153"/>
      <c r="DR6" s="1153"/>
      <c r="DS6" s="1153"/>
      <c r="DT6" s="1153"/>
      <c r="DU6" s="1153"/>
      <c r="DV6" s="1153"/>
      <c r="DW6" s="1153"/>
      <c r="DX6" s="1153"/>
      <c r="DY6" s="1153"/>
      <c r="DZ6" s="1153"/>
      <c r="EA6" s="1153"/>
      <c r="EB6" s="1153"/>
      <c r="EC6" s="1153"/>
      <c r="ED6" s="1153"/>
      <c r="EE6" s="1153"/>
      <c r="EF6" s="1153"/>
      <c r="EG6" s="1153"/>
      <c r="EH6" s="1153"/>
      <c r="EI6" s="1153"/>
      <c r="EJ6" s="1153"/>
      <c r="EK6" s="1153"/>
      <c r="EL6" s="1153"/>
      <c r="EM6" s="1153"/>
      <c r="EN6" s="1153"/>
      <c r="EO6" s="1153"/>
      <c r="EP6" s="1153"/>
      <c r="EQ6" s="1153"/>
      <c r="ER6" s="1153"/>
      <c r="ES6" s="1153"/>
      <c r="ET6" s="1153"/>
      <c r="EU6" s="1153"/>
      <c r="EV6" s="1153"/>
      <c r="EW6" s="1153"/>
      <c r="EX6" s="1153"/>
      <c r="EY6" s="1153"/>
      <c r="EZ6" s="1153"/>
      <c r="FA6" s="1153"/>
      <c r="FB6" s="1153"/>
      <c r="FC6" s="1153"/>
      <c r="FD6" s="1153"/>
      <c r="FE6" s="1153"/>
      <c r="FF6" s="1153"/>
      <c r="FG6" s="1153"/>
      <c r="FH6" s="1153"/>
      <c r="FI6" s="1153"/>
      <c r="FJ6" s="1153"/>
      <c r="FK6" s="1153"/>
      <c r="FL6" s="1153"/>
      <c r="FM6" s="1153"/>
      <c r="FN6" s="1153"/>
      <c r="FO6" s="1153"/>
      <c r="FP6" s="1153"/>
      <c r="FQ6" s="1153"/>
      <c r="FR6" s="1153"/>
      <c r="FS6" s="1153"/>
      <c r="FT6" s="1153"/>
      <c r="FU6" s="1153"/>
      <c r="FV6" s="1153"/>
      <c r="FW6" s="1153"/>
      <c r="FX6" s="1153"/>
      <c r="FY6" s="1153"/>
      <c r="FZ6" s="1153"/>
      <c r="GA6" s="1153"/>
      <c r="GB6" s="1153"/>
      <c r="GC6" s="1153"/>
      <c r="GD6" s="1153"/>
      <c r="GE6" s="1153"/>
      <c r="GF6" s="1153"/>
      <c r="GG6" s="1153"/>
      <c r="GH6" s="1153"/>
      <c r="GI6" s="1153"/>
      <c r="GJ6" s="1153"/>
      <c r="GK6" s="1153"/>
      <c r="GL6" s="1153"/>
      <c r="GM6" s="1153"/>
      <c r="GN6" s="1153"/>
      <c r="GO6" s="1153"/>
      <c r="GP6" s="1153"/>
      <c r="GQ6" s="1153"/>
      <c r="GR6" s="1153"/>
      <c r="GS6" s="1153"/>
      <c r="GT6" s="1153"/>
      <c r="GU6" s="1153"/>
      <c r="GV6" s="1153"/>
      <c r="GW6" s="1153"/>
      <c r="GX6" s="1153"/>
      <c r="GY6" s="1153"/>
      <c r="GZ6" s="1153"/>
      <c r="HA6" s="1153"/>
      <c r="HB6" s="1153"/>
      <c r="HC6" s="1153"/>
      <c r="HD6" s="1153"/>
      <c r="HE6" s="1153"/>
      <c r="HF6" s="1153"/>
      <c r="HG6" s="1153"/>
      <c r="HH6" s="1153"/>
      <c r="HI6" s="1153"/>
      <c r="HJ6" s="1153"/>
      <c r="HK6" s="1153"/>
      <c r="HL6" s="1153"/>
      <c r="HM6" s="1153"/>
      <c r="HN6" s="1153"/>
      <c r="HO6" s="1153"/>
      <c r="HP6" s="1153"/>
      <c r="HQ6" s="1153"/>
      <c r="HR6" s="1153"/>
      <c r="HS6" s="1153"/>
      <c r="HT6" s="1153"/>
      <c r="HU6" s="1153"/>
      <c r="HV6" s="1153"/>
      <c r="HW6" s="1153"/>
      <c r="HX6" s="1153"/>
      <c r="HY6" s="1153"/>
      <c r="HZ6" s="1153"/>
      <c r="IA6" s="1153"/>
      <c r="IB6" s="1153"/>
      <c r="IC6" s="1153"/>
      <c r="ID6" s="1153"/>
      <c r="IE6" s="1153"/>
      <c r="IF6" s="1153"/>
      <c r="IG6" s="1153"/>
      <c r="IH6" s="1153"/>
      <c r="II6" s="1153"/>
      <c r="IJ6" s="1153"/>
      <c r="IK6" s="1153"/>
      <c r="IL6" s="1153"/>
      <c r="IM6" s="1153"/>
      <c r="IN6" s="1153"/>
      <c r="IO6" s="1153"/>
      <c r="IP6" s="1153"/>
    </row>
    <row r="7" spans="1:250" ht="30" customHeight="1" x14ac:dyDescent="0.3">
      <c r="B7" s="1989" t="s">
        <v>108</v>
      </c>
      <c r="C7" s="1990" t="s">
        <v>109</v>
      </c>
      <c r="D7" s="2003" t="s">
        <v>3</v>
      </c>
      <c r="E7" s="2004" t="s">
        <v>764</v>
      </c>
      <c r="F7" s="2004" t="s">
        <v>219</v>
      </c>
      <c r="G7" s="2005" t="s">
        <v>114</v>
      </c>
      <c r="H7" s="2006" t="s">
        <v>362</v>
      </c>
      <c r="I7" s="2007" t="s">
        <v>520</v>
      </c>
      <c r="J7" s="2007"/>
      <c r="K7" s="2007"/>
      <c r="L7" s="2008" t="s">
        <v>767</v>
      </c>
    </row>
    <row r="8" spans="1:250" ht="45" customHeight="1" x14ac:dyDescent="0.3">
      <c r="B8" s="1989"/>
      <c r="C8" s="1990"/>
      <c r="D8" s="2003"/>
      <c r="E8" s="2004"/>
      <c r="F8" s="2004"/>
      <c r="G8" s="2005"/>
      <c r="H8" s="2006"/>
      <c r="I8" s="1158" t="s">
        <v>40</v>
      </c>
      <c r="J8" s="1172" t="s">
        <v>187</v>
      </c>
      <c r="K8" s="2010" t="s">
        <v>4</v>
      </c>
      <c r="L8" s="2008"/>
    </row>
    <row r="9" spans="1:250" ht="53.25" customHeight="1" x14ac:dyDescent="0.3">
      <c r="B9" s="1989"/>
      <c r="C9" s="1990"/>
      <c r="D9" s="2003"/>
      <c r="E9" s="2004"/>
      <c r="F9" s="2004"/>
      <c r="G9" s="2005"/>
      <c r="H9" s="2006"/>
      <c r="I9" s="1173" t="s">
        <v>284</v>
      </c>
      <c r="J9" s="1174" t="s">
        <v>189</v>
      </c>
      <c r="K9" s="2010"/>
      <c r="L9" s="2008"/>
    </row>
    <row r="10" spans="1:250" ht="23.25" customHeight="1" x14ac:dyDescent="0.3">
      <c r="A10" s="1175">
        <v>1</v>
      </c>
      <c r="B10" s="1176">
        <v>18</v>
      </c>
      <c r="C10" s="864" t="s">
        <v>904</v>
      </c>
      <c r="D10" s="1177"/>
      <c r="E10" s="1178"/>
      <c r="F10" s="1179"/>
      <c r="G10" s="1180"/>
      <c r="H10" s="1181"/>
      <c r="I10" s="1182"/>
      <c r="J10" s="1183"/>
      <c r="K10" s="1184"/>
      <c r="L10" s="1185"/>
    </row>
    <row r="11" spans="1:250" ht="19.5" customHeight="1" x14ac:dyDescent="0.3">
      <c r="A11" s="1175">
        <v>2</v>
      </c>
      <c r="B11" s="1186"/>
      <c r="C11" s="1197">
        <v>1</v>
      </c>
      <c r="D11" s="1224" t="s">
        <v>905</v>
      </c>
      <c r="E11" s="1189">
        <f>F11+G11+K15+L12</f>
        <v>1253</v>
      </c>
      <c r="F11" s="1190"/>
      <c r="G11" s="1191"/>
      <c r="H11" s="1192" t="s">
        <v>296</v>
      </c>
      <c r="I11" s="1193"/>
      <c r="J11" s="1194"/>
      <c r="K11" s="1195"/>
      <c r="L11" s="1196"/>
    </row>
    <row r="12" spans="1:250" ht="18" customHeight="1" x14ac:dyDescent="0.35">
      <c r="A12" s="1175">
        <v>3</v>
      </c>
      <c r="B12" s="1186"/>
      <c r="C12" s="1197"/>
      <c r="D12" s="1267" t="s">
        <v>230</v>
      </c>
      <c r="E12" s="1199"/>
      <c r="F12" s="1200"/>
      <c r="G12" s="1201"/>
      <c r="H12" s="1202"/>
      <c r="I12" s="1203"/>
      <c r="J12" s="1204">
        <v>1253</v>
      </c>
      <c r="K12" s="1205">
        <f>SUM(I12:J12)</f>
        <v>1253</v>
      </c>
      <c r="L12" s="1196"/>
    </row>
    <row r="13" spans="1:250" ht="18" customHeight="1" x14ac:dyDescent="0.35">
      <c r="A13" s="1175">
        <v>4</v>
      </c>
      <c r="B13" s="1186"/>
      <c r="C13" s="1197"/>
      <c r="D13" s="1296" t="s">
        <v>231</v>
      </c>
      <c r="E13" s="1199"/>
      <c r="F13" s="1200"/>
      <c r="G13" s="1201"/>
      <c r="H13" s="1202"/>
      <c r="I13" s="1207"/>
      <c r="J13" s="1208">
        <v>1253</v>
      </c>
      <c r="K13" s="1209">
        <f>SUM(I13:J13)</f>
        <v>1253</v>
      </c>
      <c r="L13" s="1196"/>
    </row>
    <row r="14" spans="1:250" ht="18" customHeight="1" x14ac:dyDescent="0.35">
      <c r="A14" s="1175">
        <v>5</v>
      </c>
      <c r="B14" s="1186"/>
      <c r="C14" s="1197"/>
      <c r="D14" s="1210" t="s">
        <v>245</v>
      </c>
      <c r="E14" s="1211"/>
      <c r="F14" s="1212"/>
      <c r="G14" s="1213"/>
      <c r="H14" s="1214"/>
      <c r="I14" s="1215"/>
      <c r="J14" s="1216"/>
      <c r="K14" s="1217">
        <f>SUM(E14:J14)</f>
        <v>0</v>
      </c>
      <c r="L14" s="1196"/>
    </row>
    <row r="15" spans="1:250" ht="18" customHeight="1" x14ac:dyDescent="0.35">
      <c r="A15" s="1175">
        <v>6</v>
      </c>
      <c r="B15" s="1186"/>
      <c r="C15" s="1197"/>
      <c r="D15" s="1296" t="s">
        <v>233</v>
      </c>
      <c r="E15" s="1218"/>
      <c r="F15" s="1219"/>
      <c r="G15" s="1220"/>
      <c r="H15" s="1221"/>
      <c r="I15" s="1207"/>
      <c r="J15" s="1208">
        <f>SUM(J13:J14)</f>
        <v>1253</v>
      </c>
      <c r="K15" s="1222">
        <f>SUM(E15:J15)</f>
        <v>1253</v>
      </c>
      <c r="L15" s="1196"/>
    </row>
    <row r="16" spans="1:250" ht="19.5" customHeight="1" x14ac:dyDescent="0.3">
      <c r="A16" s="1175">
        <v>7</v>
      </c>
      <c r="B16" s="1186"/>
      <c r="C16" s="1197">
        <v>2</v>
      </c>
      <c r="D16" s="1224" t="s">
        <v>906</v>
      </c>
      <c r="E16" s="1189">
        <f>F16+G16+K20+L17</f>
        <v>21000</v>
      </c>
      <c r="F16" s="1190"/>
      <c r="G16" s="1191"/>
      <c r="H16" s="1192" t="s">
        <v>106</v>
      </c>
      <c r="I16" s="1193"/>
      <c r="J16" s="1194"/>
      <c r="K16" s="1195"/>
      <c r="L16" s="1196"/>
    </row>
    <row r="17" spans="1:12" ht="18" customHeight="1" x14ac:dyDescent="0.35">
      <c r="A17" s="1175">
        <v>8</v>
      </c>
      <c r="B17" s="1186"/>
      <c r="C17" s="1197"/>
      <c r="D17" s="1267" t="s">
        <v>230</v>
      </c>
      <c r="E17" s="1199"/>
      <c r="F17" s="1200"/>
      <c r="G17" s="1201"/>
      <c r="H17" s="1202"/>
      <c r="I17" s="1203"/>
      <c r="J17" s="1204">
        <v>16000</v>
      </c>
      <c r="K17" s="1205">
        <f>SUM(I17:J17)</f>
        <v>16000</v>
      </c>
      <c r="L17" s="1196"/>
    </row>
    <row r="18" spans="1:12" ht="18" customHeight="1" x14ac:dyDescent="0.35">
      <c r="A18" s="1175">
        <v>9</v>
      </c>
      <c r="B18" s="1186"/>
      <c r="C18" s="1197"/>
      <c r="D18" s="1296" t="s">
        <v>231</v>
      </c>
      <c r="E18" s="1199"/>
      <c r="F18" s="1200"/>
      <c r="G18" s="1201"/>
      <c r="H18" s="1202"/>
      <c r="I18" s="1207"/>
      <c r="J18" s="1208">
        <v>21000</v>
      </c>
      <c r="K18" s="1209">
        <f>SUM(I18:J18)</f>
        <v>21000</v>
      </c>
      <c r="L18" s="1196"/>
    </row>
    <row r="19" spans="1:12" ht="18" customHeight="1" x14ac:dyDescent="0.35">
      <c r="A19" s="1175">
        <v>10</v>
      </c>
      <c r="B19" s="1186"/>
      <c r="C19" s="1197"/>
      <c r="D19" s="1210" t="s">
        <v>232</v>
      </c>
      <c r="E19" s="1211"/>
      <c r="F19" s="1212"/>
      <c r="G19" s="1213"/>
      <c r="H19" s="1214"/>
      <c r="I19" s="1215"/>
      <c r="J19" s="1216"/>
      <c r="K19" s="1217">
        <f>SUM(E19:J19)</f>
        <v>0</v>
      </c>
      <c r="L19" s="1196"/>
    </row>
    <row r="20" spans="1:12" ht="18" customHeight="1" x14ac:dyDescent="0.35">
      <c r="A20" s="1175">
        <v>11</v>
      </c>
      <c r="B20" s="1186"/>
      <c r="C20" s="1197"/>
      <c r="D20" s="1296" t="s">
        <v>233</v>
      </c>
      <c r="E20" s="1218"/>
      <c r="F20" s="1219"/>
      <c r="G20" s="1220"/>
      <c r="H20" s="1221"/>
      <c r="I20" s="1207"/>
      <c r="J20" s="1208">
        <f>SUM(J18:J19)</f>
        <v>21000</v>
      </c>
      <c r="K20" s="1222">
        <f>SUM(E20:J20)</f>
        <v>21000</v>
      </c>
      <c r="L20" s="1196"/>
    </row>
    <row r="21" spans="1:12" ht="19.5" customHeight="1" x14ac:dyDescent="0.3">
      <c r="A21" s="1175">
        <v>12</v>
      </c>
      <c r="B21" s="1186"/>
      <c r="C21" s="1197">
        <v>3</v>
      </c>
      <c r="D21" s="1224" t="s">
        <v>907</v>
      </c>
      <c r="E21" s="1189">
        <f>F21+G21+K25+L22</f>
        <v>20000</v>
      </c>
      <c r="F21" s="1190">
        <v>1336</v>
      </c>
      <c r="G21" s="1191"/>
      <c r="H21" s="1192" t="s">
        <v>106</v>
      </c>
      <c r="I21" s="1193"/>
      <c r="J21" s="1194"/>
      <c r="K21" s="1195"/>
      <c r="L21" s="1196"/>
    </row>
    <row r="22" spans="1:12" ht="18" customHeight="1" x14ac:dyDescent="0.35">
      <c r="A22" s="1175">
        <v>13</v>
      </c>
      <c r="B22" s="1186"/>
      <c r="C22" s="1197"/>
      <c r="D22" s="1267" t="s">
        <v>230</v>
      </c>
      <c r="E22" s="1199"/>
      <c r="F22" s="1200"/>
      <c r="G22" s="1201"/>
      <c r="H22" s="1202"/>
      <c r="I22" s="1203"/>
      <c r="J22" s="1204">
        <v>18664</v>
      </c>
      <c r="K22" s="1205">
        <f>SUM(I22:J22)</f>
        <v>18664</v>
      </c>
      <c r="L22" s="1196"/>
    </row>
    <row r="23" spans="1:12" ht="18" customHeight="1" x14ac:dyDescent="0.35">
      <c r="A23" s="1175">
        <v>14</v>
      </c>
      <c r="B23" s="1186"/>
      <c r="C23" s="1197"/>
      <c r="D23" s="1296" t="s">
        <v>231</v>
      </c>
      <c r="E23" s="1199"/>
      <c r="F23" s="1200"/>
      <c r="G23" s="1201"/>
      <c r="H23" s="1202"/>
      <c r="I23" s="1203"/>
      <c r="J23" s="1208">
        <v>18664</v>
      </c>
      <c r="K23" s="1209">
        <f>SUM(I23:J23)</f>
        <v>18664</v>
      </c>
      <c r="L23" s="1196"/>
    </row>
    <row r="24" spans="1:12" ht="18" customHeight="1" x14ac:dyDescent="0.35">
      <c r="A24" s="1175">
        <v>15</v>
      </c>
      <c r="B24" s="1186"/>
      <c r="C24" s="1197"/>
      <c r="D24" s="1210" t="s">
        <v>245</v>
      </c>
      <c r="E24" s="1211"/>
      <c r="F24" s="1212"/>
      <c r="G24" s="1213"/>
      <c r="H24" s="1214"/>
      <c r="I24" s="1215"/>
      <c r="J24" s="1216"/>
      <c r="K24" s="1217">
        <f>SUM(E24:J24)</f>
        <v>0</v>
      </c>
      <c r="L24" s="1196"/>
    </row>
    <row r="25" spans="1:12" ht="18" customHeight="1" x14ac:dyDescent="0.35">
      <c r="A25" s="1175">
        <v>16</v>
      </c>
      <c r="B25" s="1186"/>
      <c r="C25" s="1197"/>
      <c r="D25" s="1296" t="s">
        <v>233</v>
      </c>
      <c r="E25" s="1218"/>
      <c r="F25" s="1219"/>
      <c r="G25" s="1220"/>
      <c r="H25" s="1221"/>
      <c r="I25" s="1207"/>
      <c r="J25" s="1208">
        <f>SUM(J23:J24)</f>
        <v>18664</v>
      </c>
      <c r="K25" s="1222">
        <f>SUM(E25:J25)</f>
        <v>18664</v>
      </c>
      <c r="L25" s="1196"/>
    </row>
    <row r="26" spans="1:12" ht="19.5" customHeight="1" x14ac:dyDescent="0.3">
      <c r="A26" s="1175">
        <v>17</v>
      </c>
      <c r="B26" s="1186"/>
      <c r="C26" s="1197">
        <v>4</v>
      </c>
      <c r="D26" s="1224" t="s">
        <v>908</v>
      </c>
      <c r="E26" s="1189">
        <f>F26+G26+K30+L27</f>
        <v>25000</v>
      </c>
      <c r="F26" s="1190">
        <v>5000</v>
      </c>
      <c r="G26" s="1191">
        <v>10000</v>
      </c>
      <c r="H26" s="1192" t="s">
        <v>106</v>
      </c>
      <c r="I26" s="1193"/>
      <c r="J26" s="1194"/>
      <c r="K26" s="1195"/>
      <c r="L26" s="1196"/>
    </row>
    <row r="27" spans="1:12" ht="18" customHeight="1" x14ac:dyDescent="0.35">
      <c r="A27" s="1175">
        <v>18</v>
      </c>
      <c r="B27" s="1186"/>
      <c r="C27" s="1197"/>
      <c r="D27" s="1267" t="s">
        <v>230</v>
      </c>
      <c r="E27" s="1199"/>
      <c r="F27" s="1200"/>
      <c r="G27" s="1201"/>
      <c r="H27" s="1202"/>
      <c r="I27" s="1203"/>
      <c r="J27" s="1204">
        <v>10000</v>
      </c>
      <c r="K27" s="1205">
        <f>SUM(I27:J27)</f>
        <v>10000</v>
      </c>
      <c r="L27" s="1196"/>
    </row>
    <row r="28" spans="1:12" ht="18" customHeight="1" x14ac:dyDescent="0.35">
      <c r="A28" s="1175">
        <v>19</v>
      </c>
      <c r="B28" s="1186"/>
      <c r="C28" s="1197"/>
      <c r="D28" s="1296" t="s">
        <v>231</v>
      </c>
      <c r="E28" s="1199"/>
      <c r="F28" s="1200"/>
      <c r="G28" s="1201"/>
      <c r="H28" s="1202"/>
      <c r="I28" s="1207"/>
      <c r="J28" s="1208">
        <v>10000</v>
      </c>
      <c r="K28" s="1209">
        <f>SUM(I28:J28)</f>
        <v>10000</v>
      </c>
      <c r="L28" s="1196"/>
    </row>
    <row r="29" spans="1:12" ht="18" customHeight="1" x14ac:dyDescent="0.35">
      <c r="A29" s="1175">
        <v>20</v>
      </c>
      <c r="B29" s="1186"/>
      <c r="C29" s="1197"/>
      <c r="D29" s="1210" t="s">
        <v>245</v>
      </c>
      <c r="E29" s="1211"/>
      <c r="F29" s="1212"/>
      <c r="G29" s="1213"/>
      <c r="H29" s="1214"/>
      <c r="I29" s="1215"/>
      <c r="J29" s="1216"/>
      <c r="K29" s="1217">
        <f>SUM(E29:J29)</f>
        <v>0</v>
      </c>
      <c r="L29" s="1196"/>
    </row>
    <row r="30" spans="1:12" ht="18" customHeight="1" x14ac:dyDescent="0.35">
      <c r="A30" s="1175">
        <v>21</v>
      </c>
      <c r="B30" s="1186"/>
      <c r="C30" s="1197"/>
      <c r="D30" s="1296" t="s">
        <v>233</v>
      </c>
      <c r="E30" s="1218"/>
      <c r="F30" s="1219"/>
      <c r="G30" s="1220"/>
      <c r="H30" s="1221"/>
      <c r="I30" s="1207"/>
      <c r="J30" s="1208">
        <f>SUM(J28:J29)</f>
        <v>10000</v>
      </c>
      <c r="K30" s="1222">
        <f>SUM(E30:J30)</f>
        <v>10000</v>
      </c>
      <c r="L30" s="1196"/>
    </row>
    <row r="31" spans="1:12" ht="19.5" customHeight="1" x14ac:dyDescent="0.3">
      <c r="A31" s="1175">
        <v>22</v>
      </c>
      <c r="B31" s="1186"/>
      <c r="C31" s="1197">
        <v>5</v>
      </c>
      <c r="D31" s="1224" t="s">
        <v>909</v>
      </c>
      <c r="E31" s="1189">
        <f>F31+G31+K35+L32</f>
        <v>77000</v>
      </c>
      <c r="F31" s="1190"/>
      <c r="G31" s="1191">
        <v>12665</v>
      </c>
      <c r="H31" s="1192" t="s">
        <v>106</v>
      </c>
      <c r="I31" s="1193"/>
      <c r="J31" s="1194"/>
      <c r="K31" s="1195"/>
      <c r="L31" s="1196"/>
    </row>
    <row r="32" spans="1:12" ht="18" customHeight="1" x14ac:dyDescent="0.35">
      <c r="A32" s="1175">
        <v>23</v>
      </c>
      <c r="B32" s="1186"/>
      <c r="C32" s="1197"/>
      <c r="D32" s="1267" t="s">
        <v>230</v>
      </c>
      <c r="E32" s="1199"/>
      <c r="F32" s="1200"/>
      <c r="G32" s="1201"/>
      <c r="H32" s="1202"/>
      <c r="I32" s="1203"/>
      <c r="J32" s="1204">
        <f>64335</f>
        <v>64335</v>
      </c>
      <c r="K32" s="1205">
        <f>SUM(I32:J32)</f>
        <v>64335</v>
      </c>
      <c r="L32" s="1196"/>
    </row>
    <row r="33" spans="1:12" ht="18" customHeight="1" x14ac:dyDescent="0.35">
      <c r="A33" s="1175">
        <v>24</v>
      </c>
      <c r="B33" s="1186"/>
      <c r="C33" s="1197"/>
      <c r="D33" s="1296" t="s">
        <v>231</v>
      </c>
      <c r="E33" s="1199"/>
      <c r="F33" s="1200"/>
      <c r="G33" s="1201"/>
      <c r="H33" s="1202"/>
      <c r="I33" s="1203"/>
      <c r="J33" s="1208">
        <v>64335</v>
      </c>
      <c r="K33" s="1209">
        <f>SUM(I33:J33)</f>
        <v>64335</v>
      </c>
      <c r="L33" s="1196"/>
    </row>
    <row r="34" spans="1:12" ht="18" customHeight="1" x14ac:dyDescent="0.35">
      <c r="A34" s="1175">
        <v>25</v>
      </c>
      <c r="B34" s="1186"/>
      <c r="C34" s="1197"/>
      <c r="D34" s="1210" t="s">
        <v>245</v>
      </c>
      <c r="E34" s="1211"/>
      <c r="F34" s="1212"/>
      <c r="G34" s="1213"/>
      <c r="H34" s="1214"/>
      <c r="I34" s="1215"/>
      <c r="J34" s="1216"/>
      <c r="K34" s="1217">
        <f>SUM(E34:J34)</f>
        <v>0</v>
      </c>
      <c r="L34" s="1196"/>
    </row>
    <row r="35" spans="1:12" ht="18" customHeight="1" x14ac:dyDescent="0.35">
      <c r="A35" s="1175">
        <v>26</v>
      </c>
      <c r="B35" s="1186"/>
      <c r="C35" s="1197"/>
      <c r="D35" s="1296" t="s">
        <v>233</v>
      </c>
      <c r="E35" s="1218"/>
      <c r="F35" s="1219"/>
      <c r="G35" s="1220"/>
      <c r="H35" s="1221"/>
      <c r="I35" s="1207"/>
      <c r="J35" s="1208">
        <f>SUM(J33:J34)</f>
        <v>64335</v>
      </c>
      <c r="K35" s="1222">
        <f>SUM(E35:J35)</f>
        <v>64335</v>
      </c>
      <c r="L35" s="1196"/>
    </row>
    <row r="36" spans="1:12" ht="19.5" customHeight="1" x14ac:dyDescent="0.3">
      <c r="A36" s="1175">
        <v>27</v>
      </c>
      <c r="B36" s="1186"/>
      <c r="C36" s="1197">
        <v>6</v>
      </c>
      <c r="D36" s="1224" t="s">
        <v>910</v>
      </c>
      <c r="E36" s="1189">
        <f>F36+G36+K40+L37</f>
        <v>0</v>
      </c>
      <c r="F36" s="1190"/>
      <c r="G36" s="1191"/>
      <c r="H36" s="1192" t="s">
        <v>296</v>
      </c>
      <c r="I36" s="1193"/>
      <c r="J36" s="1194"/>
      <c r="K36" s="1195"/>
      <c r="L36" s="1196"/>
    </row>
    <row r="37" spans="1:12" ht="18" customHeight="1" x14ac:dyDescent="0.35">
      <c r="A37" s="1175">
        <v>28</v>
      </c>
      <c r="B37" s="1186"/>
      <c r="C37" s="1197"/>
      <c r="D37" s="1267" t="s">
        <v>230</v>
      </c>
      <c r="E37" s="1199"/>
      <c r="F37" s="1200"/>
      <c r="G37" s="1201"/>
      <c r="H37" s="1202"/>
      <c r="I37" s="1203"/>
      <c r="J37" s="1204">
        <v>3000</v>
      </c>
      <c r="K37" s="1205">
        <f>SUM(I37:J37)</f>
        <v>3000</v>
      </c>
      <c r="L37" s="1196"/>
    </row>
    <row r="38" spans="1:12" ht="18" customHeight="1" x14ac:dyDescent="0.35">
      <c r="A38" s="1175">
        <v>29</v>
      </c>
      <c r="B38" s="1186"/>
      <c r="C38" s="1197"/>
      <c r="D38" s="1296" t="s">
        <v>231</v>
      </c>
      <c r="E38" s="1199"/>
      <c r="F38" s="1200"/>
      <c r="G38" s="1201"/>
      <c r="H38" s="1202"/>
      <c r="I38" s="1207"/>
      <c r="J38" s="1208">
        <v>0</v>
      </c>
      <c r="K38" s="1209">
        <f>SUM(I38:J38)</f>
        <v>0</v>
      </c>
      <c r="L38" s="1196"/>
    </row>
    <row r="39" spans="1:12" ht="18" customHeight="1" x14ac:dyDescent="0.35">
      <c r="A39" s="1175">
        <v>30</v>
      </c>
      <c r="B39" s="1186"/>
      <c r="C39" s="1197"/>
      <c r="D39" s="1210" t="s">
        <v>232</v>
      </c>
      <c r="E39" s="1211"/>
      <c r="F39" s="1212"/>
      <c r="G39" s="1213"/>
      <c r="H39" s="1214"/>
      <c r="I39" s="1215"/>
      <c r="J39" s="1216"/>
      <c r="K39" s="1217">
        <f>SUM(E39:J39)</f>
        <v>0</v>
      </c>
      <c r="L39" s="1196"/>
    </row>
    <row r="40" spans="1:12" ht="18" customHeight="1" x14ac:dyDescent="0.35">
      <c r="A40" s="1175">
        <v>31</v>
      </c>
      <c r="B40" s="1186"/>
      <c r="C40" s="1197"/>
      <c r="D40" s="1296" t="s">
        <v>233</v>
      </c>
      <c r="E40" s="1218"/>
      <c r="F40" s="1219"/>
      <c r="G40" s="1220"/>
      <c r="H40" s="1221"/>
      <c r="I40" s="1207"/>
      <c r="J40" s="1208">
        <f>SUM(J38:J39)</f>
        <v>0</v>
      </c>
      <c r="K40" s="1222">
        <f>SUM(E40:J40)</f>
        <v>0</v>
      </c>
      <c r="L40" s="1196"/>
    </row>
    <row r="41" spans="1:12" ht="19.5" customHeight="1" x14ac:dyDescent="0.3">
      <c r="A41" s="1175">
        <v>32</v>
      </c>
      <c r="B41" s="1186"/>
      <c r="C41" s="1197">
        <v>7</v>
      </c>
      <c r="D41" s="1224" t="s">
        <v>911</v>
      </c>
      <c r="E41" s="1189">
        <f>F41+G41+K45+L42</f>
        <v>7000</v>
      </c>
      <c r="F41" s="1190">
        <v>2000</v>
      </c>
      <c r="G41" s="1191">
        <v>2000</v>
      </c>
      <c r="H41" s="1192" t="s">
        <v>106</v>
      </c>
      <c r="I41" s="1193"/>
      <c r="J41" s="1194"/>
      <c r="K41" s="1195"/>
      <c r="L41" s="1196"/>
    </row>
    <row r="42" spans="1:12" ht="18" customHeight="1" x14ac:dyDescent="0.35">
      <c r="A42" s="1175">
        <v>33</v>
      </c>
      <c r="B42" s="1186"/>
      <c r="C42" s="1197"/>
      <c r="D42" s="1267" t="s">
        <v>230</v>
      </c>
      <c r="E42" s="1199"/>
      <c r="F42" s="1200"/>
      <c r="G42" s="1201"/>
      <c r="H42" s="1202"/>
      <c r="I42" s="1203"/>
      <c r="J42" s="1204">
        <v>3000</v>
      </c>
      <c r="K42" s="1205">
        <f>SUM(I42:J42)</f>
        <v>3000</v>
      </c>
      <c r="L42" s="1196"/>
    </row>
    <row r="43" spans="1:12" ht="18" customHeight="1" x14ac:dyDescent="0.35">
      <c r="A43" s="1175">
        <v>34</v>
      </c>
      <c r="B43" s="1186"/>
      <c r="C43" s="1197"/>
      <c r="D43" s="1296" t="s">
        <v>231</v>
      </c>
      <c r="E43" s="1199"/>
      <c r="F43" s="1200"/>
      <c r="G43" s="1201"/>
      <c r="H43" s="1202"/>
      <c r="I43" s="1207"/>
      <c r="J43" s="1208">
        <v>3000</v>
      </c>
      <c r="K43" s="1209">
        <f>SUM(I43:J43)</f>
        <v>3000</v>
      </c>
      <c r="L43" s="1196"/>
    </row>
    <row r="44" spans="1:12" ht="18" customHeight="1" x14ac:dyDescent="0.35">
      <c r="A44" s="1175">
        <v>35</v>
      </c>
      <c r="B44" s="1186"/>
      <c r="C44" s="1197"/>
      <c r="D44" s="1210" t="s">
        <v>245</v>
      </c>
      <c r="E44" s="1211"/>
      <c r="F44" s="1212"/>
      <c r="G44" s="1213"/>
      <c r="H44" s="1214"/>
      <c r="I44" s="1215"/>
      <c r="J44" s="1216"/>
      <c r="K44" s="1217">
        <f>SUM(E44:J44)</f>
        <v>0</v>
      </c>
      <c r="L44" s="1196"/>
    </row>
    <row r="45" spans="1:12" ht="18" customHeight="1" x14ac:dyDescent="0.35">
      <c r="A45" s="1175">
        <v>36</v>
      </c>
      <c r="B45" s="1186"/>
      <c r="C45" s="1197"/>
      <c r="D45" s="1296" t="s">
        <v>233</v>
      </c>
      <c r="E45" s="1218"/>
      <c r="F45" s="1219"/>
      <c r="G45" s="1220"/>
      <c r="H45" s="1221"/>
      <c r="I45" s="1207"/>
      <c r="J45" s="1208">
        <f>SUM(J43:J44)</f>
        <v>3000</v>
      </c>
      <c r="K45" s="1222">
        <f>SUM(E45:J45)</f>
        <v>3000</v>
      </c>
      <c r="L45" s="1196"/>
    </row>
    <row r="46" spans="1:12" ht="19.5" customHeight="1" x14ac:dyDescent="0.3">
      <c r="A46" s="1175">
        <v>37</v>
      </c>
      <c r="B46" s="1186"/>
      <c r="C46" s="1197">
        <v>52</v>
      </c>
      <c r="D46" s="1224" t="s">
        <v>912</v>
      </c>
      <c r="E46" s="1189">
        <f>F46+G46+K50+L47</f>
        <v>35614</v>
      </c>
      <c r="F46" s="1190"/>
      <c r="G46" s="1191"/>
      <c r="H46" s="1192" t="s">
        <v>296</v>
      </c>
      <c r="I46" s="1193"/>
      <c r="J46" s="1194"/>
      <c r="K46" s="1195"/>
      <c r="L46" s="1196"/>
    </row>
    <row r="47" spans="1:12" ht="18" customHeight="1" x14ac:dyDescent="0.35">
      <c r="A47" s="1175">
        <v>38</v>
      </c>
      <c r="B47" s="1186"/>
      <c r="C47" s="1197"/>
      <c r="D47" s="1267" t="s">
        <v>230</v>
      </c>
      <c r="E47" s="1199"/>
      <c r="F47" s="1200"/>
      <c r="G47" s="1201"/>
      <c r="H47" s="1202"/>
      <c r="I47" s="1203"/>
      <c r="J47" s="1204">
        <v>30000</v>
      </c>
      <c r="K47" s="1205">
        <f>SUM(I47:J47)</f>
        <v>30000</v>
      </c>
      <c r="L47" s="1196"/>
    </row>
    <row r="48" spans="1:12" ht="18" customHeight="1" x14ac:dyDescent="0.35">
      <c r="A48" s="1175">
        <v>39</v>
      </c>
      <c r="B48" s="1186"/>
      <c r="C48" s="1197"/>
      <c r="D48" s="1296" t="s">
        <v>231</v>
      </c>
      <c r="E48" s="1199"/>
      <c r="F48" s="1200"/>
      <c r="G48" s="1201"/>
      <c r="H48" s="1202"/>
      <c r="I48" s="1207"/>
      <c r="J48" s="1208">
        <v>35614</v>
      </c>
      <c r="K48" s="1209">
        <f>SUM(I48:J48)</f>
        <v>35614</v>
      </c>
      <c r="L48" s="1196"/>
    </row>
    <row r="49" spans="1:12" ht="18" customHeight="1" x14ac:dyDescent="0.35">
      <c r="A49" s="1175">
        <v>40</v>
      </c>
      <c r="B49" s="1186"/>
      <c r="C49" s="1197"/>
      <c r="D49" s="1210" t="s">
        <v>232</v>
      </c>
      <c r="E49" s="1211"/>
      <c r="F49" s="1212"/>
      <c r="G49" s="1213"/>
      <c r="H49" s="1214"/>
      <c r="I49" s="1215"/>
      <c r="J49" s="1216"/>
      <c r="K49" s="1217">
        <f>SUM(E49:J49)</f>
        <v>0</v>
      </c>
      <c r="L49" s="1196"/>
    </row>
    <row r="50" spans="1:12" ht="18" customHeight="1" x14ac:dyDescent="0.35">
      <c r="A50" s="1175">
        <v>41</v>
      </c>
      <c r="B50" s="1186"/>
      <c r="C50" s="1197"/>
      <c r="D50" s="1296" t="s">
        <v>233</v>
      </c>
      <c r="E50" s="1218"/>
      <c r="F50" s="1219"/>
      <c r="G50" s="1220"/>
      <c r="H50" s="1221"/>
      <c r="I50" s="1207"/>
      <c r="J50" s="1208">
        <f>SUM(J48:J49)</f>
        <v>35614</v>
      </c>
      <c r="K50" s="1222">
        <f>SUM(E50:J50)</f>
        <v>35614</v>
      </c>
      <c r="L50" s="1196"/>
    </row>
    <row r="51" spans="1:12" ht="19.5" customHeight="1" x14ac:dyDescent="0.3">
      <c r="A51" s="1175">
        <v>42</v>
      </c>
      <c r="B51" s="1186"/>
      <c r="C51" s="1197">
        <v>53</v>
      </c>
      <c r="D51" s="1224" t="s">
        <v>913</v>
      </c>
      <c r="E51" s="1189">
        <f>F51+G51+K55+L52</f>
        <v>3000</v>
      </c>
      <c r="F51" s="1190"/>
      <c r="G51" s="1191"/>
      <c r="H51" s="1192" t="s">
        <v>296</v>
      </c>
      <c r="I51" s="1193"/>
      <c r="J51" s="1194"/>
      <c r="K51" s="1195"/>
      <c r="L51" s="1196"/>
    </row>
    <row r="52" spans="1:12" ht="18" customHeight="1" x14ac:dyDescent="0.35">
      <c r="A52" s="1175">
        <v>43</v>
      </c>
      <c r="B52" s="1186"/>
      <c r="C52" s="1197"/>
      <c r="D52" s="1267" t="s">
        <v>230</v>
      </c>
      <c r="E52" s="1199"/>
      <c r="F52" s="1200"/>
      <c r="G52" s="1201"/>
      <c r="H52" s="1202"/>
      <c r="I52" s="1203"/>
      <c r="J52" s="1204">
        <v>3000</v>
      </c>
      <c r="K52" s="1205">
        <f>SUM(I52:J52)</f>
        <v>3000</v>
      </c>
      <c r="L52" s="1196"/>
    </row>
    <row r="53" spans="1:12" ht="18" customHeight="1" x14ac:dyDescent="0.35">
      <c r="A53" s="1175">
        <v>44</v>
      </c>
      <c r="B53" s="1186"/>
      <c r="C53" s="1197"/>
      <c r="D53" s="1296" t="s">
        <v>231</v>
      </c>
      <c r="E53" s="1199"/>
      <c r="F53" s="1200"/>
      <c r="G53" s="1201"/>
      <c r="H53" s="1202"/>
      <c r="I53" s="1207"/>
      <c r="J53" s="1208">
        <v>3000</v>
      </c>
      <c r="K53" s="1209">
        <f>SUM(I53:J53)</f>
        <v>3000</v>
      </c>
      <c r="L53" s="1196"/>
    </row>
    <row r="54" spans="1:12" ht="18" customHeight="1" x14ac:dyDescent="0.35">
      <c r="A54" s="1175">
        <v>45</v>
      </c>
      <c r="B54" s="1186"/>
      <c r="C54" s="1197"/>
      <c r="D54" s="1210" t="s">
        <v>245</v>
      </c>
      <c r="E54" s="1211"/>
      <c r="F54" s="1212"/>
      <c r="G54" s="1213"/>
      <c r="H54" s="1214"/>
      <c r="I54" s="1215"/>
      <c r="J54" s="1216"/>
      <c r="K54" s="1217">
        <f>SUM(E54:J54)</f>
        <v>0</v>
      </c>
      <c r="L54" s="1196"/>
    </row>
    <row r="55" spans="1:12" ht="18" customHeight="1" x14ac:dyDescent="0.35">
      <c r="A55" s="1175">
        <v>46</v>
      </c>
      <c r="B55" s="1186"/>
      <c r="C55" s="1197"/>
      <c r="D55" s="1296" t="s">
        <v>233</v>
      </c>
      <c r="E55" s="1218"/>
      <c r="F55" s="1219"/>
      <c r="G55" s="1220"/>
      <c r="H55" s="1221"/>
      <c r="I55" s="1207"/>
      <c r="J55" s="1208">
        <f>SUM(J53:J54)</f>
        <v>3000</v>
      </c>
      <c r="K55" s="1222">
        <f>SUM(E55:J55)</f>
        <v>3000</v>
      </c>
      <c r="L55" s="1196"/>
    </row>
    <row r="56" spans="1:12" ht="19.5" customHeight="1" x14ac:dyDescent="0.3">
      <c r="A56" s="1175">
        <v>47</v>
      </c>
      <c r="B56" s="1186"/>
      <c r="C56" s="1197">
        <v>54</v>
      </c>
      <c r="D56" s="1224" t="s">
        <v>914</v>
      </c>
      <c r="E56" s="1189">
        <f>F56+G56+K60+L57</f>
        <v>6000</v>
      </c>
      <c r="F56" s="1190"/>
      <c r="G56" s="1191"/>
      <c r="H56" s="1192" t="s">
        <v>296</v>
      </c>
      <c r="I56" s="1193"/>
      <c r="J56" s="1194"/>
      <c r="K56" s="1195"/>
      <c r="L56" s="1196"/>
    </row>
    <row r="57" spans="1:12" ht="18" customHeight="1" x14ac:dyDescent="0.35">
      <c r="A57" s="1175">
        <v>48</v>
      </c>
      <c r="B57" s="1186"/>
      <c r="C57" s="1197"/>
      <c r="D57" s="1267" t="s">
        <v>230</v>
      </c>
      <c r="E57" s="1199"/>
      <c r="F57" s="1200"/>
      <c r="G57" s="1201"/>
      <c r="H57" s="1202"/>
      <c r="I57" s="1203"/>
      <c r="J57" s="1204">
        <v>7000</v>
      </c>
      <c r="K57" s="1205">
        <f>SUM(I57:J57)</f>
        <v>7000</v>
      </c>
      <c r="L57" s="1196"/>
    </row>
    <row r="58" spans="1:12" ht="18" customHeight="1" x14ac:dyDescent="0.35">
      <c r="A58" s="1175">
        <v>49</v>
      </c>
      <c r="B58" s="1186"/>
      <c r="C58" s="1197"/>
      <c r="D58" s="1296" t="s">
        <v>231</v>
      </c>
      <c r="E58" s="1199"/>
      <c r="F58" s="1200"/>
      <c r="G58" s="1201"/>
      <c r="H58" s="1202"/>
      <c r="I58" s="1207"/>
      <c r="J58" s="1208">
        <v>6000</v>
      </c>
      <c r="K58" s="1209">
        <f>SUM(I58:J58)</f>
        <v>6000</v>
      </c>
      <c r="L58" s="1196"/>
    </row>
    <row r="59" spans="1:12" ht="18" customHeight="1" x14ac:dyDescent="0.35">
      <c r="A59" s="1175">
        <v>50</v>
      </c>
      <c r="B59" s="1186"/>
      <c r="C59" s="1197"/>
      <c r="D59" s="1210" t="s">
        <v>232</v>
      </c>
      <c r="E59" s="1211"/>
      <c r="F59" s="1212"/>
      <c r="G59" s="1213"/>
      <c r="H59" s="1214"/>
      <c r="I59" s="1215"/>
      <c r="J59" s="1216"/>
      <c r="K59" s="1217">
        <f>SUM(E59:J59)</f>
        <v>0</v>
      </c>
      <c r="L59" s="1196"/>
    </row>
    <row r="60" spans="1:12" ht="18" customHeight="1" x14ac:dyDescent="0.35">
      <c r="A60" s="1175">
        <v>51</v>
      </c>
      <c r="B60" s="1186"/>
      <c r="C60" s="1197"/>
      <c r="D60" s="1296" t="s">
        <v>233</v>
      </c>
      <c r="E60" s="1218"/>
      <c r="F60" s="1219"/>
      <c r="G60" s="1220"/>
      <c r="H60" s="1221"/>
      <c r="I60" s="1207"/>
      <c r="J60" s="1208">
        <f>SUM(J58:J59)</f>
        <v>6000</v>
      </c>
      <c r="K60" s="1222">
        <f>SUM(E60:J60)</f>
        <v>6000</v>
      </c>
      <c r="L60" s="1196"/>
    </row>
    <row r="61" spans="1:12" ht="19.5" customHeight="1" x14ac:dyDescent="0.3">
      <c r="A61" s="1175">
        <v>52</v>
      </c>
      <c r="B61" s="1186"/>
      <c r="C61" s="1197">
        <v>55</v>
      </c>
      <c r="D61" s="1224" t="s">
        <v>915</v>
      </c>
      <c r="E61" s="1189">
        <f>F61+G61+K65+L62</f>
        <v>0</v>
      </c>
      <c r="F61" s="1190"/>
      <c r="G61" s="1191"/>
      <c r="H61" s="1192" t="s">
        <v>296</v>
      </c>
      <c r="I61" s="1193"/>
      <c r="J61" s="1194"/>
      <c r="K61" s="1195"/>
      <c r="L61" s="1196"/>
    </row>
    <row r="62" spans="1:12" ht="18" customHeight="1" x14ac:dyDescent="0.35">
      <c r="A62" s="1175">
        <v>53</v>
      </c>
      <c r="B62" s="1186"/>
      <c r="C62" s="1197"/>
      <c r="D62" s="1267" t="s">
        <v>230</v>
      </c>
      <c r="E62" s="1199"/>
      <c r="F62" s="1200"/>
      <c r="G62" s="1201"/>
      <c r="H62" s="1202"/>
      <c r="I62" s="1203"/>
      <c r="J62" s="1204">
        <v>1500</v>
      </c>
      <c r="K62" s="1205">
        <f>SUM(I62:J62)</f>
        <v>1500</v>
      </c>
      <c r="L62" s="1196"/>
    </row>
    <row r="63" spans="1:12" ht="18" customHeight="1" x14ac:dyDescent="0.35">
      <c r="A63" s="1175">
        <v>54</v>
      </c>
      <c r="B63" s="1186"/>
      <c r="C63" s="1197"/>
      <c r="D63" s="1296" t="s">
        <v>231</v>
      </c>
      <c r="E63" s="1199"/>
      <c r="F63" s="1200"/>
      <c r="G63" s="1201"/>
      <c r="H63" s="1202"/>
      <c r="I63" s="1207"/>
      <c r="J63" s="1208">
        <v>0</v>
      </c>
      <c r="K63" s="1209">
        <f>SUM(I63:J63)</f>
        <v>0</v>
      </c>
      <c r="L63" s="1196"/>
    </row>
    <row r="64" spans="1:12" ht="18" customHeight="1" x14ac:dyDescent="0.35">
      <c r="A64" s="1175">
        <v>55</v>
      </c>
      <c r="B64" s="1186"/>
      <c r="C64" s="1197"/>
      <c r="D64" s="1210" t="s">
        <v>232</v>
      </c>
      <c r="E64" s="1211"/>
      <c r="F64" s="1212"/>
      <c r="G64" s="1213"/>
      <c r="H64" s="1214"/>
      <c r="I64" s="1215"/>
      <c r="J64" s="1216"/>
      <c r="K64" s="1217">
        <f>SUM(E64:J64)</f>
        <v>0</v>
      </c>
      <c r="L64" s="1196"/>
    </row>
    <row r="65" spans="1:12" ht="18" customHeight="1" x14ac:dyDescent="0.35">
      <c r="A65" s="1175">
        <v>56</v>
      </c>
      <c r="B65" s="1186"/>
      <c r="C65" s="1197"/>
      <c r="D65" s="1296" t="s">
        <v>233</v>
      </c>
      <c r="E65" s="1218"/>
      <c r="F65" s="1219"/>
      <c r="G65" s="1220"/>
      <c r="H65" s="1221"/>
      <c r="I65" s="1207"/>
      <c r="J65" s="1208">
        <f>SUM(J63:J64)</f>
        <v>0</v>
      </c>
      <c r="K65" s="1222">
        <f>SUM(E65:J65)</f>
        <v>0</v>
      </c>
      <c r="L65" s="1196"/>
    </row>
    <row r="66" spans="1:12" ht="19.5" customHeight="1" x14ac:dyDescent="0.3">
      <c r="A66" s="1175">
        <v>57</v>
      </c>
      <c r="B66" s="1186"/>
      <c r="C66" s="1197">
        <v>14</v>
      </c>
      <c r="D66" s="1224" t="s">
        <v>916</v>
      </c>
      <c r="E66" s="1189">
        <f>F66+G66+K70+L67</f>
        <v>5000</v>
      </c>
      <c r="F66" s="1190"/>
      <c r="G66" s="1191"/>
      <c r="H66" s="1192" t="s">
        <v>106</v>
      </c>
      <c r="I66" s="1193"/>
      <c r="J66" s="1194"/>
      <c r="K66" s="1195"/>
      <c r="L66" s="1196"/>
    </row>
    <row r="67" spans="1:12" ht="18" customHeight="1" x14ac:dyDescent="0.35">
      <c r="A67" s="1175">
        <v>58</v>
      </c>
      <c r="B67" s="1284"/>
      <c r="C67" s="1262"/>
      <c r="D67" s="1267" t="s">
        <v>230</v>
      </c>
      <c r="E67" s="1199"/>
      <c r="F67" s="1200"/>
      <c r="G67" s="1201"/>
      <c r="H67" s="1202"/>
      <c r="I67" s="1203"/>
      <c r="J67" s="1204">
        <v>5000</v>
      </c>
      <c r="K67" s="1205">
        <f>SUM(I67:J67)</f>
        <v>5000</v>
      </c>
      <c r="L67" s="1371"/>
    </row>
    <row r="68" spans="1:12" ht="18" customHeight="1" x14ac:dyDescent="0.35">
      <c r="A68" s="1175">
        <v>59</v>
      </c>
      <c r="B68" s="1186"/>
      <c r="C68" s="1262"/>
      <c r="D68" s="1296" t="s">
        <v>231</v>
      </c>
      <c r="E68" s="1199"/>
      <c r="F68" s="1200"/>
      <c r="G68" s="1201"/>
      <c r="H68" s="1202"/>
      <c r="I68" s="1207"/>
      <c r="J68" s="1208">
        <v>5000</v>
      </c>
      <c r="K68" s="1209">
        <f>SUM(I68:J68)</f>
        <v>5000</v>
      </c>
      <c r="L68" s="1263"/>
    </row>
    <row r="69" spans="1:12" ht="18" customHeight="1" x14ac:dyDescent="0.35">
      <c r="A69" s="1175">
        <v>60</v>
      </c>
      <c r="B69" s="1264"/>
      <c r="C69" s="1197"/>
      <c r="D69" s="1210" t="s">
        <v>245</v>
      </c>
      <c r="E69" s="1211"/>
      <c r="F69" s="1212"/>
      <c r="G69" s="1213"/>
      <c r="H69" s="1214"/>
      <c r="I69" s="1215"/>
      <c r="J69" s="1216"/>
      <c r="K69" s="1217">
        <f>SUM(E69:J69)</f>
        <v>0</v>
      </c>
      <c r="L69" s="1227"/>
    </row>
    <row r="70" spans="1:12" ht="18" customHeight="1" x14ac:dyDescent="0.35">
      <c r="A70" s="1175">
        <v>61</v>
      </c>
      <c r="B70" s="1284"/>
      <c r="C70" s="1285"/>
      <c r="D70" s="1296" t="s">
        <v>233</v>
      </c>
      <c r="E70" s="1218"/>
      <c r="F70" s="1219"/>
      <c r="G70" s="1220"/>
      <c r="H70" s="1221"/>
      <c r="I70" s="1207"/>
      <c r="J70" s="1208">
        <f>SUM(J68:J69)</f>
        <v>5000</v>
      </c>
      <c r="K70" s="1222">
        <f>SUM(E70:J70)</f>
        <v>5000</v>
      </c>
      <c r="L70" s="1263"/>
    </row>
    <row r="71" spans="1:12" ht="19.5" customHeight="1" x14ac:dyDescent="0.3">
      <c r="A71" s="1175">
        <v>62</v>
      </c>
      <c r="B71" s="1186"/>
      <c r="C71" s="1197">
        <v>56</v>
      </c>
      <c r="D71" s="1223" t="s">
        <v>917</v>
      </c>
      <c r="E71" s="1189">
        <f>F71+G71+K75+L72</f>
        <v>40000</v>
      </c>
      <c r="F71" s="1190"/>
      <c r="G71" s="1191"/>
      <c r="H71" s="1192" t="s">
        <v>296</v>
      </c>
      <c r="I71" s="1193"/>
      <c r="J71" s="1194"/>
      <c r="K71" s="1229"/>
      <c r="L71" s="1227"/>
    </row>
    <row r="72" spans="1:12" ht="18" customHeight="1" x14ac:dyDescent="0.35">
      <c r="A72" s="1175">
        <v>63</v>
      </c>
      <c r="B72" s="1186"/>
      <c r="C72" s="1197"/>
      <c r="D72" s="1267" t="s">
        <v>230</v>
      </c>
      <c r="E72" s="1199"/>
      <c r="F72" s="1200"/>
      <c r="G72" s="1201"/>
      <c r="H72" s="1202"/>
      <c r="I72" s="1203"/>
      <c r="J72" s="1204">
        <v>40000</v>
      </c>
      <c r="K72" s="1205">
        <f>SUM(I72:J72)</f>
        <v>40000</v>
      </c>
      <c r="L72" s="1227"/>
    </row>
    <row r="73" spans="1:12" ht="18" customHeight="1" x14ac:dyDescent="0.35">
      <c r="A73" s="1175">
        <v>64</v>
      </c>
      <c r="B73" s="1186"/>
      <c r="C73" s="1197"/>
      <c r="D73" s="1296" t="s">
        <v>231</v>
      </c>
      <c r="E73" s="1199"/>
      <c r="F73" s="1200"/>
      <c r="G73" s="1201"/>
      <c r="H73" s="1202"/>
      <c r="I73" s="1207"/>
      <c r="J73" s="1208">
        <v>40000</v>
      </c>
      <c r="K73" s="1209">
        <f>SUM(I73:J73)</f>
        <v>40000</v>
      </c>
      <c r="L73" s="1227"/>
    </row>
    <row r="74" spans="1:12" ht="18" customHeight="1" x14ac:dyDescent="0.35">
      <c r="A74" s="1175">
        <v>65</v>
      </c>
      <c r="B74" s="1186"/>
      <c r="C74" s="1197"/>
      <c r="D74" s="1210" t="s">
        <v>245</v>
      </c>
      <c r="E74" s="1211"/>
      <c r="F74" s="1212"/>
      <c r="G74" s="1213"/>
      <c r="H74" s="1214"/>
      <c r="I74" s="1215"/>
      <c r="J74" s="1216"/>
      <c r="K74" s="1217">
        <f>SUM(E74:J74)</f>
        <v>0</v>
      </c>
      <c r="L74" s="1227"/>
    </row>
    <row r="75" spans="1:12" ht="18" customHeight="1" x14ac:dyDescent="0.35">
      <c r="A75" s="1175">
        <v>66</v>
      </c>
      <c r="B75" s="1186"/>
      <c r="C75" s="1197"/>
      <c r="D75" s="1296" t="s">
        <v>233</v>
      </c>
      <c r="E75" s="1218"/>
      <c r="F75" s="1219"/>
      <c r="G75" s="1220"/>
      <c r="H75" s="1221"/>
      <c r="I75" s="1207"/>
      <c r="J75" s="1208">
        <f>SUM(J73:J74)</f>
        <v>40000</v>
      </c>
      <c r="K75" s="1222">
        <f>SUM(E75:J75)</f>
        <v>40000</v>
      </c>
      <c r="L75" s="1227"/>
    </row>
    <row r="76" spans="1:12" ht="19.5" customHeight="1" x14ac:dyDescent="0.3">
      <c r="A76" s="1175">
        <v>67</v>
      </c>
      <c r="B76" s="1186"/>
      <c r="C76" s="1197">
        <v>16</v>
      </c>
      <c r="D76" s="1224" t="s">
        <v>918</v>
      </c>
      <c r="E76" s="1189">
        <f>F76+G76+K80+L77</f>
        <v>3000</v>
      </c>
      <c r="F76" s="1190"/>
      <c r="G76" s="1191"/>
      <c r="H76" s="1192" t="s">
        <v>296</v>
      </c>
      <c r="I76" s="1194"/>
      <c r="J76" s="1194"/>
      <c r="K76" s="1195"/>
      <c r="L76" s="1227"/>
    </row>
    <row r="77" spans="1:12" ht="18" customHeight="1" x14ac:dyDescent="0.35">
      <c r="A77" s="1175">
        <v>68</v>
      </c>
      <c r="B77" s="1186"/>
      <c r="C77" s="1197"/>
      <c r="D77" s="1267" t="s">
        <v>230</v>
      </c>
      <c r="E77" s="1199"/>
      <c r="F77" s="1200"/>
      <c r="G77" s="1201"/>
      <c r="H77" s="1202"/>
      <c r="I77" s="1203"/>
      <c r="J77" s="1204">
        <v>3000</v>
      </c>
      <c r="K77" s="1205">
        <f>SUM(I77:J77)</f>
        <v>3000</v>
      </c>
      <c r="L77" s="1227"/>
    </row>
    <row r="78" spans="1:12" ht="18" customHeight="1" x14ac:dyDescent="0.35">
      <c r="A78" s="1175">
        <v>69</v>
      </c>
      <c r="B78" s="1186"/>
      <c r="C78" s="1197"/>
      <c r="D78" s="1296" t="s">
        <v>231</v>
      </c>
      <c r="E78" s="1199"/>
      <c r="F78" s="1200"/>
      <c r="G78" s="1201"/>
      <c r="H78" s="1202"/>
      <c r="I78" s="1207"/>
      <c r="J78" s="1208">
        <v>3000</v>
      </c>
      <c r="K78" s="1209">
        <f>SUM(I78:J78)</f>
        <v>3000</v>
      </c>
      <c r="L78" s="1227"/>
    </row>
    <row r="79" spans="1:12" ht="18" customHeight="1" x14ac:dyDescent="0.35">
      <c r="A79" s="1175">
        <v>70</v>
      </c>
      <c r="B79" s="1186"/>
      <c r="C79" s="1197"/>
      <c r="D79" s="1210" t="s">
        <v>245</v>
      </c>
      <c r="E79" s="1211"/>
      <c r="F79" s="1212"/>
      <c r="G79" s="1213"/>
      <c r="H79" s="1214"/>
      <c r="I79" s="1215"/>
      <c r="J79" s="1216"/>
      <c r="K79" s="1217">
        <f>SUM(E79:J79)</f>
        <v>0</v>
      </c>
      <c r="L79" s="1227"/>
    </row>
    <row r="80" spans="1:12" ht="18" customHeight="1" x14ac:dyDescent="0.35">
      <c r="A80" s="1175">
        <v>71</v>
      </c>
      <c r="B80" s="1186"/>
      <c r="C80" s="1197"/>
      <c r="D80" s="1296" t="s">
        <v>233</v>
      </c>
      <c r="E80" s="1218"/>
      <c r="F80" s="1219"/>
      <c r="G80" s="1220"/>
      <c r="H80" s="1221"/>
      <c r="I80" s="1207"/>
      <c r="J80" s="1208">
        <f>SUM(J78:J79)</f>
        <v>3000</v>
      </c>
      <c r="K80" s="1222">
        <f>SUM(E80:J80)</f>
        <v>3000</v>
      </c>
      <c r="L80" s="1227"/>
    </row>
    <row r="81" spans="1:12" ht="19.5" customHeight="1" x14ac:dyDescent="0.3">
      <c r="A81" s="1175">
        <v>72</v>
      </c>
      <c r="B81" s="1186"/>
      <c r="C81" s="1197">
        <v>18</v>
      </c>
      <c r="D81" s="1224" t="s">
        <v>919</v>
      </c>
      <c r="E81" s="1189">
        <f>F81+G81+K85+L82</f>
        <v>380000</v>
      </c>
      <c r="F81" s="1190"/>
      <c r="G81" s="1191"/>
      <c r="H81" s="1192" t="s">
        <v>296</v>
      </c>
      <c r="I81" s="1193"/>
      <c r="J81" s="1194"/>
      <c r="K81" s="1195"/>
      <c r="L81" s="1196"/>
    </row>
    <row r="82" spans="1:12" ht="18" customHeight="1" x14ac:dyDescent="0.35">
      <c r="A82" s="1175">
        <v>73</v>
      </c>
      <c r="B82" s="1186"/>
      <c r="C82" s="1197"/>
      <c r="D82" s="1267" t="s">
        <v>230</v>
      </c>
      <c r="E82" s="1199"/>
      <c r="F82" s="1200"/>
      <c r="G82" s="1201"/>
      <c r="H82" s="1202"/>
      <c r="I82" s="1203"/>
      <c r="J82" s="1204">
        <v>380000</v>
      </c>
      <c r="K82" s="1205">
        <f>SUM(I82:J82)</f>
        <v>380000</v>
      </c>
      <c r="L82" s="1196"/>
    </row>
    <row r="83" spans="1:12" ht="18" customHeight="1" x14ac:dyDescent="0.35">
      <c r="A83" s="1175">
        <v>74</v>
      </c>
      <c r="B83" s="1186"/>
      <c r="C83" s="1197"/>
      <c r="D83" s="1296" t="s">
        <v>231</v>
      </c>
      <c r="E83" s="1199"/>
      <c r="F83" s="1200"/>
      <c r="G83" s="1201"/>
      <c r="H83" s="1202"/>
      <c r="I83" s="1207"/>
      <c r="J83" s="1208">
        <v>380000</v>
      </c>
      <c r="K83" s="1209">
        <f>SUM(I83:J83)</f>
        <v>380000</v>
      </c>
      <c r="L83" s="1227"/>
    </row>
    <row r="84" spans="1:12" ht="18" customHeight="1" x14ac:dyDescent="0.35">
      <c r="A84" s="1175">
        <v>75</v>
      </c>
      <c r="B84" s="1186"/>
      <c r="C84" s="1197"/>
      <c r="D84" s="1210" t="s">
        <v>245</v>
      </c>
      <c r="E84" s="1211"/>
      <c r="F84" s="1212"/>
      <c r="G84" s="1213"/>
      <c r="H84" s="1214"/>
      <c r="I84" s="1215"/>
      <c r="J84" s="1216"/>
      <c r="K84" s="1217">
        <f>SUM(E84:J84)</f>
        <v>0</v>
      </c>
      <c r="L84" s="1227"/>
    </row>
    <row r="85" spans="1:12" ht="18" customHeight="1" x14ac:dyDescent="0.35">
      <c r="A85" s="1175">
        <v>76</v>
      </c>
      <c r="B85" s="1186"/>
      <c r="C85" s="1197"/>
      <c r="D85" s="1296" t="s">
        <v>233</v>
      </c>
      <c r="E85" s="1218"/>
      <c r="F85" s="1219"/>
      <c r="G85" s="1220"/>
      <c r="H85" s="1221"/>
      <c r="I85" s="1207"/>
      <c r="J85" s="1208">
        <f>SUM(J83:J84)</f>
        <v>380000</v>
      </c>
      <c r="K85" s="1222">
        <f>SUM(E85:J85)</f>
        <v>380000</v>
      </c>
      <c r="L85" s="1227"/>
    </row>
    <row r="86" spans="1:12" ht="34.5" customHeight="1" x14ac:dyDescent="0.3">
      <c r="A86" s="1175">
        <v>77</v>
      </c>
      <c r="B86" s="1186"/>
      <c r="C86" s="1187">
        <v>50</v>
      </c>
      <c r="D86" s="1224" t="s">
        <v>920</v>
      </c>
      <c r="E86" s="1189">
        <f>F86+G86+K90+L87</f>
        <v>18000</v>
      </c>
      <c r="F86" s="1190"/>
      <c r="G86" s="1191"/>
      <c r="H86" s="1192" t="s">
        <v>106</v>
      </c>
      <c r="I86" s="1194"/>
      <c r="J86" s="1194"/>
      <c r="K86" s="1195"/>
      <c r="L86" s="1227"/>
    </row>
    <row r="87" spans="1:12" ht="18" customHeight="1" x14ac:dyDescent="0.35">
      <c r="A87" s="1175">
        <v>78</v>
      </c>
      <c r="B87" s="1186"/>
      <c r="C87" s="1197"/>
      <c r="D87" s="1267" t="s">
        <v>230</v>
      </c>
      <c r="E87" s="1199"/>
      <c r="F87" s="1200"/>
      <c r="G87" s="1201"/>
      <c r="H87" s="1202"/>
      <c r="I87" s="1203"/>
      <c r="J87" s="1204">
        <v>18000</v>
      </c>
      <c r="K87" s="1205">
        <f>SUM(I87:J87)</f>
        <v>18000</v>
      </c>
      <c r="L87" s="1227"/>
    </row>
    <row r="88" spans="1:12" ht="18" customHeight="1" x14ac:dyDescent="0.35">
      <c r="A88" s="1175">
        <v>79</v>
      </c>
      <c r="B88" s="1186"/>
      <c r="C88" s="1197"/>
      <c r="D88" s="1296" t="s">
        <v>231</v>
      </c>
      <c r="E88" s="1199"/>
      <c r="F88" s="1200"/>
      <c r="G88" s="1201"/>
      <c r="H88" s="1202"/>
      <c r="I88" s="1207"/>
      <c r="J88" s="1208">
        <v>18000</v>
      </c>
      <c r="K88" s="1209">
        <f>SUM(I88:J88)</f>
        <v>18000</v>
      </c>
      <c r="L88" s="1227"/>
    </row>
    <row r="89" spans="1:12" ht="18" customHeight="1" x14ac:dyDescent="0.35">
      <c r="A89" s="1175">
        <v>80</v>
      </c>
      <c r="B89" s="1186"/>
      <c r="C89" s="1197"/>
      <c r="D89" s="1210" t="s">
        <v>245</v>
      </c>
      <c r="E89" s="1211"/>
      <c r="F89" s="1212"/>
      <c r="G89" s="1213"/>
      <c r="H89" s="1214"/>
      <c r="I89" s="1215"/>
      <c r="J89" s="1216"/>
      <c r="K89" s="1217">
        <f>SUM(E89:J89)</f>
        <v>0</v>
      </c>
      <c r="L89" s="1227"/>
    </row>
    <row r="90" spans="1:12" ht="18" customHeight="1" x14ac:dyDescent="0.35">
      <c r="A90" s="1175">
        <v>81</v>
      </c>
      <c r="B90" s="1186"/>
      <c r="C90" s="1197"/>
      <c r="D90" s="1296" t="s">
        <v>233</v>
      </c>
      <c r="E90" s="1218"/>
      <c r="F90" s="1219"/>
      <c r="G90" s="1220"/>
      <c r="H90" s="1221"/>
      <c r="I90" s="1207"/>
      <c r="J90" s="1208">
        <f>SUM(J88:J89)</f>
        <v>18000</v>
      </c>
      <c r="K90" s="1222">
        <f>SUM(E90:J90)</f>
        <v>18000</v>
      </c>
      <c r="L90" s="1227"/>
    </row>
    <row r="91" spans="1:12" ht="22.5" customHeight="1" x14ac:dyDescent="0.35">
      <c r="A91" s="1175">
        <v>82</v>
      </c>
      <c r="B91" s="1186"/>
      <c r="C91" s="1197"/>
      <c r="D91" s="1372" t="s">
        <v>43</v>
      </c>
      <c r="E91" s="1189"/>
      <c r="F91" s="1190"/>
      <c r="G91" s="1191"/>
      <c r="H91" s="1192" t="s">
        <v>106</v>
      </c>
      <c r="I91" s="1193"/>
      <c r="J91" s="1194"/>
      <c r="K91" s="1195"/>
      <c r="L91" s="1196"/>
    </row>
    <row r="92" spans="1:12" ht="19.5" customHeight="1" x14ac:dyDescent="0.3">
      <c r="A92" s="1175">
        <v>83</v>
      </c>
      <c r="B92" s="1186"/>
      <c r="C92" s="1197"/>
      <c r="D92" s="1373" t="s">
        <v>921</v>
      </c>
      <c r="E92" s="1189"/>
      <c r="F92" s="1190"/>
      <c r="G92" s="1191"/>
      <c r="H92" s="1192"/>
      <c r="I92" s="1193"/>
      <c r="J92" s="1194"/>
      <c r="K92" s="1195"/>
      <c r="L92" s="1196"/>
    </row>
    <row r="93" spans="1:12" ht="19.5" customHeight="1" x14ac:dyDescent="0.3">
      <c r="A93" s="1175">
        <v>84</v>
      </c>
      <c r="B93" s="1186"/>
      <c r="C93" s="1197">
        <v>31</v>
      </c>
      <c r="D93" s="1374" t="s">
        <v>922</v>
      </c>
      <c r="E93" s="1189">
        <f>F93+G93+K97+L94</f>
        <v>19800</v>
      </c>
      <c r="F93" s="1190"/>
      <c r="G93" s="1191"/>
      <c r="H93" s="1192"/>
      <c r="I93" s="1193"/>
      <c r="J93" s="1194"/>
      <c r="K93" s="1195"/>
      <c r="L93" s="1196"/>
    </row>
    <row r="94" spans="1:12" ht="18" customHeight="1" x14ac:dyDescent="0.35">
      <c r="A94" s="1175">
        <v>85</v>
      </c>
      <c r="B94" s="1186"/>
      <c r="C94" s="1197"/>
      <c r="D94" s="1267" t="s">
        <v>230</v>
      </c>
      <c r="E94" s="1199"/>
      <c r="F94" s="1200"/>
      <c r="G94" s="1201"/>
      <c r="H94" s="1202"/>
      <c r="I94" s="1203"/>
      <c r="J94" s="1204">
        <v>19800</v>
      </c>
      <c r="K94" s="1205">
        <f>SUM(I94:J94)</f>
        <v>19800</v>
      </c>
      <c r="L94" s="1196"/>
    </row>
    <row r="95" spans="1:12" ht="18" customHeight="1" x14ac:dyDescent="0.35">
      <c r="A95" s="1175">
        <v>86</v>
      </c>
      <c r="B95" s="1186"/>
      <c r="C95" s="1197"/>
      <c r="D95" s="1296" t="s">
        <v>231</v>
      </c>
      <c r="E95" s="1199"/>
      <c r="F95" s="1200"/>
      <c r="G95" s="1201"/>
      <c r="H95" s="1202"/>
      <c r="I95" s="1203"/>
      <c r="J95" s="1208">
        <v>19800</v>
      </c>
      <c r="K95" s="1209">
        <f>SUM(I95:J95)</f>
        <v>19800</v>
      </c>
      <c r="L95" s="1196"/>
    </row>
    <row r="96" spans="1:12" ht="18" customHeight="1" x14ac:dyDescent="0.35">
      <c r="A96" s="1175">
        <v>87</v>
      </c>
      <c r="B96" s="1186"/>
      <c r="C96" s="1197"/>
      <c r="D96" s="1210" t="s">
        <v>245</v>
      </c>
      <c r="E96" s="1211"/>
      <c r="F96" s="1212"/>
      <c r="G96" s="1213"/>
      <c r="H96" s="1214"/>
      <c r="I96" s="1215"/>
      <c r="J96" s="1216"/>
      <c r="K96" s="1217">
        <f>SUM(E96:J96)</f>
        <v>0</v>
      </c>
      <c r="L96" s="1196"/>
    </row>
    <row r="97" spans="1:12" ht="18" customHeight="1" x14ac:dyDescent="0.35">
      <c r="A97" s="1175">
        <v>88</v>
      </c>
      <c r="B97" s="1186"/>
      <c r="C97" s="1197"/>
      <c r="D97" s="1296" t="s">
        <v>233</v>
      </c>
      <c r="E97" s="1218"/>
      <c r="F97" s="1219"/>
      <c r="G97" s="1220"/>
      <c r="H97" s="1221"/>
      <c r="I97" s="1207"/>
      <c r="J97" s="1208">
        <f>SUM(J95:J96)</f>
        <v>19800</v>
      </c>
      <c r="K97" s="1222">
        <f>SUM(E97:J97)</f>
        <v>19800</v>
      </c>
      <c r="L97" s="1196"/>
    </row>
    <row r="98" spans="1:12" ht="22.5" customHeight="1" x14ac:dyDescent="0.35">
      <c r="A98" s="1175">
        <v>89</v>
      </c>
      <c r="B98" s="1186"/>
      <c r="C98" s="1197"/>
      <c r="D98" s="1275" t="s">
        <v>41</v>
      </c>
      <c r="E98" s="1189"/>
      <c r="F98" s="1190"/>
      <c r="G98" s="1191"/>
      <c r="H98" s="1192" t="s">
        <v>106</v>
      </c>
      <c r="I98" s="1193"/>
      <c r="J98" s="1194"/>
      <c r="K98" s="1195"/>
      <c r="L98" s="1196"/>
    </row>
    <row r="99" spans="1:12" ht="19.5" customHeight="1" x14ac:dyDescent="0.3">
      <c r="A99" s="1175">
        <v>90</v>
      </c>
      <c r="B99" s="1186"/>
      <c r="C99" s="1197">
        <v>57</v>
      </c>
      <c r="D99" s="1374" t="s">
        <v>923</v>
      </c>
      <c r="E99" s="1189">
        <f>F99+G99+K103+L100</f>
        <v>14000</v>
      </c>
      <c r="F99" s="1190"/>
      <c r="G99" s="1191"/>
      <c r="H99" s="1192"/>
      <c r="I99" s="1193"/>
      <c r="J99" s="1194"/>
      <c r="K99" s="1195"/>
      <c r="L99" s="1196"/>
    </row>
    <row r="100" spans="1:12" ht="18" customHeight="1" x14ac:dyDescent="0.35">
      <c r="A100" s="1175">
        <v>91</v>
      </c>
      <c r="B100" s="1186"/>
      <c r="C100" s="1197"/>
      <c r="D100" s="1267" t="s">
        <v>230</v>
      </c>
      <c r="E100" s="1199"/>
      <c r="F100" s="1200"/>
      <c r="G100" s="1201"/>
      <c r="H100" s="1202"/>
      <c r="I100" s="1203"/>
      <c r="J100" s="1204">
        <v>14000</v>
      </c>
      <c r="K100" s="1205">
        <f>SUM(I100:J100)</f>
        <v>14000</v>
      </c>
      <c r="L100" s="1196"/>
    </row>
    <row r="101" spans="1:12" ht="18" customHeight="1" x14ac:dyDescent="0.35">
      <c r="A101" s="1175">
        <v>92</v>
      </c>
      <c r="B101" s="1186"/>
      <c r="C101" s="1197"/>
      <c r="D101" s="1296" t="s">
        <v>231</v>
      </c>
      <c r="E101" s="1199"/>
      <c r="F101" s="1200"/>
      <c r="G101" s="1201"/>
      <c r="H101" s="1202"/>
      <c r="I101" s="1207"/>
      <c r="J101" s="1208">
        <v>14000</v>
      </c>
      <c r="K101" s="1209">
        <f>SUM(I101:J101)</f>
        <v>14000</v>
      </c>
      <c r="L101" s="1196"/>
    </row>
    <row r="102" spans="1:12" ht="18" customHeight="1" x14ac:dyDescent="0.35">
      <c r="A102" s="1175">
        <v>93</v>
      </c>
      <c r="B102" s="1186"/>
      <c r="C102" s="1197"/>
      <c r="D102" s="1210" t="s">
        <v>245</v>
      </c>
      <c r="E102" s="1211"/>
      <c r="F102" s="1212"/>
      <c r="G102" s="1213"/>
      <c r="H102" s="1214"/>
      <c r="I102" s="1215"/>
      <c r="J102" s="1216"/>
      <c r="K102" s="1217">
        <f>SUM(E102:J102)</f>
        <v>0</v>
      </c>
      <c r="L102" s="1196"/>
    </row>
    <row r="103" spans="1:12" ht="18" customHeight="1" x14ac:dyDescent="0.35">
      <c r="A103" s="1175">
        <v>94</v>
      </c>
      <c r="B103" s="1186"/>
      <c r="C103" s="1197"/>
      <c r="D103" s="1296" t="s">
        <v>233</v>
      </c>
      <c r="E103" s="1218"/>
      <c r="F103" s="1219"/>
      <c r="G103" s="1220"/>
      <c r="H103" s="1221"/>
      <c r="I103" s="1207"/>
      <c r="J103" s="1208">
        <f>SUM(J101:J102)</f>
        <v>14000</v>
      </c>
      <c r="K103" s="1222">
        <f>SUM(E103:J103)</f>
        <v>14000</v>
      </c>
      <c r="L103" s="1196"/>
    </row>
    <row r="104" spans="1:12" ht="22.5" customHeight="1" x14ac:dyDescent="0.35">
      <c r="A104" s="1175">
        <v>95</v>
      </c>
      <c r="B104" s="1186"/>
      <c r="C104" s="1197"/>
      <c r="D104" s="1275" t="s">
        <v>42</v>
      </c>
      <c r="E104" s="1189"/>
      <c r="F104" s="1190"/>
      <c r="G104" s="1191"/>
      <c r="H104" s="1192" t="s">
        <v>106</v>
      </c>
      <c r="I104" s="1193"/>
      <c r="J104" s="1194"/>
      <c r="K104" s="1195"/>
      <c r="L104" s="1196"/>
    </row>
    <row r="105" spans="1:12" ht="34.5" customHeight="1" x14ac:dyDescent="0.3">
      <c r="A105" s="1175">
        <v>96</v>
      </c>
      <c r="B105" s="1186"/>
      <c r="C105" s="1187">
        <v>20</v>
      </c>
      <c r="D105" s="1374" t="s">
        <v>924</v>
      </c>
      <c r="E105" s="1189">
        <f>F105+G105+K109+L106</f>
        <v>6391</v>
      </c>
      <c r="F105" s="1190"/>
      <c r="G105" s="1191"/>
      <c r="H105" s="1192"/>
      <c r="I105" s="1193"/>
      <c r="J105" s="1194"/>
      <c r="K105" s="1195"/>
      <c r="L105" s="1196"/>
    </row>
    <row r="106" spans="1:12" ht="18" customHeight="1" x14ac:dyDescent="0.35">
      <c r="A106" s="1175">
        <v>97</v>
      </c>
      <c r="B106" s="1186"/>
      <c r="C106" s="1197"/>
      <c r="D106" s="1267" t="s">
        <v>230</v>
      </c>
      <c r="E106" s="1199"/>
      <c r="F106" s="1200"/>
      <c r="G106" s="1201"/>
      <c r="H106" s="1202"/>
      <c r="I106" s="1203"/>
      <c r="J106" s="1204">
        <f>2400+4500+1500</f>
        <v>8400</v>
      </c>
      <c r="K106" s="1205">
        <f>SUM(I106:J106)</f>
        <v>8400</v>
      </c>
      <c r="L106" s="1196"/>
    </row>
    <row r="107" spans="1:12" ht="18" customHeight="1" x14ac:dyDescent="0.35">
      <c r="A107" s="1175">
        <v>98</v>
      </c>
      <c r="B107" s="1186"/>
      <c r="C107" s="1197"/>
      <c r="D107" s="1296" t="s">
        <v>231</v>
      </c>
      <c r="E107" s="1199"/>
      <c r="F107" s="1200"/>
      <c r="G107" s="1201"/>
      <c r="H107" s="1202"/>
      <c r="I107" s="1207"/>
      <c r="J107" s="1208">
        <v>6391</v>
      </c>
      <c r="K107" s="1209">
        <f>SUM(I107:J107)</f>
        <v>6391</v>
      </c>
      <c r="L107" s="1196"/>
    </row>
    <row r="108" spans="1:12" ht="18" customHeight="1" x14ac:dyDescent="0.35">
      <c r="A108" s="1175">
        <v>99</v>
      </c>
      <c r="B108" s="1186"/>
      <c r="C108" s="1197"/>
      <c r="D108" s="1210" t="s">
        <v>245</v>
      </c>
      <c r="E108" s="1211"/>
      <c r="F108" s="1212"/>
      <c r="G108" s="1213"/>
      <c r="H108" s="1214"/>
      <c r="I108" s="1215"/>
      <c r="J108" s="1216"/>
      <c r="K108" s="1217">
        <f>SUM(E108:J108)</f>
        <v>0</v>
      </c>
      <c r="L108" s="1196"/>
    </row>
    <row r="109" spans="1:12" ht="18" customHeight="1" x14ac:dyDescent="0.35">
      <c r="A109" s="1175">
        <v>100</v>
      </c>
      <c r="B109" s="1186"/>
      <c r="C109" s="1197"/>
      <c r="D109" s="1296" t="s">
        <v>233</v>
      </c>
      <c r="E109" s="1218"/>
      <c r="F109" s="1219"/>
      <c r="G109" s="1220"/>
      <c r="H109" s="1221"/>
      <c r="I109" s="1207"/>
      <c r="J109" s="1208">
        <f>SUM(J107:J108)</f>
        <v>6391</v>
      </c>
      <c r="K109" s="1222">
        <f>SUM(E109:J109)</f>
        <v>6391</v>
      </c>
      <c r="L109" s="1196"/>
    </row>
    <row r="110" spans="1:12" ht="22.5" customHeight="1" x14ac:dyDescent="0.35">
      <c r="A110" s="1175">
        <v>101</v>
      </c>
      <c r="B110" s="1186"/>
      <c r="C110" s="1197"/>
      <c r="D110" s="1375" t="s">
        <v>925</v>
      </c>
      <c r="E110" s="1189"/>
      <c r="F110" s="1190"/>
      <c r="G110" s="1191"/>
      <c r="H110" s="1192" t="s">
        <v>106</v>
      </c>
      <c r="I110" s="1193"/>
      <c r="J110" s="1194"/>
      <c r="K110" s="1195"/>
      <c r="L110" s="1196"/>
    </row>
    <row r="111" spans="1:12" ht="22.5" customHeight="1" x14ac:dyDescent="0.3">
      <c r="A111" s="1175">
        <v>102</v>
      </c>
      <c r="B111" s="1186"/>
      <c r="C111" s="1197"/>
      <c r="D111" s="1376" t="s">
        <v>411</v>
      </c>
      <c r="E111" s="1189"/>
      <c r="F111" s="1190"/>
      <c r="G111" s="1191"/>
      <c r="H111" s="1192"/>
      <c r="I111" s="1193"/>
      <c r="J111" s="1194"/>
      <c r="K111" s="1195"/>
      <c r="L111" s="1196"/>
    </row>
    <row r="112" spans="1:12" ht="19.5" customHeight="1" x14ac:dyDescent="0.3">
      <c r="A112" s="1175">
        <v>103</v>
      </c>
      <c r="B112" s="1186"/>
      <c r="C112" s="1197"/>
      <c r="D112" s="1377" t="s">
        <v>926</v>
      </c>
      <c r="E112" s="1189"/>
      <c r="F112" s="1190"/>
      <c r="G112" s="1191"/>
      <c r="H112" s="1192"/>
      <c r="I112" s="1193"/>
      <c r="J112" s="1194"/>
      <c r="K112" s="1195"/>
      <c r="L112" s="1196"/>
    </row>
    <row r="113" spans="1:12" ht="19.5" customHeight="1" x14ac:dyDescent="0.3">
      <c r="A113" s="1175">
        <v>104</v>
      </c>
      <c r="B113" s="1186"/>
      <c r="C113" s="1197">
        <v>58</v>
      </c>
      <c r="D113" s="1374" t="s">
        <v>927</v>
      </c>
      <c r="E113" s="1189">
        <f>F113+G113+K117+L114</f>
        <v>1100</v>
      </c>
      <c r="F113" s="1190"/>
      <c r="G113" s="1191"/>
      <c r="H113" s="1192"/>
      <c r="I113" s="1193"/>
      <c r="J113" s="1194"/>
      <c r="K113" s="1195"/>
      <c r="L113" s="1196"/>
    </row>
    <row r="114" spans="1:12" ht="18" customHeight="1" x14ac:dyDescent="0.35">
      <c r="A114" s="1175">
        <v>105</v>
      </c>
      <c r="B114" s="1186"/>
      <c r="C114" s="1197"/>
      <c r="D114" s="1267" t="s">
        <v>230</v>
      </c>
      <c r="E114" s="1199"/>
      <c r="F114" s="1200"/>
      <c r="G114" s="1201"/>
      <c r="H114" s="1202"/>
      <c r="I114" s="1203"/>
      <c r="J114" s="1204">
        <v>1100</v>
      </c>
      <c r="K114" s="1205">
        <f>SUM(I114:J114)</f>
        <v>1100</v>
      </c>
      <c r="L114" s="1196"/>
    </row>
    <row r="115" spans="1:12" ht="18" customHeight="1" x14ac:dyDescent="0.35">
      <c r="A115" s="1175">
        <v>106</v>
      </c>
      <c r="B115" s="1186"/>
      <c r="C115" s="1197"/>
      <c r="D115" s="1296" t="s">
        <v>231</v>
      </c>
      <c r="E115" s="1199"/>
      <c r="F115" s="1200"/>
      <c r="G115" s="1201"/>
      <c r="H115" s="1202"/>
      <c r="I115" s="1207"/>
      <c r="J115" s="1208">
        <v>1100</v>
      </c>
      <c r="K115" s="1209">
        <f>SUM(I115:J115)</f>
        <v>1100</v>
      </c>
      <c r="L115" s="1196"/>
    </row>
    <row r="116" spans="1:12" ht="18" customHeight="1" x14ac:dyDescent="0.35">
      <c r="A116" s="1175">
        <v>107</v>
      </c>
      <c r="B116" s="1186"/>
      <c r="C116" s="1197"/>
      <c r="D116" s="1210" t="s">
        <v>245</v>
      </c>
      <c r="E116" s="1211"/>
      <c r="F116" s="1212"/>
      <c r="G116" s="1213"/>
      <c r="H116" s="1214"/>
      <c r="I116" s="1215"/>
      <c r="J116" s="1216"/>
      <c r="K116" s="1217">
        <f>SUM(E116:J116)</f>
        <v>0</v>
      </c>
      <c r="L116" s="1196"/>
    </row>
    <row r="117" spans="1:12" ht="18" customHeight="1" x14ac:dyDescent="0.35">
      <c r="A117" s="1175">
        <v>108</v>
      </c>
      <c r="B117" s="1186"/>
      <c r="C117" s="1197"/>
      <c r="D117" s="1296" t="s">
        <v>233</v>
      </c>
      <c r="E117" s="1218"/>
      <c r="F117" s="1219"/>
      <c r="G117" s="1220"/>
      <c r="H117" s="1221"/>
      <c r="I117" s="1207"/>
      <c r="J117" s="1208">
        <f>SUM(J115:J116)</f>
        <v>1100</v>
      </c>
      <c r="K117" s="1222">
        <f>SUM(E117:J117)</f>
        <v>1100</v>
      </c>
      <c r="L117" s="1196"/>
    </row>
    <row r="118" spans="1:12" ht="19.5" customHeight="1" x14ac:dyDescent="0.3">
      <c r="A118" s="1175">
        <v>109</v>
      </c>
      <c r="B118" s="1186"/>
      <c r="C118" s="1197">
        <v>59</v>
      </c>
      <c r="D118" s="1374" t="s">
        <v>928</v>
      </c>
      <c r="E118" s="1189">
        <f>F118+G118+K122+L119</f>
        <v>3000</v>
      </c>
      <c r="F118" s="1190"/>
      <c r="G118" s="1191"/>
      <c r="H118" s="1192"/>
      <c r="I118" s="1193"/>
      <c r="J118" s="1194"/>
      <c r="K118" s="1195"/>
      <c r="L118" s="1196"/>
    </row>
    <row r="119" spans="1:12" ht="18" customHeight="1" x14ac:dyDescent="0.35">
      <c r="A119" s="1175">
        <v>110</v>
      </c>
      <c r="B119" s="1186"/>
      <c r="C119" s="1197"/>
      <c r="D119" s="1267" t="s">
        <v>230</v>
      </c>
      <c r="E119" s="1199"/>
      <c r="F119" s="1200"/>
      <c r="G119" s="1201"/>
      <c r="H119" s="1202"/>
      <c r="I119" s="1203"/>
      <c r="J119" s="1204">
        <v>3000</v>
      </c>
      <c r="K119" s="1205">
        <f>SUM(I119:J119)</f>
        <v>3000</v>
      </c>
      <c r="L119" s="1196"/>
    </row>
    <row r="120" spans="1:12" ht="18" customHeight="1" x14ac:dyDescent="0.35">
      <c r="A120" s="1175">
        <v>111</v>
      </c>
      <c r="B120" s="1186"/>
      <c r="C120" s="1197"/>
      <c r="D120" s="1296" t="s">
        <v>231</v>
      </c>
      <c r="E120" s="1199"/>
      <c r="F120" s="1200"/>
      <c r="G120" s="1201"/>
      <c r="H120" s="1202"/>
      <c r="I120" s="1207"/>
      <c r="J120" s="1208">
        <v>3000</v>
      </c>
      <c r="K120" s="1209">
        <f>SUM(I120:J120)</f>
        <v>3000</v>
      </c>
      <c r="L120" s="1196"/>
    </row>
    <row r="121" spans="1:12" ht="18" customHeight="1" x14ac:dyDescent="0.35">
      <c r="A121" s="1175">
        <v>112</v>
      </c>
      <c r="B121" s="1186"/>
      <c r="C121" s="1197"/>
      <c r="D121" s="1210" t="s">
        <v>245</v>
      </c>
      <c r="E121" s="1211"/>
      <c r="F121" s="1212"/>
      <c r="G121" s="1213"/>
      <c r="H121" s="1214"/>
      <c r="I121" s="1215"/>
      <c r="J121" s="1216"/>
      <c r="K121" s="1217">
        <f>SUM(E121:J121)</f>
        <v>0</v>
      </c>
      <c r="L121" s="1196"/>
    </row>
    <row r="122" spans="1:12" ht="18" customHeight="1" x14ac:dyDescent="0.35">
      <c r="A122" s="1175">
        <v>113</v>
      </c>
      <c r="B122" s="1186"/>
      <c r="C122" s="1197"/>
      <c r="D122" s="1296" t="s">
        <v>233</v>
      </c>
      <c r="E122" s="1218"/>
      <c r="F122" s="1219"/>
      <c r="G122" s="1220"/>
      <c r="H122" s="1221"/>
      <c r="I122" s="1207"/>
      <c r="J122" s="1208">
        <f>SUM(J120:J121)</f>
        <v>3000</v>
      </c>
      <c r="K122" s="1222">
        <f>SUM(E122:J122)</f>
        <v>3000</v>
      </c>
      <c r="L122" s="1196"/>
    </row>
    <row r="123" spans="1:12" ht="33.75" customHeight="1" x14ac:dyDescent="0.3">
      <c r="A123" s="1175">
        <v>114</v>
      </c>
      <c r="B123" s="1186"/>
      <c r="C123" s="1187">
        <v>49</v>
      </c>
      <c r="D123" s="1374" t="s">
        <v>929</v>
      </c>
      <c r="E123" s="1189">
        <f>F123+G123+K127+L124</f>
        <v>3150</v>
      </c>
      <c r="F123" s="1190"/>
      <c r="G123" s="1191"/>
      <c r="H123" s="1192"/>
      <c r="I123" s="1193"/>
      <c r="J123" s="1194"/>
      <c r="K123" s="1195"/>
      <c r="L123" s="1196"/>
    </row>
    <row r="124" spans="1:12" ht="18" customHeight="1" x14ac:dyDescent="0.35">
      <c r="A124" s="1175">
        <v>115</v>
      </c>
      <c r="B124" s="1186"/>
      <c r="C124" s="1197"/>
      <c r="D124" s="1267" t="s">
        <v>230</v>
      </c>
      <c r="E124" s="1199"/>
      <c r="F124" s="1200"/>
      <c r="G124" s="1201"/>
      <c r="H124" s="1202"/>
      <c r="I124" s="1203"/>
      <c r="J124" s="1204">
        <v>3150</v>
      </c>
      <c r="K124" s="1205">
        <f>SUM(I124:J124)</f>
        <v>3150</v>
      </c>
      <c r="L124" s="1196"/>
    </row>
    <row r="125" spans="1:12" ht="18" customHeight="1" x14ac:dyDescent="0.35">
      <c r="A125" s="1175">
        <v>116</v>
      </c>
      <c r="B125" s="1186"/>
      <c r="C125" s="1197"/>
      <c r="D125" s="1296" t="s">
        <v>231</v>
      </c>
      <c r="E125" s="1199"/>
      <c r="F125" s="1200"/>
      <c r="G125" s="1201"/>
      <c r="H125" s="1202"/>
      <c r="I125" s="1207"/>
      <c r="J125" s="1208">
        <v>3150</v>
      </c>
      <c r="K125" s="1209">
        <f>SUM(I125:J125)</f>
        <v>3150</v>
      </c>
      <c r="L125" s="1196"/>
    </row>
    <row r="126" spans="1:12" ht="18" customHeight="1" x14ac:dyDescent="0.35">
      <c r="A126" s="1175">
        <v>117</v>
      </c>
      <c r="B126" s="1186"/>
      <c r="C126" s="1197"/>
      <c r="D126" s="1210" t="s">
        <v>245</v>
      </c>
      <c r="E126" s="1211"/>
      <c r="F126" s="1212"/>
      <c r="G126" s="1213"/>
      <c r="H126" s="1214"/>
      <c r="I126" s="1215"/>
      <c r="J126" s="1216"/>
      <c r="K126" s="1217">
        <f>SUM(E126:J126)</f>
        <v>0</v>
      </c>
      <c r="L126" s="1196"/>
    </row>
    <row r="127" spans="1:12" ht="18" customHeight="1" x14ac:dyDescent="0.35">
      <c r="A127" s="1175">
        <v>118</v>
      </c>
      <c r="B127" s="1186"/>
      <c r="C127" s="1197"/>
      <c r="D127" s="1296" t="s">
        <v>233</v>
      </c>
      <c r="E127" s="1218"/>
      <c r="F127" s="1219"/>
      <c r="G127" s="1220"/>
      <c r="H127" s="1221"/>
      <c r="I127" s="1207"/>
      <c r="J127" s="1208">
        <f>SUM(J125:J126)</f>
        <v>3150</v>
      </c>
      <c r="K127" s="1222">
        <f>SUM(E127:J127)</f>
        <v>3150</v>
      </c>
      <c r="L127" s="1196"/>
    </row>
    <row r="128" spans="1:12" ht="18" customHeight="1" x14ac:dyDescent="0.3">
      <c r="A128" s="1175">
        <v>119</v>
      </c>
      <c r="B128" s="1186"/>
      <c r="C128" s="1197"/>
      <c r="D128" s="1377" t="s">
        <v>62</v>
      </c>
      <c r="E128" s="1189"/>
      <c r="F128" s="1190"/>
      <c r="G128" s="1191"/>
      <c r="H128" s="1192"/>
      <c r="I128" s="1193"/>
      <c r="J128" s="1194"/>
      <c r="K128" s="1195"/>
      <c r="L128" s="1196"/>
    </row>
    <row r="129" spans="1:12" ht="19.5" customHeight="1" x14ac:dyDescent="0.3">
      <c r="A129" s="1175">
        <v>120</v>
      </c>
      <c r="B129" s="1186"/>
      <c r="C129" s="1197">
        <v>60</v>
      </c>
      <c r="D129" s="1374" t="s">
        <v>930</v>
      </c>
      <c r="E129" s="1189">
        <f>F129+G129+K133+L130</f>
        <v>8500</v>
      </c>
      <c r="F129" s="1190"/>
      <c r="G129" s="1191"/>
      <c r="H129" s="1192"/>
      <c r="I129" s="1193"/>
      <c r="J129" s="1194"/>
      <c r="K129" s="1195"/>
      <c r="L129" s="1196"/>
    </row>
    <row r="130" spans="1:12" ht="18" customHeight="1" x14ac:dyDescent="0.35">
      <c r="A130" s="1175">
        <v>121</v>
      </c>
      <c r="B130" s="1186"/>
      <c r="C130" s="1197"/>
      <c r="D130" s="1267" t="s">
        <v>230</v>
      </c>
      <c r="E130" s="1199"/>
      <c r="F130" s="1200"/>
      <c r="G130" s="1201"/>
      <c r="H130" s="1202"/>
      <c r="I130" s="1203"/>
      <c r="J130" s="1204">
        <v>8500</v>
      </c>
      <c r="K130" s="1205">
        <f>SUM(I130:J130)</f>
        <v>8500</v>
      </c>
      <c r="L130" s="1196"/>
    </row>
    <row r="131" spans="1:12" ht="18" customHeight="1" x14ac:dyDescent="0.35">
      <c r="A131" s="1175">
        <v>122</v>
      </c>
      <c r="B131" s="1186"/>
      <c r="C131" s="1197"/>
      <c r="D131" s="1296" t="s">
        <v>231</v>
      </c>
      <c r="E131" s="1199"/>
      <c r="F131" s="1200"/>
      <c r="G131" s="1201"/>
      <c r="H131" s="1202"/>
      <c r="I131" s="1207"/>
      <c r="J131" s="1208">
        <v>8500</v>
      </c>
      <c r="K131" s="1209">
        <f>SUM(I131:J131)</f>
        <v>8500</v>
      </c>
      <c r="L131" s="1196"/>
    </row>
    <row r="132" spans="1:12" ht="18" customHeight="1" x14ac:dyDescent="0.35">
      <c r="A132" s="1175">
        <v>123</v>
      </c>
      <c r="B132" s="1186"/>
      <c r="C132" s="1197"/>
      <c r="D132" s="1210" t="s">
        <v>245</v>
      </c>
      <c r="E132" s="1211"/>
      <c r="F132" s="1212"/>
      <c r="G132" s="1213"/>
      <c r="H132" s="1214"/>
      <c r="I132" s="1215"/>
      <c r="J132" s="1216"/>
      <c r="K132" s="1217">
        <f>SUM(E132:J132)</f>
        <v>0</v>
      </c>
      <c r="L132" s="1196"/>
    </row>
    <row r="133" spans="1:12" ht="18" customHeight="1" x14ac:dyDescent="0.35">
      <c r="A133" s="1175">
        <v>124</v>
      </c>
      <c r="B133" s="1186"/>
      <c r="C133" s="1197"/>
      <c r="D133" s="1296" t="s">
        <v>233</v>
      </c>
      <c r="E133" s="1218"/>
      <c r="F133" s="1219"/>
      <c r="G133" s="1220"/>
      <c r="H133" s="1221"/>
      <c r="I133" s="1207"/>
      <c r="J133" s="1208">
        <f>SUM(J131:J132)</f>
        <v>8500</v>
      </c>
      <c r="K133" s="1222">
        <f>SUM(E133:J133)</f>
        <v>8500</v>
      </c>
      <c r="L133" s="1196"/>
    </row>
    <row r="134" spans="1:12" ht="19.5" customHeight="1" x14ac:dyDescent="0.3">
      <c r="A134" s="1175">
        <v>125</v>
      </c>
      <c r="B134" s="1186"/>
      <c r="C134" s="1197">
        <v>61</v>
      </c>
      <c r="D134" s="1374" t="s">
        <v>931</v>
      </c>
      <c r="E134" s="1189">
        <f>F134+G134+K138+L135</f>
        <v>34500</v>
      </c>
      <c r="F134" s="1190"/>
      <c r="G134" s="1191"/>
      <c r="H134" s="1192"/>
      <c r="I134" s="1193"/>
      <c r="J134" s="1194"/>
      <c r="K134" s="1195"/>
      <c r="L134" s="1196"/>
    </row>
    <row r="135" spans="1:12" ht="18" customHeight="1" x14ac:dyDescent="0.35">
      <c r="A135" s="1175">
        <v>126</v>
      </c>
      <c r="B135" s="1186"/>
      <c r="C135" s="1197"/>
      <c r="D135" s="1267" t="s">
        <v>230</v>
      </c>
      <c r="E135" s="1199"/>
      <c r="F135" s="1200"/>
      <c r="G135" s="1201"/>
      <c r="H135" s="1202"/>
      <c r="I135" s="1203"/>
      <c r="J135" s="1204">
        <v>34500</v>
      </c>
      <c r="K135" s="1205">
        <f>SUM(I135:J135)</f>
        <v>34500</v>
      </c>
      <c r="L135" s="1196"/>
    </row>
    <row r="136" spans="1:12" ht="18" customHeight="1" x14ac:dyDescent="0.35">
      <c r="A136" s="1175">
        <v>127</v>
      </c>
      <c r="B136" s="1186"/>
      <c r="C136" s="1197"/>
      <c r="D136" s="1296" t="s">
        <v>231</v>
      </c>
      <c r="E136" s="1199"/>
      <c r="F136" s="1200"/>
      <c r="G136" s="1201"/>
      <c r="H136" s="1202"/>
      <c r="I136" s="1207"/>
      <c r="J136" s="1208">
        <v>34500</v>
      </c>
      <c r="K136" s="1209">
        <f>SUM(I136:J136)</f>
        <v>34500</v>
      </c>
      <c r="L136" s="1196"/>
    </row>
    <row r="137" spans="1:12" ht="18" customHeight="1" x14ac:dyDescent="0.35">
      <c r="A137" s="1175">
        <v>128</v>
      </c>
      <c r="B137" s="1186"/>
      <c r="C137" s="1197"/>
      <c r="D137" s="1210" t="s">
        <v>245</v>
      </c>
      <c r="E137" s="1211"/>
      <c r="F137" s="1212"/>
      <c r="G137" s="1213"/>
      <c r="H137" s="1214"/>
      <c r="I137" s="1215"/>
      <c r="J137" s="1216"/>
      <c r="K137" s="1217">
        <f>SUM(E137:J137)</f>
        <v>0</v>
      </c>
      <c r="L137" s="1196"/>
    </row>
    <row r="138" spans="1:12" ht="18" customHeight="1" x14ac:dyDescent="0.35">
      <c r="A138" s="1175">
        <v>129</v>
      </c>
      <c r="B138" s="1186"/>
      <c r="C138" s="1197"/>
      <c r="D138" s="1296" t="s">
        <v>233</v>
      </c>
      <c r="E138" s="1218"/>
      <c r="F138" s="1219"/>
      <c r="G138" s="1220"/>
      <c r="H138" s="1221"/>
      <c r="I138" s="1207"/>
      <c r="J138" s="1208">
        <f>SUM(J136:J137)</f>
        <v>34500</v>
      </c>
      <c r="K138" s="1222">
        <f>SUM(E138:J138)</f>
        <v>34500</v>
      </c>
      <c r="L138" s="1196"/>
    </row>
    <row r="139" spans="1:12" ht="19.5" customHeight="1" x14ac:dyDescent="0.3">
      <c r="A139" s="1175">
        <v>130</v>
      </c>
      <c r="B139" s="1186"/>
      <c r="C139" s="1197">
        <v>62</v>
      </c>
      <c r="D139" s="1374" t="s">
        <v>932</v>
      </c>
      <c r="E139" s="1189">
        <f>F139+G139+K143+L140</f>
        <v>5000</v>
      </c>
      <c r="F139" s="1190"/>
      <c r="G139" s="1191"/>
      <c r="H139" s="1192"/>
      <c r="I139" s="1193"/>
      <c r="J139" s="1194"/>
      <c r="K139" s="1195"/>
      <c r="L139" s="1196"/>
    </row>
    <row r="140" spans="1:12" ht="18" customHeight="1" x14ac:dyDescent="0.35">
      <c r="A140" s="1175">
        <v>131</v>
      </c>
      <c r="B140" s="1186"/>
      <c r="C140" s="1197"/>
      <c r="D140" s="1267" t="s">
        <v>230</v>
      </c>
      <c r="E140" s="1199"/>
      <c r="F140" s="1200"/>
      <c r="G140" s="1201"/>
      <c r="H140" s="1202"/>
      <c r="I140" s="1203"/>
      <c r="J140" s="1204">
        <v>5000</v>
      </c>
      <c r="K140" s="1205">
        <f>SUM(I140:J140)</f>
        <v>5000</v>
      </c>
      <c r="L140" s="1196"/>
    </row>
    <row r="141" spans="1:12" ht="18" customHeight="1" x14ac:dyDescent="0.35">
      <c r="A141" s="1175">
        <v>132</v>
      </c>
      <c r="B141" s="1186"/>
      <c r="C141" s="1197"/>
      <c r="D141" s="1296" t="s">
        <v>231</v>
      </c>
      <c r="E141" s="1199"/>
      <c r="F141" s="1200"/>
      <c r="G141" s="1201"/>
      <c r="H141" s="1202"/>
      <c r="I141" s="1207"/>
      <c r="J141" s="1208">
        <v>5000</v>
      </c>
      <c r="K141" s="1209">
        <f>SUM(I141:J141)</f>
        <v>5000</v>
      </c>
      <c r="L141" s="1196"/>
    </row>
    <row r="142" spans="1:12" ht="18" customHeight="1" x14ac:dyDescent="0.35">
      <c r="A142" s="1175">
        <v>133</v>
      </c>
      <c r="B142" s="1186"/>
      <c r="C142" s="1197"/>
      <c r="D142" s="1210" t="s">
        <v>245</v>
      </c>
      <c r="E142" s="1211"/>
      <c r="F142" s="1212"/>
      <c r="G142" s="1213"/>
      <c r="H142" s="1214"/>
      <c r="I142" s="1215"/>
      <c r="J142" s="1216"/>
      <c r="K142" s="1217">
        <f>SUM(E142:J142)</f>
        <v>0</v>
      </c>
      <c r="L142" s="1196"/>
    </row>
    <row r="143" spans="1:12" ht="18" customHeight="1" x14ac:dyDescent="0.35">
      <c r="A143" s="1175">
        <v>134</v>
      </c>
      <c r="B143" s="1186"/>
      <c r="C143" s="1197"/>
      <c r="D143" s="1296" t="s">
        <v>233</v>
      </c>
      <c r="E143" s="1218"/>
      <c r="F143" s="1219"/>
      <c r="G143" s="1220"/>
      <c r="H143" s="1221"/>
      <c r="I143" s="1207"/>
      <c r="J143" s="1208">
        <f>SUM(J141:J142)</f>
        <v>5000</v>
      </c>
      <c r="K143" s="1222">
        <f>SUM(E143:J143)</f>
        <v>5000</v>
      </c>
      <c r="L143" s="1196"/>
    </row>
    <row r="144" spans="1:12" ht="18" customHeight="1" x14ac:dyDescent="0.3">
      <c r="A144" s="1175">
        <v>135</v>
      </c>
      <c r="B144" s="1186"/>
      <c r="C144" s="1197"/>
      <c r="D144" s="1377" t="s">
        <v>933</v>
      </c>
      <c r="E144" s="1189"/>
      <c r="F144" s="1190"/>
      <c r="G144" s="1191"/>
      <c r="H144" s="1192"/>
      <c r="I144" s="1193"/>
      <c r="J144" s="1194"/>
      <c r="K144" s="1195"/>
      <c r="L144" s="1196"/>
    </row>
    <row r="145" spans="1:12" ht="19.5" customHeight="1" x14ac:dyDescent="0.3">
      <c r="A145" s="1175">
        <v>136</v>
      </c>
      <c r="B145" s="1186"/>
      <c r="C145" s="1197">
        <v>63</v>
      </c>
      <c r="D145" s="1374" t="s">
        <v>934</v>
      </c>
      <c r="E145" s="1189">
        <f>F145+G145+K149+L146</f>
        <v>16500</v>
      </c>
      <c r="F145" s="1190"/>
      <c r="G145" s="1191"/>
      <c r="H145" s="1192"/>
      <c r="I145" s="1193"/>
      <c r="J145" s="1194"/>
      <c r="K145" s="1195"/>
      <c r="L145" s="1196"/>
    </row>
    <row r="146" spans="1:12" ht="18" customHeight="1" x14ac:dyDescent="0.35">
      <c r="A146" s="1175">
        <v>137</v>
      </c>
      <c r="B146" s="1186"/>
      <c r="C146" s="1197"/>
      <c r="D146" s="1267" t="s">
        <v>230</v>
      </c>
      <c r="E146" s="1199"/>
      <c r="F146" s="1200"/>
      <c r="G146" s="1201"/>
      <c r="H146" s="1202"/>
      <c r="I146" s="1203"/>
      <c r="J146" s="1204">
        <v>16500</v>
      </c>
      <c r="K146" s="1205">
        <f>SUM(I146:J146)</f>
        <v>16500</v>
      </c>
      <c r="L146" s="1196"/>
    </row>
    <row r="147" spans="1:12" ht="18" customHeight="1" x14ac:dyDescent="0.35">
      <c r="A147" s="1175">
        <v>138</v>
      </c>
      <c r="B147" s="1186"/>
      <c r="C147" s="1197"/>
      <c r="D147" s="1296" t="s">
        <v>231</v>
      </c>
      <c r="E147" s="1199"/>
      <c r="F147" s="1200"/>
      <c r="G147" s="1201"/>
      <c r="H147" s="1202"/>
      <c r="I147" s="1207"/>
      <c r="J147" s="1208">
        <v>16500</v>
      </c>
      <c r="K147" s="1209">
        <f>SUM(I147:J147)</f>
        <v>16500</v>
      </c>
      <c r="L147" s="1196"/>
    </row>
    <row r="148" spans="1:12" ht="18" customHeight="1" x14ac:dyDescent="0.35">
      <c r="A148" s="1175">
        <v>139</v>
      </c>
      <c r="B148" s="1186"/>
      <c r="C148" s="1197"/>
      <c r="D148" s="1210" t="s">
        <v>245</v>
      </c>
      <c r="E148" s="1211"/>
      <c r="F148" s="1212"/>
      <c r="G148" s="1213"/>
      <c r="H148" s="1214"/>
      <c r="I148" s="1215"/>
      <c r="J148" s="1216"/>
      <c r="K148" s="1217">
        <f>SUM(E148:J148)</f>
        <v>0</v>
      </c>
      <c r="L148" s="1196"/>
    </row>
    <row r="149" spans="1:12" ht="18" customHeight="1" x14ac:dyDescent="0.35">
      <c r="A149" s="1175">
        <v>140</v>
      </c>
      <c r="B149" s="1186"/>
      <c r="C149" s="1197"/>
      <c r="D149" s="1296" t="s">
        <v>233</v>
      </c>
      <c r="E149" s="1218"/>
      <c r="F149" s="1219"/>
      <c r="G149" s="1220"/>
      <c r="H149" s="1221"/>
      <c r="I149" s="1207"/>
      <c r="J149" s="1208">
        <f>SUM(J147:J148)</f>
        <v>16500</v>
      </c>
      <c r="K149" s="1222">
        <f>SUM(E149:J149)</f>
        <v>16500</v>
      </c>
      <c r="L149" s="1196"/>
    </row>
    <row r="150" spans="1:12" ht="22.5" customHeight="1" x14ac:dyDescent="0.35">
      <c r="A150" s="1175">
        <v>141</v>
      </c>
      <c r="B150" s="1186"/>
      <c r="C150" s="1197"/>
      <c r="D150" s="1375" t="s">
        <v>935</v>
      </c>
      <c r="E150" s="1189"/>
      <c r="F150" s="1190"/>
      <c r="G150" s="1191"/>
      <c r="H150" s="1192" t="s">
        <v>106</v>
      </c>
      <c r="I150" s="1193"/>
      <c r="J150" s="1194"/>
      <c r="K150" s="1195"/>
      <c r="L150" s="1196"/>
    </row>
    <row r="151" spans="1:12" ht="19.5" customHeight="1" x14ac:dyDescent="0.3">
      <c r="A151" s="1175">
        <v>142</v>
      </c>
      <c r="B151" s="1186"/>
      <c r="C151" s="1197">
        <v>64</v>
      </c>
      <c r="D151" s="1374" t="s">
        <v>936</v>
      </c>
      <c r="E151" s="1189">
        <f>F151+G151+K155+L152</f>
        <v>10500</v>
      </c>
      <c r="F151" s="1190"/>
      <c r="G151" s="1191"/>
      <c r="H151" s="1192"/>
      <c r="I151" s="1193"/>
      <c r="J151" s="1194"/>
      <c r="K151" s="1195"/>
      <c r="L151" s="1196"/>
    </row>
    <row r="152" spans="1:12" ht="18" customHeight="1" x14ac:dyDescent="0.35">
      <c r="A152" s="1175">
        <v>143</v>
      </c>
      <c r="B152" s="1186"/>
      <c r="C152" s="1197"/>
      <c r="D152" s="1267" t="s">
        <v>230</v>
      </c>
      <c r="E152" s="1199"/>
      <c r="F152" s="1200"/>
      <c r="G152" s="1201"/>
      <c r="H152" s="1202"/>
      <c r="I152" s="1203"/>
      <c r="J152" s="1204">
        <f>8500+2000</f>
        <v>10500</v>
      </c>
      <c r="K152" s="1205">
        <f>SUM(I152:J152)</f>
        <v>10500</v>
      </c>
      <c r="L152" s="1196"/>
    </row>
    <row r="153" spans="1:12" ht="18" customHeight="1" x14ac:dyDescent="0.35">
      <c r="A153" s="1175">
        <v>144</v>
      </c>
      <c r="B153" s="1186"/>
      <c r="C153" s="1197"/>
      <c r="D153" s="1296" t="s">
        <v>231</v>
      </c>
      <c r="E153" s="1199"/>
      <c r="F153" s="1200"/>
      <c r="G153" s="1201"/>
      <c r="H153" s="1202"/>
      <c r="I153" s="1207"/>
      <c r="J153" s="1208">
        <v>10500</v>
      </c>
      <c r="K153" s="1209">
        <f>SUM(I153:J153)</f>
        <v>10500</v>
      </c>
      <c r="L153" s="1196"/>
    </row>
    <row r="154" spans="1:12" ht="18" customHeight="1" x14ac:dyDescent="0.35">
      <c r="A154" s="1175">
        <v>145</v>
      </c>
      <c r="B154" s="1186"/>
      <c r="C154" s="1197"/>
      <c r="D154" s="1210" t="s">
        <v>245</v>
      </c>
      <c r="E154" s="1211"/>
      <c r="F154" s="1212"/>
      <c r="G154" s="1213"/>
      <c r="H154" s="1214"/>
      <c r="I154" s="1215"/>
      <c r="J154" s="1216"/>
      <c r="K154" s="1217">
        <f>SUM(E154:J154)</f>
        <v>0</v>
      </c>
      <c r="L154" s="1196"/>
    </row>
    <row r="155" spans="1:12" ht="18" customHeight="1" x14ac:dyDescent="0.35">
      <c r="A155" s="1175">
        <v>146</v>
      </c>
      <c r="B155" s="1186"/>
      <c r="C155" s="1197"/>
      <c r="D155" s="1296" t="s">
        <v>233</v>
      </c>
      <c r="E155" s="1218"/>
      <c r="F155" s="1219"/>
      <c r="G155" s="1220"/>
      <c r="H155" s="1221"/>
      <c r="I155" s="1207"/>
      <c r="J155" s="1208">
        <f>SUM(J153:J154)</f>
        <v>10500</v>
      </c>
      <c r="K155" s="1222">
        <f>SUM(E155:J155)</f>
        <v>10500</v>
      </c>
      <c r="L155" s="1196"/>
    </row>
    <row r="156" spans="1:12" ht="19.5" customHeight="1" x14ac:dyDescent="0.3">
      <c r="A156" s="1175">
        <v>147</v>
      </c>
      <c r="B156" s="1186"/>
      <c r="C156" s="1197">
        <v>65</v>
      </c>
      <c r="D156" s="1374" t="s">
        <v>937</v>
      </c>
      <c r="E156" s="1189">
        <f>F156+G156+K160+L157</f>
        <v>4000</v>
      </c>
      <c r="F156" s="1190"/>
      <c r="G156" s="1191"/>
      <c r="H156" s="1192"/>
      <c r="I156" s="1193"/>
      <c r="J156" s="1194"/>
      <c r="K156" s="1195"/>
      <c r="L156" s="1196"/>
    </row>
    <row r="157" spans="1:12" ht="18" customHeight="1" x14ac:dyDescent="0.35">
      <c r="A157" s="1175">
        <v>148</v>
      </c>
      <c r="B157" s="1186"/>
      <c r="C157" s="1197"/>
      <c r="D157" s="1267" t="s">
        <v>230</v>
      </c>
      <c r="E157" s="1199"/>
      <c r="F157" s="1200"/>
      <c r="G157" s="1201"/>
      <c r="H157" s="1202"/>
      <c r="I157" s="1203"/>
      <c r="J157" s="1204">
        <v>4000</v>
      </c>
      <c r="K157" s="1205">
        <f>SUM(I157:J157)</f>
        <v>4000</v>
      </c>
      <c r="L157" s="1196"/>
    </row>
    <row r="158" spans="1:12" ht="18" customHeight="1" x14ac:dyDescent="0.35">
      <c r="A158" s="1175">
        <v>149</v>
      </c>
      <c r="B158" s="1186"/>
      <c r="C158" s="1197"/>
      <c r="D158" s="1296" t="s">
        <v>231</v>
      </c>
      <c r="E158" s="1199"/>
      <c r="F158" s="1200"/>
      <c r="G158" s="1201"/>
      <c r="H158" s="1202"/>
      <c r="I158" s="1207"/>
      <c r="J158" s="1208">
        <v>4000</v>
      </c>
      <c r="K158" s="1209">
        <f>SUM(I158:J158)</f>
        <v>4000</v>
      </c>
      <c r="L158" s="1196"/>
    </row>
    <row r="159" spans="1:12" ht="18" customHeight="1" x14ac:dyDescent="0.35">
      <c r="A159" s="1175">
        <v>150</v>
      </c>
      <c r="B159" s="1186"/>
      <c r="C159" s="1197"/>
      <c r="D159" s="1210" t="s">
        <v>245</v>
      </c>
      <c r="E159" s="1211"/>
      <c r="F159" s="1212"/>
      <c r="G159" s="1213"/>
      <c r="H159" s="1214"/>
      <c r="I159" s="1215"/>
      <c r="J159" s="1216"/>
      <c r="K159" s="1217">
        <f>SUM(E159:J159)</f>
        <v>0</v>
      </c>
      <c r="L159" s="1196"/>
    </row>
    <row r="160" spans="1:12" ht="18" customHeight="1" x14ac:dyDescent="0.35">
      <c r="A160" s="1175">
        <v>151</v>
      </c>
      <c r="B160" s="1186"/>
      <c r="C160" s="1197"/>
      <c r="D160" s="1296" t="s">
        <v>233</v>
      </c>
      <c r="E160" s="1218"/>
      <c r="F160" s="1219"/>
      <c r="G160" s="1220"/>
      <c r="H160" s="1221"/>
      <c r="I160" s="1207"/>
      <c r="J160" s="1208">
        <f>SUM(J158:J159)</f>
        <v>4000</v>
      </c>
      <c r="K160" s="1222">
        <f>SUM(E160:J160)</f>
        <v>4000</v>
      </c>
      <c r="L160" s="1196"/>
    </row>
    <row r="161" spans="1:12" ht="19.5" customHeight="1" x14ac:dyDescent="0.3">
      <c r="A161" s="1175">
        <v>152</v>
      </c>
      <c r="B161" s="1186"/>
      <c r="C161" s="1197">
        <v>66</v>
      </c>
      <c r="D161" s="1374" t="s">
        <v>938</v>
      </c>
      <c r="E161" s="1189">
        <f>F161+G161+K165+L162</f>
        <v>4200</v>
      </c>
      <c r="F161" s="1190"/>
      <c r="G161" s="1191"/>
      <c r="H161" s="1192"/>
      <c r="I161" s="1193"/>
      <c r="J161" s="1194"/>
      <c r="K161" s="1195"/>
      <c r="L161" s="1196"/>
    </row>
    <row r="162" spans="1:12" ht="18" customHeight="1" x14ac:dyDescent="0.35">
      <c r="A162" s="1175">
        <v>153</v>
      </c>
      <c r="B162" s="1186"/>
      <c r="C162" s="1197"/>
      <c r="D162" s="1267" t="s">
        <v>230</v>
      </c>
      <c r="E162" s="1199"/>
      <c r="F162" s="1200"/>
      <c r="G162" s="1201"/>
      <c r="H162" s="1202"/>
      <c r="I162" s="1203"/>
      <c r="J162" s="1204">
        <f>6200-2000</f>
        <v>4200</v>
      </c>
      <c r="K162" s="1205">
        <f>SUM(I162:J162)</f>
        <v>4200</v>
      </c>
      <c r="L162" s="1196"/>
    </row>
    <row r="163" spans="1:12" ht="18" customHeight="1" x14ac:dyDescent="0.35">
      <c r="A163" s="1175">
        <v>154</v>
      </c>
      <c r="B163" s="1186"/>
      <c r="C163" s="1197"/>
      <c r="D163" s="1296" t="s">
        <v>231</v>
      </c>
      <c r="E163" s="1199"/>
      <c r="F163" s="1200"/>
      <c r="G163" s="1201"/>
      <c r="H163" s="1202"/>
      <c r="I163" s="1207"/>
      <c r="J163" s="1208">
        <v>4200</v>
      </c>
      <c r="K163" s="1209">
        <f>SUM(I163:J163)</f>
        <v>4200</v>
      </c>
      <c r="L163" s="1196"/>
    </row>
    <row r="164" spans="1:12" ht="18" customHeight="1" x14ac:dyDescent="0.35">
      <c r="A164" s="1175">
        <v>155</v>
      </c>
      <c r="B164" s="1186"/>
      <c r="C164" s="1197"/>
      <c r="D164" s="1210" t="s">
        <v>245</v>
      </c>
      <c r="E164" s="1211"/>
      <c r="F164" s="1212"/>
      <c r="G164" s="1213"/>
      <c r="H164" s="1214"/>
      <c r="I164" s="1215"/>
      <c r="J164" s="1216"/>
      <c r="K164" s="1217">
        <f>SUM(E164:J164)</f>
        <v>0</v>
      </c>
      <c r="L164" s="1196"/>
    </row>
    <row r="165" spans="1:12" ht="18" customHeight="1" x14ac:dyDescent="0.35">
      <c r="A165" s="1175">
        <v>156</v>
      </c>
      <c r="B165" s="1186"/>
      <c r="C165" s="1197"/>
      <c r="D165" s="1296" t="s">
        <v>233</v>
      </c>
      <c r="E165" s="1218"/>
      <c r="F165" s="1219"/>
      <c r="G165" s="1220"/>
      <c r="H165" s="1221"/>
      <c r="I165" s="1207"/>
      <c r="J165" s="1208">
        <f>SUM(J163:J164)</f>
        <v>4200</v>
      </c>
      <c r="K165" s="1222">
        <f>SUM(E165:J165)</f>
        <v>4200</v>
      </c>
      <c r="L165" s="1196"/>
    </row>
    <row r="166" spans="1:12" ht="19.5" customHeight="1" x14ac:dyDescent="0.3">
      <c r="A166" s="1175">
        <v>157</v>
      </c>
      <c r="B166" s="1186"/>
      <c r="C166" s="1197">
        <v>67</v>
      </c>
      <c r="D166" s="1374" t="s">
        <v>939</v>
      </c>
      <c r="E166" s="1189">
        <f>F166+G166+K170+L167</f>
        <v>41000</v>
      </c>
      <c r="F166" s="1190"/>
      <c r="G166" s="1191"/>
      <c r="H166" s="1192"/>
      <c r="I166" s="1193"/>
      <c r="J166" s="1194"/>
      <c r="K166" s="1195"/>
      <c r="L166" s="1196"/>
    </row>
    <row r="167" spans="1:12" ht="18" customHeight="1" x14ac:dyDescent="0.35">
      <c r="A167" s="1175">
        <v>158</v>
      </c>
      <c r="B167" s="1186"/>
      <c r="C167" s="1197"/>
      <c r="D167" s="1267" t="s">
        <v>230</v>
      </c>
      <c r="E167" s="1199"/>
      <c r="F167" s="1200"/>
      <c r="G167" s="1201"/>
      <c r="H167" s="1202"/>
      <c r="I167" s="1203"/>
      <c r="J167" s="1204">
        <v>41000</v>
      </c>
      <c r="K167" s="1205">
        <f>SUM(I167:J167)</f>
        <v>41000</v>
      </c>
      <c r="L167" s="1196"/>
    </row>
    <row r="168" spans="1:12" ht="18" customHeight="1" x14ac:dyDescent="0.35">
      <c r="A168" s="1175">
        <v>159</v>
      </c>
      <c r="B168" s="1186"/>
      <c r="C168" s="1197"/>
      <c r="D168" s="1296" t="s">
        <v>231</v>
      </c>
      <c r="E168" s="1199"/>
      <c r="F168" s="1200"/>
      <c r="G168" s="1201"/>
      <c r="H168" s="1202"/>
      <c r="I168" s="1207"/>
      <c r="J168" s="1208">
        <v>41000</v>
      </c>
      <c r="K168" s="1209">
        <f>SUM(I168:J168)</f>
        <v>41000</v>
      </c>
      <c r="L168" s="1196"/>
    </row>
    <row r="169" spans="1:12" ht="18" customHeight="1" x14ac:dyDescent="0.35">
      <c r="A169" s="1175">
        <v>160</v>
      </c>
      <c r="B169" s="1186"/>
      <c r="C169" s="1197"/>
      <c r="D169" s="1210" t="s">
        <v>245</v>
      </c>
      <c r="E169" s="1211"/>
      <c r="F169" s="1212"/>
      <c r="G169" s="1213"/>
      <c r="H169" s="1214"/>
      <c r="I169" s="1215"/>
      <c r="J169" s="1216"/>
      <c r="K169" s="1217">
        <f>SUM(E169:J169)</f>
        <v>0</v>
      </c>
      <c r="L169" s="1196"/>
    </row>
    <row r="170" spans="1:12" ht="18" customHeight="1" x14ac:dyDescent="0.35">
      <c r="A170" s="1175">
        <v>161</v>
      </c>
      <c r="B170" s="1186"/>
      <c r="C170" s="1197"/>
      <c r="D170" s="1296" t="s">
        <v>233</v>
      </c>
      <c r="E170" s="1218"/>
      <c r="F170" s="1219"/>
      <c r="G170" s="1220"/>
      <c r="H170" s="1221"/>
      <c r="I170" s="1207"/>
      <c r="J170" s="1208">
        <f>SUM(J168:J169)</f>
        <v>41000</v>
      </c>
      <c r="K170" s="1222">
        <f>SUM(E170:J170)</f>
        <v>41000</v>
      </c>
      <c r="L170" s="1196"/>
    </row>
    <row r="171" spans="1:12" ht="22.5" customHeight="1" x14ac:dyDescent="0.35">
      <c r="A171" s="1175">
        <v>162</v>
      </c>
      <c r="B171" s="1186"/>
      <c r="C171" s="1197"/>
      <c r="D171" s="1375" t="s">
        <v>254</v>
      </c>
      <c r="E171" s="1189"/>
      <c r="F171" s="1190"/>
      <c r="G171" s="1191"/>
      <c r="H171" s="1192" t="s">
        <v>106</v>
      </c>
      <c r="I171" s="1193"/>
      <c r="J171" s="1194"/>
      <c r="K171" s="1195"/>
      <c r="L171" s="1196"/>
    </row>
    <row r="172" spans="1:12" ht="19.5" customHeight="1" x14ac:dyDescent="0.3">
      <c r="A172" s="1175">
        <v>163</v>
      </c>
      <c r="B172" s="1186"/>
      <c r="C172" s="1197">
        <v>12</v>
      </c>
      <c r="D172" s="1374" t="s">
        <v>940</v>
      </c>
      <c r="E172" s="1189">
        <f>F172+G172+K176+L173</f>
        <v>14415</v>
      </c>
      <c r="F172" s="1190">
        <v>5000</v>
      </c>
      <c r="G172" s="1191"/>
      <c r="H172" s="1192"/>
      <c r="I172" s="1193"/>
      <c r="J172" s="1194"/>
      <c r="K172" s="1195"/>
      <c r="L172" s="1196"/>
    </row>
    <row r="173" spans="1:12" ht="18" customHeight="1" x14ac:dyDescent="0.35">
      <c r="A173" s="1175">
        <v>164</v>
      </c>
      <c r="B173" s="1186"/>
      <c r="C173" s="1197"/>
      <c r="D173" s="1267" t="s">
        <v>230</v>
      </c>
      <c r="E173" s="1199"/>
      <c r="F173" s="1200"/>
      <c r="G173" s="1201"/>
      <c r="H173" s="1202"/>
      <c r="I173" s="1203"/>
      <c r="J173" s="1204">
        <v>18000</v>
      </c>
      <c r="K173" s="1205">
        <f>SUM(I173:J173)</f>
        <v>18000</v>
      </c>
      <c r="L173" s="1196"/>
    </row>
    <row r="174" spans="1:12" ht="18" customHeight="1" x14ac:dyDescent="0.35">
      <c r="A174" s="1175">
        <v>165</v>
      </c>
      <c r="B174" s="1186"/>
      <c r="C174" s="1197"/>
      <c r="D174" s="1296" t="s">
        <v>231</v>
      </c>
      <c r="E174" s="1199"/>
      <c r="F174" s="1200"/>
      <c r="G174" s="1201"/>
      <c r="H174" s="1202"/>
      <c r="I174" s="1207"/>
      <c r="J174" s="1208">
        <v>9415</v>
      </c>
      <c r="K174" s="1209">
        <f>SUM(I174:J174)</f>
        <v>9415</v>
      </c>
      <c r="L174" s="1196"/>
    </row>
    <row r="175" spans="1:12" ht="18" customHeight="1" x14ac:dyDescent="0.35">
      <c r="A175" s="1175">
        <v>166</v>
      </c>
      <c r="B175" s="1186"/>
      <c r="C175" s="1197"/>
      <c r="D175" s="1210" t="s">
        <v>232</v>
      </c>
      <c r="E175" s="1211"/>
      <c r="F175" s="1212"/>
      <c r="G175" s="1213"/>
      <c r="H175" s="1214"/>
      <c r="I175" s="1215"/>
      <c r="J175" s="1216"/>
      <c r="K175" s="1217">
        <f>SUM(E175:J175)</f>
        <v>0</v>
      </c>
      <c r="L175" s="1196"/>
    </row>
    <row r="176" spans="1:12" ht="18" customHeight="1" x14ac:dyDescent="0.35">
      <c r="A176" s="1175">
        <v>167</v>
      </c>
      <c r="B176" s="1186"/>
      <c r="C176" s="1197"/>
      <c r="D176" s="1296" t="s">
        <v>233</v>
      </c>
      <c r="E176" s="1218"/>
      <c r="F176" s="1219"/>
      <c r="G176" s="1220"/>
      <c r="H176" s="1221"/>
      <c r="I176" s="1207"/>
      <c r="J176" s="1208">
        <f>SUM(J174:J175)</f>
        <v>9415</v>
      </c>
      <c r="K176" s="1222">
        <f>SUM(E176:J176)</f>
        <v>9415</v>
      </c>
      <c r="L176" s="1196"/>
    </row>
    <row r="177" spans="1:12" ht="18" customHeight="1" x14ac:dyDescent="0.3">
      <c r="A177" s="1175">
        <v>168</v>
      </c>
      <c r="B177" s="1186"/>
      <c r="C177" s="1197"/>
      <c r="D177" s="1377" t="s">
        <v>941</v>
      </c>
      <c r="E177" s="1189"/>
      <c r="F177" s="1190"/>
      <c r="G177" s="1191"/>
      <c r="H177" s="1192"/>
      <c r="I177" s="1193"/>
      <c r="J177" s="1194"/>
      <c r="K177" s="1195"/>
      <c r="L177" s="1196"/>
    </row>
    <row r="178" spans="1:12" ht="19.5" customHeight="1" x14ac:dyDescent="0.3">
      <c r="A178" s="1175">
        <v>169</v>
      </c>
      <c r="B178" s="1186"/>
      <c r="C178" s="1197">
        <v>68</v>
      </c>
      <c r="D178" s="1378" t="s">
        <v>942</v>
      </c>
      <c r="E178" s="1189">
        <f>F178+G178+K182+L179</f>
        <v>3000</v>
      </c>
      <c r="F178" s="1190"/>
      <c r="G178" s="1191"/>
      <c r="H178" s="1192"/>
      <c r="I178" s="1193"/>
      <c r="J178" s="1194"/>
      <c r="K178" s="1195"/>
      <c r="L178" s="1196"/>
    </row>
    <row r="179" spans="1:12" ht="18" customHeight="1" x14ac:dyDescent="0.35">
      <c r="A179" s="1175">
        <v>170</v>
      </c>
      <c r="B179" s="1186"/>
      <c r="C179" s="1197"/>
      <c r="D179" s="1267" t="s">
        <v>230</v>
      </c>
      <c r="E179" s="1199"/>
      <c r="F179" s="1200"/>
      <c r="G179" s="1201"/>
      <c r="H179" s="1202"/>
      <c r="I179" s="1203"/>
      <c r="J179" s="1204">
        <v>3000</v>
      </c>
      <c r="K179" s="1205">
        <f>SUM(I179:J179)</f>
        <v>3000</v>
      </c>
      <c r="L179" s="1196"/>
    </row>
    <row r="180" spans="1:12" ht="18" customHeight="1" x14ac:dyDescent="0.35">
      <c r="A180" s="1175">
        <v>171</v>
      </c>
      <c r="B180" s="1186"/>
      <c r="C180" s="1197"/>
      <c r="D180" s="1296" t="s">
        <v>231</v>
      </c>
      <c r="E180" s="1199"/>
      <c r="F180" s="1200"/>
      <c r="G180" s="1201"/>
      <c r="H180" s="1202"/>
      <c r="I180" s="1207"/>
      <c r="J180" s="1208">
        <v>3000</v>
      </c>
      <c r="K180" s="1209">
        <f>SUM(I180:J180)</f>
        <v>3000</v>
      </c>
      <c r="L180" s="1196"/>
    </row>
    <row r="181" spans="1:12" ht="18" customHeight="1" x14ac:dyDescent="0.35">
      <c r="A181" s="1175">
        <v>172</v>
      </c>
      <c r="B181" s="1186"/>
      <c r="C181" s="1197"/>
      <c r="D181" s="1210" t="s">
        <v>245</v>
      </c>
      <c r="E181" s="1211"/>
      <c r="F181" s="1212"/>
      <c r="G181" s="1213"/>
      <c r="H181" s="1214"/>
      <c r="I181" s="1215"/>
      <c r="J181" s="1216"/>
      <c r="K181" s="1217">
        <f>SUM(E181:J181)</f>
        <v>0</v>
      </c>
      <c r="L181" s="1196"/>
    </row>
    <row r="182" spans="1:12" ht="18" customHeight="1" x14ac:dyDescent="0.35">
      <c r="A182" s="1175">
        <v>173</v>
      </c>
      <c r="B182" s="1186"/>
      <c r="C182" s="1197"/>
      <c r="D182" s="1296" t="s">
        <v>233</v>
      </c>
      <c r="E182" s="1218"/>
      <c r="F182" s="1219"/>
      <c r="G182" s="1220"/>
      <c r="H182" s="1221"/>
      <c r="I182" s="1207"/>
      <c r="J182" s="1208">
        <f>SUM(J180:J181)</f>
        <v>3000</v>
      </c>
      <c r="K182" s="1222">
        <f>SUM(E182:J182)</f>
        <v>3000</v>
      </c>
      <c r="L182" s="1196"/>
    </row>
    <row r="183" spans="1:12" ht="18" customHeight="1" x14ac:dyDescent="0.3">
      <c r="A183" s="1175">
        <v>174</v>
      </c>
      <c r="B183" s="1186"/>
      <c r="C183" s="1197"/>
      <c r="D183" s="1377" t="s">
        <v>943</v>
      </c>
      <c r="E183" s="1189"/>
      <c r="F183" s="1190"/>
      <c r="G183" s="1191"/>
      <c r="H183" s="1192"/>
      <c r="I183" s="1193"/>
      <c r="J183" s="1194"/>
      <c r="K183" s="1195"/>
      <c r="L183" s="1196"/>
    </row>
    <row r="184" spans="1:12" ht="19.5" customHeight="1" x14ac:dyDescent="0.3">
      <c r="A184" s="1175">
        <v>175</v>
      </c>
      <c r="B184" s="1186"/>
      <c r="C184" s="1197">
        <v>69</v>
      </c>
      <c r="D184" s="1378" t="s">
        <v>944</v>
      </c>
      <c r="E184" s="1189">
        <f>F184+G184+K188+L185</f>
        <v>7818</v>
      </c>
      <c r="F184" s="1190"/>
      <c r="G184" s="1191"/>
      <c r="H184" s="1192"/>
      <c r="I184" s="1193"/>
      <c r="J184" s="1194"/>
      <c r="K184" s="1195"/>
      <c r="L184" s="1196"/>
    </row>
    <row r="185" spans="1:12" ht="18" customHeight="1" x14ac:dyDescent="0.35">
      <c r="A185" s="1175">
        <v>176</v>
      </c>
      <c r="B185" s="1186"/>
      <c r="C185" s="1197"/>
      <c r="D185" s="1267" t="s">
        <v>230</v>
      </c>
      <c r="E185" s="1199"/>
      <c r="F185" s="1200"/>
      <c r="G185" s="1201"/>
      <c r="H185" s="1202"/>
      <c r="I185" s="1203"/>
      <c r="J185" s="1204">
        <v>10500</v>
      </c>
      <c r="K185" s="1205">
        <f>SUM(I185:J185)</f>
        <v>10500</v>
      </c>
      <c r="L185" s="1196"/>
    </row>
    <row r="186" spans="1:12" ht="18" customHeight="1" x14ac:dyDescent="0.35">
      <c r="A186" s="1175">
        <v>177</v>
      </c>
      <c r="B186" s="1186"/>
      <c r="C186" s="1197"/>
      <c r="D186" s="1296" t="s">
        <v>231</v>
      </c>
      <c r="E186" s="1199"/>
      <c r="F186" s="1200"/>
      <c r="G186" s="1201"/>
      <c r="H186" s="1202"/>
      <c r="I186" s="1207"/>
      <c r="J186" s="1208">
        <v>7818</v>
      </c>
      <c r="K186" s="1209">
        <f>SUM(I186:J186)</f>
        <v>7818</v>
      </c>
      <c r="L186" s="1196"/>
    </row>
    <row r="187" spans="1:12" ht="18" customHeight="1" x14ac:dyDescent="0.35">
      <c r="A187" s="1175">
        <v>178</v>
      </c>
      <c r="B187" s="1186"/>
      <c r="C187" s="1197"/>
      <c r="D187" s="1210" t="s">
        <v>232</v>
      </c>
      <c r="E187" s="1211"/>
      <c r="F187" s="1212"/>
      <c r="G187" s="1213"/>
      <c r="H187" s="1214"/>
      <c r="I187" s="1215"/>
      <c r="J187" s="1216"/>
      <c r="K187" s="1217">
        <f>SUM(E187:J187)</f>
        <v>0</v>
      </c>
      <c r="L187" s="1196"/>
    </row>
    <row r="188" spans="1:12" ht="18" customHeight="1" x14ac:dyDescent="0.35">
      <c r="A188" s="1175">
        <v>179</v>
      </c>
      <c r="B188" s="1186"/>
      <c r="C188" s="1197"/>
      <c r="D188" s="1296" t="s">
        <v>233</v>
      </c>
      <c r="E188" s="1218"/>
      <c r="F188" s="1219"/>
      <c r="G188" s="1220"/>
      <c r="H188" s="1221"/>
      <c r="I188" s="1207"/>
      <c r="J188" s="1208">
        <f>SUM(J186:J187)</f>
        <v>7818</v>
      </c>
      <c r="K188" s="1222">
        <f>SUM(E188:J188)</f>
        <v>7818</v>
      </c>
      <c r="L188" s="1196"/>
    </row>
    <row r="189" spans="1:12" ht="19.5" customHeight="1" x14ac:dyDescent="0.3">
      <c r="A189" s="1175">
        <v>180</v>
      </c>
      <c r="B189" s="1186"/>
      <c r="C189" s="1197">
        <v>51</v>
      </c>
      <c r="D189" s="1378" t="s">
        <v>945</v>
      </c>
      <c r="E189" s="1189">
        <f>F189+G189+K193+L190</f>
        <v>2564</v>
      </c>
      <c r="F189" s="1190"/>
      <c r="G189" s="1191"/>
      <c r="H189" s="1192"/>
      <c r="I189" s="1193"/>
      <c r="J189" s="1194"/>
      <c r="K189" s="1195"/>
      <c r="L189" s="1196"/>
    </row>
    <row r="190" spans="1:12" ht="18" customHeight="1" x14ac:dyDescent="0.35">
      <c r="A190" s="1175">
        <v>181</v>
      </c>
      <c r="B190" s="1186"/>
      <c r="C190" s="1197"/>
      <c r="D190" s="1267" t="s">
        <v>230</v>
      </c>
      <c r="E190" s="1199"/>
      <c r="F190" s="1200"/>
      <c r="G190" s="1201"/>
      <c r="H190" s="1202"/>
      <c r="I190" s="1203"/>
      <c r="J190" s="1204">
        <v>2564</v>
      </c>
      <c r="K190" s="1205">
        <f>SUM(I190:J190)</f>
        <v>2564</v>
      </c>
      <c r="L190" s="1196"/>
    </row>
    <row r="191" spans="1:12" ht="18" customHeight="1" x14ac:dyDescent="0.35">
      <c r="A191" s="1175">
        <v>182</v>
      </c>
      <c r="B191" s="1186"/>
      <c r="C191" s="1197"/>
      <c r="D191" s="1296" t="s">
        <v>231</v>
      </c>
      <c r="E191" s="1199"/>
      <c r="F191" s="1200"/>
      <c r="G191" s="1201"/>
      <c r="H191" s="1202"/>
      <c r="I191" s="1207"/>
      <c r="J191" s="1208">
        <v>2564</v>
      </c>
      <c r="K191" s="1209">
        <f>SUM(I191:J191)</f>
        <v>2564</v>
      </c>
      <c r="L191" s="1227"/>
    </row>
    <row r="192" spans="1:12" ht="18" customHeight="1" x14ac:dyDescent="0.35">
      <c r="A192" s="1175">
        <v>183</v>
      </c>
      <c r="B192" s="1186"/>
      <c r="C192" s="1197"/>
      <c r="D192" s="1210" t="s">
        <v>245</v>
      </c>
      <c r="E192" s="1211"/>
      <c r="F192" s="1212"/>
      <c r="G192" s="1213"/>
      <c r="H192" s="1214"/>
      <c r="I192" s="1215"/>
      <c r="J192" s="1216"/>
      <c r="K192" s="1217">
        <f>SUM(E192:J192)</f>
        <v>0</v>
      </c>
      <c r="L192" s="1227"/>
    </row>
    <row r="193" spans="1:12" ht="18" customHeight="1" x14ac:dyDescent="0.35">
      <c r="A193" s="1175">
        <v>184</v>
      </c>
      <c r="B193" s="1186"/>
      <c r="C193" s="1197"/>
      <c r="D193" s="1296" t="s">
        <v>233</v>
      </c>
      <c r="E193" s="1218"/>
      <c r="F193" s="1219"/>
      <c r="G193" s="1220"/>
      <c r="H193" s="1221"/>
      <c r="I193" s="1207"/>
      <c r="J193" s="1208">
        <f>SUM(J191:J192)</f>
        <v>2564</v>
      </c>
      <c r="K193" s="1222">
        <f>SUM(E193:J193)</f>
        <v>2564</v>
      </c>
      <c r="L193" s="1227"/>
    </row>
    <row r="194" spans="1:12" ht="22.5" customHeight="1" x14ac:dyDescent="0.35">
      <c r="A194" s="1175">
        <v>185</v>
      </c>
      <c r="B194" s="1186"/>
      <c r="C194" s="1197"/>
      <c r="D194" s="1379" t="s">
        <v>10</v>
      </c>
      <c r="E194" s="1189"/>
      <c r="F194" s="1190"/>
      <c r="G194" s="1191"/>
      <c r="H194" s="1192" t="s">
        <v>106</v>
      </c>
      <c r="I194" s="1194"/>
      <c r="J194" s="1194"/>
      <c r="K194" s="1229"/>
      <c r="L194" s="1227"/>
    </row>
    <row r="195" spans="1:12" ht="19.5" customHeight="1" x14ac:dyDescent="0.3">
      <c r="A195" s="1175">
        <v>186</v>
      </c>
      <c r="B195" s="1186"/>
      <c r="C195" s="1197">
        <v>43</v>
      </c>
      <c r="D195" s="1378" t="s">
        <v>946</v>
      </c>
      <c r="E195" s="1189">
        <f>F195+G195+K199+L196</f>
        <v>38341</v>
      </c>
      <c r="F195" s="1190"/>
      <c r="G195" s="1191"/>
      <c r="H195" s="1192"/>
      <c r="I195" s="1194"/>
      <c r="J195" s="1194"/>
      <c r="K195" s="1229"/>
      <c r="L195" s="1227"/>
    </row>
    <row r="196" spans="1:12" ht="18" customHeight="1" x14ac:dyDescent="0.35">
      <c r="A196" s="1175">
        <v>187</v>
      </c>
      <c r="B196" s="1186"/>
      <c r="C196" s="1197"/>
      <c r="D196" s="1267" t="s">
        <v>230</v>
      </c>
      <c r="E196" s="1199"/>
      <c r="F196" s="1200"/>
      <c r="G196" s="1201"/>
      <c r="H196" s="1202"/>
      <c r="I196" s="1203"/>
      <c r="J196" s="1204">
        <v>25065</v>
      </c>
      <c r="K196" s="1205">
        <f>SUM(I196:J196)</f>
        <v>25065</v>
      </c>
      <c r="L196" s="1227"/>
    </row>
    <row r="197" spans="1:12" ht="18" customHeight="1" x14ac:dyDescent="0.35">
      <c r="A197" s="1175">
        <v>188</v>
      </c>
      <c r="B197" s="1186"/>
      <c r="C197" s="1197"/>
      <c r="D197" s="1296" t="s">
        <v>231</v>
      </c>
      <c r="E197" s="1199"/>
      <c r="F197" s="1200"/>
      <c r="G197" s="1201"/>
      <c r="H197" s="1202"/>
      <c r="I197" s="1207"/>
      <c r="J197" s="1208">
        <v>38341</v>
      </c>
      <c r="K197" s="1209">
        <f>SUM(I197:J197)</f>
        <v>38341</v>
      </c>
      <c r="L197" s="1227"/>
    </row>
    <row r="198" spans="1:12" ht="18" customHeight="1" x14ac:dyDescent="0.35">
      <c r="A198" s="1175">
        <v>189</v>
      </c>
      <c r="B198" s="1186"/>
      <c r="C198" s="1197"/>
      <c r="D198" s="1210" t="s">
        <v>232</v>
      </c>
      <c r="E198" s="1211"/>
      <c r="F198" s="1212"/>
      <c r="G198" s="1213"/>
      <c r="H198" s="1214"/>
      <c r="I198" s="1215"/>
      <c r="J198" s="1216"/>
      <c r="K198" s="1217">
        <f>SUM(E198:J198)</f>
        <v>0</v>
      </c>
      <c r="L198" s="1227"/>
    </row>
    <row r="199" spans="1:12" ht="18" customHeight="1" x14ac:dyDescent="0.35">
      <c r="A199" s="1175">
        <v>190</v>
      </c>
      <c r="B199" s="1186"/>
      <c r="C199" s="1197"/>
      <c r="D199" s="1296" t="s">
        <v>233</v>
      </c>
      <c r="E199" s="1218"/>
      <c r="F199" s="1219"/>
      <c r="G199" s="1220"/>
      <c r="H199" s="1221"/>
      <c r="I199" s="1207"/>
      <c r="J199" s="1208">
        <f>SUM(J197:J198)</f>
        <v>38341</v>
      </c>
      <c r="K199" s="1222">
        <f>SUM(E199:J199)</f>
        <v>38341</v>
      </c>
      <c r="L199" s="1227"/>
    </row>
    <row r="200" spans="1:12" ht="19.5" customHeight="1" x14ac:dyDescent="0.3">
      <c r="A200" s="1175">
        <v>191</v>
      </c>
      <c r="B200" s="1186"/>
      <c r="C200" s="1197">
        <v>48</v>
      </c>
      <c r="D200" s="1378" t="s">
        <v>947</v>
      </c>
      <c r="E200" s="1189">
        <f>F200+G200+K204+L201</f>
        <v>8800</v>
      </c>
      <c r="F200" s="1190"/>
      <c r="G200" s="1191"/>
      <c r="H200" s="1192" t="s">
        <v>106</v>
      </c>
      <c r="I200" s="1194"/>
      <c r="J200" s="1194"/>
      <c r="K200" s="1229"/>
      <c r="L200" s="1227"/>
    </row>
    <row r="201" spans="1:12" ht="18" customHeight="1" x14ac:dyDescent="0.35">
      <c r="A201" s="1175">
        <v>192</v>
      </c>
      <c r="B201" s="1186"/>
      <c r="C201" s="1197"/>
      <c r="D201" s="1267" t="s">
        <v>230</v>
      </c>
      <c r="E201" s="1199"/>
      <c r="F201" s="1200"/>
      <c r="G201" s="1201"/>
      <c r="H201" s="1202"/>
      <c r="I201" s="1203"/>
      <c r="J201" s="1204">
        <v>5500</v>
      </c>
      <c r="K201" s="1205">
        <f>SUM(I201:J201)</f>
        <v>5500</v>
      </c>
      <c r="L201" s="1227"/>
    </row>
    <row r="202" spans="1:12" ht="18" customHeight="1" x14ac:dyDescent="0.35">
      <c r="A202" s="1175">
        <v>193</v>
      </c>
      <c r="B202" s="1186"/>
      <c r="C202" s="1197"/>
      <c r="D202" s="1296" t="s">
        <v>231</v>
      </c>
      <c r="E202" s="1199"/>
      <c r="F202" s="1200"/>
      <c r="G202" s="1201"/>
      <c r="H202" s="1202"/>
      <c r="I202" s="1207"/>
      <c r="J202" s="1208">
        <v>8800</v>
      </c>
      <c r="K202" s="1209">
        <f>SUM(I202:J202)</f>
        <v>8800</v>
      </c>
      <c r="L202" s="1227"/>
    </row>
    <row r="203" spans="1:12" ht="18" customHeight="1" x14ac:dyDescent="0.35">
      <c r="A203" s="1175">
        <v>194</v>
      </c>
      <c r="B203" s="1186"/>
      <c r="C203" s="1197"/>
      <c r="D203" s="1210" t="s">
        <v>232</v>
      </c>
      <c r="E203" s="1211"/>
      <c r="F203" s="1212"/>
      <c r="G203" s="1213"/>
      <c r="H203" s="1214"/>
      <c r="I203" s="1215"/>
      <c r="J203" s="1216"/>
      <c r="K203" s="1217">
        <f>SUM(E203:J203)</f>
        <v>0</v>
      </c>
      <c r="L203" s="1227"/>
    </row>
    <row r="204" spans="1:12" ht="18" customHeight="1" x14ac:dyDescent="0.35">
      <c r="A204" s="1175">
        <v>195</v>
      </c>
      <c r="B204" s="1186"/>
      <c r="C204" s="1197"/>
      <c r="D204" s="1296" t="s">
        <v>233</v>
      </c>
      <c r="E204" s="1218"/>
      <c r="F204" s="1219"/>
      <c r="G204" s="1220"/>
      <c r="H204" s="1221"/>
      <c r="I204" s="1207"/>
      <c r="J204" s="1208">
        <f>SUM(J202:J203)</f>
        <v>8800</v>
      </c>
      <c r="K204" s="1222">
        <f>SUM(E204:J204)</f>
        <v>8800</v>
      </c>
      <c r="L204" s="1227"/>
    </row>
    <row r="205" spans="1:12" ht="22.5" customHeight="1" x14ac:dyDescent="0.35">
      <c r="A205" s="1175">
        <v>196</v>
      </c>
      <c r="B205" s="1186"/>
      <c r="C205" s="1197"/>
      <c r="D205" s="1380" t="s">
        <v>51</v>
      </c>
      <c r="E205" s="1189"/>
      <c r="F205" s="1190"/>
      <c r="G205" s="1191"/>
      <c r="H205" s="1192" t="s">
        <v>106</v>
      </c>
      <c r="I205" s="1193"/>
      <c r="J205" s="1194"/>
      <c r="K205" s="1195"/>
      <c r="L205" s="1196"/>
    </row>
    <row r="206" spans="1:12" ht="19.5" customHeight="1" x14ac:dyDescent="0.3">
      <c r="A206" s="1175">
        <v>197</v>
      </c>
      <c r="B206" s="1186"/>
      <c r="C206" s="1197">
        <v>70</v>
      </c>
      <c r="D206" s="1374" t="s">
        <v>948</v>
      </c>
      <c r="E206" s="1189"/>
      <c r="F206" s="1190"/>
      <c r="G206" s="1191"/>
      <c r="H206" s="1192"/>
      <c r="I206" s="1193"/>
      <c r="J206" s="1194"/>
      <c r="K206" s="1195"/>
      <c r="L206" s="1196"/>
    </row>
    <row r="207" spans="1:12" ht="18" customHeight="1" x14ac:dyDescent="0.3">
      <c r="A207" s="1175">
        <v>198</v>
      </c>
      <c r="B207" s="1186"/>
      <c r="C207" s="1197"/>
      <c r="D207" s="1378" t="s">
        <v>949</v>
      </c>
      <c r="E207" s="1189">
        <f>F207+G207+K211+L208</f>
        <v>26000</v>
      </c>
      <c r="F207" s="1190"/>
      <c r="G207" s="1191"/>
      <c r="H207" s="1192"/>
      <c r="I207" s="1193"/>
      <c r="J207" s="1194"/>
      <c r="K207" s="1229"/>
      <c r="L207" s="1196"/>
    </row>
    <row r="208" spans="1:12" ht="18" customHeight="1" x14ac:dyDescent="0.35">
      <c r="A208" s="1175">
        <v>199</v>
      </c>
      <c r="B208" s="1186"/>
      <c r="C208" s="1197"/>
      <c r="D208" s="1267" t="s">
        <v>230</v>
      </c>
      <c r="E208" s="1199"/>
      <c r="F208" s="1200"/>
      <c r="G208" s="1201"/>
      <c r="H208" s="1202"/>
      <c r="I208" s="1203"/>
      <c r="J208" s="1204">
        <v>26000</v>
      </c>
      <c r="K208" s="1205">
        <f>SUM(I208:J208)</f>
        <v>26000</v>
      </c>
      <c r="L208" s="1196"/>
    </row>
    <row r="209" spans="1:12" ht="18" customHeight="1" x14ac:dyDescent="0.35">
      <c r="A209" s="1175">
        <v>200</v>
      </c>
      <c r="B209" s="1186"/>
      <c r="C209" s="1197"/>
      <c r="D209" s="1296" t="s">
        <v>231</v>
      </c>
      <c r="E209" s="1199"/>
      <c r="F209" s="1200"/>
      <c r="G209" s="1201"/>
      <c r="H209" s="1202"/>
      <c r="I209" s="1207"/>
      <c r="J209" s="1208">
        <v>26000</v>
      </c>
      <c r="K209" s="1209">
        <f>SUM(I209:J209)</f>
        <v>26000</v>
      </c>
      <c r="L209" s="1196"/>
    </row>
    <row r="210" spans="1:12" ht="18" customHeight="1" x14ac:dyDescent="0.35">
      <c r="A210" s="1175">
        <v>201</v>
      </c>
      <c r="B210" s="1186"/>
      <c r="C210" s="1197"/>
      <c r="D210" s="1210" t="s">
        <v>245</v>
      </c>
      <c r="E210" s="1211"/>
      <c r="F210" s="1212"/>
      <c r="G210" s="1213"/>
      <c r="H210" s="1214"/>
      <c r="I210" s="1215"/>
      <c r="J210" s="1216"/>
      <c r="K210" s="1217">
        <f>SUM(E210:J210)</f>
        <v>0</v>
      </c>
      <c r="L210" s="1196"/>
    </row>
    <row r="211" spans="1:12" ht="18" customHeight="1" x14ac:dyDescent="0.35">
      <c r="A211" s="1175">
        <v>202</v>
      </c>
      <c r="B211" s="1186"/>
      <c r="C211" s="1197"/>
      <c r="D211" s="1296" t="s">
        <v>233</v>
      </c>
      <c r="E211" s="1218"/>
      <c r="F211" s="1219"/>
      <c r="G211" s="1220"/>
      <c r="H211" s="1221"/>
      <c r="I211" s="1207"/>
      <c r="J211" s="1208">
        <f>SUM(J209:J210)</f>
        <v>26000</v>
      </c>
      <c r="K211" s="1222">
        <f>SUM(E211:J211)</f>
        <v>26000</v>
      </c>
      <c r="L211" s="1196"/>
    </row>
    <row r="212" spans="1:12" ht="19.5" customHeight="1" x14ac:dyDescent="0.3">
      <c r="A212" s="1175">
        <v>203</v>
      </c>
      <c r="B212" s="1186"/>
      <c r="C212" s="1197">
        <v>47</v>
      </c>
      <c r="D212" s="1378" t="s">
        <v>950</v>
      </c>
      <c r="E212" s="1189">
        <f>F212+G212+K216+L213</f>
        <v>0</v>
      </c>
      <c r="F212" s="1190"/>
      <c r="G212" s="1191"/>
      <c r="H212" s="1192"/>
      <c r="I212" s="1193"/>
      <c r="J212" s="1194"/>
      <c r="K212" s="1195"/>
      <c r="L212" s="1196"/>
    </row>
    <row r="213" spans="1:12" ht="18" customHeight="1" x14ac:dyDescent="0.35">
      <c r="A213" s="1175">
        <v>204</v>
      </c>
      <c r="B213" s="1186"/>
      <c r="C213" s="1197"/>
      <c r="D213" s="1267" t="s">
        <v>230</v>
      </c>
      <c r="E213" s="1199"/>
      <c r="F213" s="1200"/>
      <c r="G213" s="1201"/>
      <c r="H213" s="1202"/>
      <c r="I213" s="1203"/>
      <c r="J213" s="1204">
        <v>2000</v>
      </c>
      <c r="K213" s="1205">
        <f>SUM(I213:J213)</f>
        <v>2000</v>
      </c>
      <c r="L213" s="1196"/>
    </row>
    <row r="214" spans="1:12" ht="18" customHeight="1" x14ac:dyDescent="0.35">
      <c r="A214" s="1175">
        <v>205</v>
      </c>
      <c r="B214" s="1186"/>
      <c r="C214" s="1197"/>
      <c r="D214" s="1296" t="s">
        <v>231</v>
      </c>
      <c r="E214" s="1218"/>
      <c r="F214" s="1219"/>
      <c r="G214" s="1220"/>
      <c r="H214" s="1221"/>
      <c r="I214" s="1207"/>
      <c r="J214" s="1208">
        <v>2000</v>
      </c>
      <c r="K214" s="1209">
        <f>SUM(I214:J214)</f>
        <v>2000</v>
      </c>
      <c r="L214" s="1196"/>
    </row>
    <row r="215" spans="1:12" ht="18" customHeight="1" x14ac:dyDescent="0.35">
      <c r="A215" s="1175">
        <v>206</v>
      </c>
      <c r="B215" s="1186"/>
      <c r="C215" s="1197"/>
      <c r="D215" s="1210" t="s">
        <v>287</v>
      </c>
      <c r="E215" s="1211"/>
      <c r="F215" s="1212"/>
      <c r="G215" s="1213"/>
      <c r="H215" s="1214"/>
      <c r="I215" s="1215"/>
      <c r="J215" s="1216">
        <v>-2000</v>
      </c>
      <c r="K215" s="1217">
        <f>SUM(E215:J215)</f>
        <v>-2000</v>
      </c>
      <c r="L215" s="1196"/>
    </row>
    <row r="216" spans="1:12" ht="18" customHeight="1" x14ac:dyDescent="0.35">
      <c r="A216" s="1175">
        <v>207</v>
      </c>
      <c r="B216" s="1186"/>
      <c r="C216" s="1197"/>
      <c r="D216" s="1296" t="s">
        <v>233</v>
      </c>
      <c r="E216" s="1218"/>
      <c r="F216" s="1219"/>
      <c r="G216" s="1220"/>
      <c r="H216" s="1221"/>
      <c r="I216" s="1207"/>
      <c r="J216" s="1208">
        <f>SUM(J214:J215)</f>
        <v>0</v>
      </c>
      <c r="K216" s="1222">
        <f>SUM(E216:J216)</f>
        <v>0</v>
      </c>
      <c r="L216" s="1196"/>
    </row>
    <row r="217" spans="1:12" ht="22.5" customHeight="1" x14ac:dyDescent="0.35">
      <c r="A217" s="1175">
        <v>208</v>
      </c>
      <c r="B217" s="1186"/>
      <c r="C217" s="1197"/>
      <c r="D217" s="1375" t="s">
        <v>52</v>
      </c>
      <c r="E217" s="1189"/>
      <c r="F217" s="1190"/>
      <c r="G217" s="1191"/>
      <c r="H217" s="1192" t="s">
        <v>106</v>
      </c>
      <c r="I217" s="1193"/>
      <c r="J217" s="1194"/>
      <c r="K217" s="1195"/>
      <c r="L217" s="1196"/>
    </row>
    <row r="218" spans="1:12" ht="19.5" customHeight="1" x14ac:dyDescent="0.3">
      <c r="A218" s="1175">
        <v>209</v>
      </c>
      <c r="B218" s="1186"/>
      <c r="C218" s="1197">
        <v>71</v>
      </c>
      <c r="D218" s="1374" t="s">
        <v>951</v>
      </c>
      <c r="E218" s="1189">
        <f>F218+G218+K222+L219</f>
        <v>0</v>
      </c>
      <c r="F218" s="1190"/>
      <c r="G218" s="1191"/>
      <c r="H218" s="1192"/>
      <c r="I218" s="1193"/>
      <c r="J218" s="1194"/>
      <c r="K218" s="1195"/>
      <c r="L218" s="1196"/>
    </row>
    <row r="219" spans="1:12" ht="18" customHeight="1" x14ac:dyDescent="0.35">
      <c r="A219" s="1175">
        <v>210</v>
      </c>
      <c r="B219" s="1186"/>
      <c r="C219" s="1197"/>
      <c r="D219" s="1267" t="s">
        <v>230</v>
      </c>
      <c r="E219" s="1199"/>
      <c r="F219" s="1200"/>
      <c r="G219" s="1201"/>
      <c r="H219" s="1202"/>
      <c r="I219" s="1203"/>
      <c r="J219" s="1204">
        <v>3500</v>
      </c>
      <c r="K219" s="1205">
        <f>SUM(I219:J219)</f>
        <v>3500</v>
      </c>
      <c r="L219" s="1196"/>
    </row>
    <row r="220" spans="1:12" ht="18" customHeight="1" x14ac:dyDescent="0.35">
      <c r="A220" s="1175">
        <v>211</v>
      </c>
      <c r="B220" s="1186"/>
      <c r="C220" s="1197"/>
      <c r="D220" s="1296" t="s">
        <v>231</v>
      </c>
      <c r="E220" s="1199"/>
      <c r="F220" s="1200"/>
      <c r="G220" s="1201"/>
      <c r="H220" s="1202"/>
      <c r="I220" s="1207"/>
      <c r="J220" s="1208">
        <v>0</v>
      </c>
      <c r="K220" s="1209">
        <f>SUM(I220:J220)</f>
        <v>0</v>
      </c>
      <c r="L220" s="1196"/>
    </row>
    <row r="221" spans="1:12" ht="18" customHeight="1" x14ac:dyDescent="0.35">
      <c r="A221" s="1175">
        <v>212</v>
      </c>
      <c r="B221" s="1186"/>
      <c r="C221" s="1197"/>
      <c r="D221" s="1210" t="s">
        <v>287</v>
      </c>
      <c r="E221" s="1211"/>
      <c r="F221" s="1212"/>
      <c r="G221" s="1213"/>
      <c r="H221" s="1214"/>
      <c r="I221" s="1215"/>
      <c r="J221" s="1216"/>
      <c r="K221" s="1217">
        <f>SUM(E221:J221)</f>
        <v>0</v>
      </c>
      <c r="L221" s="1196"/>
    </row>
    <row r="222" spans="1:12" ht="18" customHeight="1" x14ac:dyDescent="0.35">
      <c r="A222" s="1175">
        <v>213</v>
      </c>
      <c r="B222" s="1186"/>
      <c r="C222" s="1197"/>
      <c r="D222" s="1296" t="s">
        <v>233</v>
      </c>
      <c r="E222" s="1218"/>
      <c r="F222" s="1219"/>
      <c r="G222" s="1220"/>
      <c r="H222" s="1221"/>
      <c r="I222" s="1207"/>
      <c r="J222" s="1208">
        <f>SUM(J220:J221)</f>
        <v>0</v>
      </c>
      <c r="K222" s="1222">
        <f>SUM(E222:J222)</f>
        <v>0</v>
      </c>
      <c r="L222" s="1196"/>
    </row>
    <row r="223" spans="1:12" ht="19.5" customHeight="1" x14ac:dyDescent="0.35">
      <c r="A223" s="1175">
        <v>214</v>
      </c>
      <c r="B223" s="1186"/>
      <c r="C223" s="1197">
        <v>75</v>
      </c>
      <c r="D223" s="1374" t="s">
        <v>952</v>
      </c>
      <c r="E223" s="1189">
        <f>F223+G223+K226</f>
        <v>3500</v>
      </c>
      <c r="F223" s="1219"/>
      <c r="G223" s="1220"/>
      <c r="H223" s="1221"/>
      <c r="I223" s="1207"/>
      <c r="J223" s="1208"/>
      <c r="K223" s="1222"/>
      <c r="L223" s="1196"/>
    </row>
    <row r="224" spans="1:12" ht="19.5" customHeight="1" x14ac:dyDescent="0.35">
      <c r="A224" s="1175">
        <v>215</v>
      </c>
      <c r="B224" s="1186"/>
      <c r="C224" s="1197"/>
      <c r="D224" s="1296" t="s">
        <v>231</v>
      </c>
      <c r="E224" s="1189"/>
      <c r="F224" s="1219"/>
      <c r="G224" s="1220"/>
      <c r="H224" s="1221"/>
      <c r="I224" s="1207"/>
      <c r="J224" s="1208">
        <v>3500</v>
      </c>
      <c r="K224" s="1209">
        <f>SUM(I224:J224)</f>
        <v>3500</v>
      </c>
      <c r="L224" s="1196"/>
    </row>
    <row r="225" spans="1:12" ht="18" customHeight="1" x14ac:dyDescent="0.35">
      <c r="A225" s="1175">
        <v>216</v>
      </c>
      <c r="B225" s="1186"/>
      <c r="C225" s="1197"/>
      <c r="D225" s="1210" t="s">
        <v>232</v>
      </c>
      <c r="E225" s="1218"/>
      <c r="F225" s="1219"/>
      <c r="G225" s="1220"/>
      <c r="H225" s="1221"/>
      <c r="I225" s="1207"/>
      <c r="J225" s="1216"/>
      <c r="K225" s="1217">
        <f>SUM(E225:J225)</f>
        <v>0</v>
      </c>
      <c r="L225" s="1196"/>
    </row>
    <row r="226" spans="1:12" ht="18" customHeight="1" x14ac:dyDescent="0.35">
      <c r="A226" s="1175">
        <v>217</v>
      </c>
      <c r="B226" s="1186"/>
      <c r="C226" s="1197"/>
      <c r="D226" s="1296" t="s">
        <v>233</v>
      </c>
      <c r="E226" s="1218"/>
      <c r="F226" s="1219"/>
      <c r="G226" s="1220"/>
      <c r="H226" s="1221"/>
      <c r="I226" s="1207"/>
      <c r="J226" s="1208">
        <f>SUM(J224:J225)</f>
        <v>3500</v>
      </c>
      <c r="K226" s="1222">
        <f>SUM(E226:J226)</f>
        <v>3500</v>
      </c>
      <c r="L226" s="1196"/>
    </row>
    <row r="227" spans="1:12" ht="22.5" customHeight="1" x14ac:dyDescent="0.35">
      <c r="A227" s="1175">
        <v>218</v>
      </c>
      <c r="B227" s="1186"/>
      <c r="C227" s="1197"/>
      <c r="D227" s="1379" t="s">
        <v>953</v>
      </c>
      <c r="E227" s="1189"/>
      <c r="F227" s="1190"/>
      <c r="G227" s="1191"/>
      <c r="H227" s="1192" t="s">
        <v>106</v>
      </c>
      <c r="I227" s="1193"/>
      <c r="J227" s="1194"/>
      <c r="K227" s="1195"/>
      <c r="L227" s="1196"/>
    </row>
    <row r="228" spans="1:12" ht="22.5" customHeight="1" x14ac:dyDescent="0.3">
      <c r="A228" s="1175">
        <v>219</v>
      </c>
      <c r="B228" s="1186"/>
      <c r="C228" s="1197"/>
      <c r="D228" s="1377" t="s">
        <v>954</v>
      </c>
      <c r="E228" s="1189"/>
      <c r="F228" s="1190"/>
      <c r="G228" s="1191"/>
      <c r="H228" s="1192"/>
      <c r="I228" s="1193"/>
      <c r="J228" s="1194"/>
      <c r="K228" s="1195"/>
      <c r="L228" s="1196"/>
    </row>
    <row r="229" spans="1:12" ht="33.75" customHeight="1" x14ac:dyDescent="0.3">
      <c r="A229" s="1175">
        <v>220</v>
      </c>
      <c r="B229" s="1186"/>
      <c r="C229" s="1187">
        <v>44</v>
      </c>
      <c r="D229" s="1374" t="s">
        <v>955</v>
      </c>
      <c r="E229" s="1189">
        <f>F229+G229+K233+L230</f>
        <v>3800</v>
      </c>
      <c r="F229" s="1190"/>
      <c r="G229" s="1191"/>
      <c r="H229" s="1192"/>
      <c r="I229" s="1193"/>
      <c r="J229" s="1194"/>
      <c r="K229" s="1195"/>
      <c r="L229" s="1196"/>
    </row>
    <row r="230" spans="1:12" ht="18" customHeight="1" x14ac:dyDescent="0.35">
      <c r="A230" s="1175">
        <v>221</v>
      </c>
      <c r="B230" s="1186"/>
      <c r="C230" s="1197"/>
      <c r="D230" s="1267" t="s">
        <v>230</v>
      </c>
      <c r="E230" s="1199"/>
      <c r="F230" s="1200"/>
      <c r="G230" s="1201"/>
      <c r="H230" s="1202"/>
      <c r="I230" s="1203"/>
      <c r="J230" s="1204">
        <v>3800</v>
      </c>
      <c r="K230" s="1205">
        <f>SUM(I230:J230)</f>
        <v>3800</v>
      </c>
      <c r="L230" s="1196"/>
    </row>
    <row r="231" spans="1:12" ht="18" customHeight="1" x14ac:dyDescent="0.35">
      <c r="A231" s="1175">
        <v>222</v>
      </c>
      <c r="B231" s="1186"/>
      <c r="C231" s="1197"/>
      <c r="D231" s="1296" t="s">
        <v>231</v>
      </c>
      <c r="E231" s="1199"/>
      <c r="F231" s="1200"/>
      <c r="G231" s="1201"/>
      <c r="H231" s="1202"/>
      <c r="I231" s="1207"/>
      <c r="J231" s="1208">
        <v>3800</v>
      </c>
      <c r="K231" s="1209">
        <f>SUM(I231:J231)</f>
        <v>3800</v>
      </c>
      <c r="L231" s="1196"/>
    </row>
    <row r="232" spans="1:12" ht="18" customHeight="1" x14ac:dyDescent="0.35">
      <c r="A232" s="1175">
        <v>223</v>
      </c>
      <c r="B232" s="1186"/>
      <c r="C232" s="1197"/>
      <c r="D232" s="1210" t="s">
        <v>245</v>
      </c>
      <c r="E232" s="1211"/>
      <c r="F232" s="1212"/>
      <c r="G232" s="1213"/>
      <c r="H232" s="1214"/>
      <c r="I232" s="1215"/>
      <c r="J232" s="1216"/>
      <c r="K232" s="1217">
        <f>SUM(E232:J232)</f>
        <v>0</v>
      </c>
      <c r="L232" s="1196"/>
    </row>
    <row r="233" spans="1:12" ht="18" customHeight="1" x14ac:dyDescent="0.35">
      <c r="A233" s="1175">
        <v>224</v>
      </c>
      <c r="B233" s="1186"/>
      <c r="C233" s="1197"/>
      <c r="D233" s="1296" t="s">
        <v>233</v>
      </c>
      <c r="E233" s="1218"/>
      <c r="F233" s="1219"/>
      <c r="G233" s="1220"/>
      <c r="H233" s="1221"/>
      <c r="I233" s="1207"/>
      <c r="J233" s="1208">
        <f>SUM(J231:J232)</f>
        <v>3800</v>
      </c>
      <c r="K233" s="1222">
        <f>SUM(E233:J233)</f>
        <v>3800</v>
      </c>
      <c r="L233" s="1196"/>
    </row>
    <row r="234" spans="1:12" ht="35.25" customHeight="1" x14ac:dyDescent="0.3">
      <c r="A234" s="1175">
        <v>225</v>
      </c>
      <c r="B234" s="1186"/>
      <c r="C234" s="1187">
        <v>72</v>
      </c>
      <c r="D234" s="1374" t="s">
        <v>956</v>
      </c>
      <c r="E234" s="1189">
        <f>F234+G234+K238+L235</f>
        <v>6000</v>
      </c>
      <c r="F234" s="1190"/>
      <c r="G234" s="1191"/>
      <c r="H234" s="1192"/>
      <c r="I234" s="1193"/>
      <c r="J234" s="1194"/>
      <c r="K234" s="1195"/>
      <c r="L234" s="1196"/>
    </row>
    <row r="235" spans="1:12" ht="18" customHeight="1" x14ac:dyDescent="0.35">
      <c r="A235" s="1175">
        <v>226</v>
      </c>
      <c r="B235" s="1186"/>
      <c r="C235" s="1197"/>
      <c r="D235" s="1267" t="s">
        <v>230</v>
      </c>
      <c r="E235" s="1199"/>
      <c r="F235" s="1200"/>
      <c r="G235" s="1201"/>
      <c r="H235" s="1202"/>
      <c r="I235" s="1203"/>
      <c r="J235" s="1204">
        <v>6000</v>
      </c>
      <c r="K235" s="1205">
        <f>SUM(I235:J235)</f>
        <v>6000</v>
      </c>
      <c r="L235" s="1196"/>
    </row>
    <row r="236" spans="1:12" ht="18" customHeight="1" x14ac:dyDescent="0.35">
      <c r="A236" s="1175">
        <v>227</v>
      </c>
      <c r="B236" s="1186"/>
      <c r="C236" s="1197"/>
      <c r="D236" s="1296" t="s">
        <v>231</v>
      </c>
      <c r="E236" s="1199"/>
      <c r="F236" s="1200"/>
      <c r="G236" s="1201"/>
      <c r="H236" s="1202"/>
      <c r="I236" s="1207"/>
      <c r="J236" s="1208">
        <v>6000</v>
      </c>
      <c r="K236" s="1209">
        <f>SUM(I236:J236)</f>
        <v>6000</v>
      </c>
      <c r="L236" s="1196"/>
    </row>
    <row r="237" spans="1:12" ht="18" customHeight="1" x14ac:dyDescent="0.35">
      <c r="A237" s="1175">
        <v>228</v>
      </c>
      <c r="B237" s="1186"/>
      <c r="C237" s="1197"/>
      <c r="D237" s="1210" t="s">
        <v>245</v>
      </c>
      <c r="E237" s="1211"/>
      <c r="F237" s="1212"/>
      <c r="G237" s="1213"/>
      <c r="H237" s="1214"/>
      <c r="I237" s="1215"/>
      <c r="J237" s="1216"/>
      <c r="K237" s="1217">
        <f>SUM(E237:J237)</f>
        <v>0</v>
      </c>
      <c r="L237" s="1196"/>
    </row>
    <row r="238" spans="1:12" ht="18" customHeight="1" x14ac:dyDescent="0.35">
      <c r="A238" s="1175">
        <v>229</v>
      </c>
      <c r="B238" s="1186"/>
      <c r="C238" s="1197"/>
      <c r="D238" s="1296" t="s">
        <v>233</v>
      </c>
      <c r="E238" s="1218"/>
      <c r="F238" s="1219"/>
      <c r="G238" s="1220"/>
      <c r="H238" s="1221"/>
      <c r="I238" s="1207"/>
      <c r="J238" s="1208">
        <f>SUM(J236:J237)</f>
        <v>6000</v>
      </c>
      <c r="K238" s="1222">
        <f>SUM(E238:J238)</f>
        <v>6000</v>
      </c>
      <c r="L238" s="1196"/>
    </row>
    <row r="239" spans="1:12" ht="32.25" customHeight="1" x14ac:dyDescent="0.3">
      <c r="A239" s="1175">
        <v>230</v>
      </c>
      <c r="B239" s="1186"/>
      <c r="C239" s="1187">
        <v>73</v>
      </c>
      <c r="D239" s="1374" t="s">
        <v>957</v>
      </c>
      <c r="E239" s="1189">
        <f>F239+G239+K243+L240</f>
        <v>1500</v>
      </c>
      <c r="F239" s="1190"/>
      <c r="G239" s="1191"/>
      <c r="H239" s="1192"/>
      <c r="I239" s="1193"/>
      <c r="J239" s="1194"/>
      <c r="K239" s="1195"/>
      <c r="L239" s="1196"/>
    </row>
    <row r="240" spans="1:12" ht="18" customHeight="1" x14ac:dyDescent="0.35">
      <c r="A240" s="1175">
        <v>231</v>
      </c>
      <c r="B240" s="1286"/>
      <c r="C240" s="1262"/>
      <c r="D240" s="1267" t="s">
        <v>230</v>
      </c>
      <c r="E240" s="1199"/>
      <c r="F240" s="1200"/>
      <c r="G240" s="1201"/>
      <c r="H240" s="1202"/>
      <c r="I240" s="1203"/>
      <c r="J240" s="1204">
        <v>1500</v>
      </c>
      <c r="K240" s="1205">
        <f>SUM(I240:J240)</f>
        <v>1500</v>
      </c>
      <c r="L240" s="1381"/>
    </row>
    <row r="241" spans="1:12" ht="18" customHeight="1" x14ac:dyDescent="0.35">
      <c r="A241" s="1175">
        <v>232</v>
      </c>
      <c r="B241" s="1382"/>
      <c r="C241" s="1262"/>
      <c r="D241" s="1296" t="s">
        <v>231</v>
      </c>
      <c r="E241" s="1199"/>
      <c r="F241" s="1200"/>
      <c r="G241" s="1201"/>
      <c r="H241" s="1202"/>
      <c r="I241" s="1207"/>
      <c r="J241" s="1208">
        <v>1500</v>
      </c>
      <c r="K241" s="1209">
        <f>SUM(I241:J241)</f>
        <v>1500</v>
      </c>
      <c r="L241" s="1381"/>
    </row>
    <row r="242" spans="1:12" ht="18" customHeight="1" x14ac:dyDescent="0.35">
      <c r="A242" s="1175">
        <v>233</v>
      </c>
      <c r="B242" s="1264"/>
      <c r="C242" s="1197"/>
      <c r="D242" s="1210" t="s">
        <v>245</v>
      </c>
      <c r="E242" s="1211"/>
      <c r="F242" s="1212"/>
      <c r="G242" s="1213"/>
      <c r="H242" s="1214"/>
      <c r="I242" s="1215"/>
      <c r="J242" s="1216"/>
      <c r="K242" s="1217">
        <f>SUM(E242:J242)</f>
        <v>0</v>
      </c>
      <c r="L242" s="1196"/>
    </row>
    <row r="243" spans="1:12" ht="18" customHeight="1" x14ac:dyDescent="0.35">
      <c r="A243" s="1175">
        <v>234</v>
      </c>
      <c r="B243" s="1284"/>
      <c r="C243" s="1285"/>
      <c r="D243" s="1296" t="s">
        <v>233</v>
      </c>
      <c r="E243" s="1218"/>
      <c r="F243" s="1219"/>
      <c r="G243" s="1220"/>
      <c r="H243" s="1221"/>
      <c r="I243" s="1207"/>
      <c r="J243" s="1208">
        <f>SUM(J241:J242)</f>
        <v>1500</v>
      </c>
      <c r="K243" s="1222">
        <f>SUM(E243:J243)</f>
        <v>1500</v>
      </c>
      <c r="L243" s="1371"/>
    </row>
    <row r="244" spans="1:12" ht="19.5" customHeight="1" x14ac:dyDescent="0.35">
      <c r="A244" s="1175">
        <v>235</v>
      </c>
      <c r="B244" s="1286"/>
      <c r="C244" s="1262">
        <v>74</v>
      </c>
      <c r="D244" s="1383" t="s">
        <v>958</v>
      </c>
      <c r="E244" s="1305">
        <f>F244+G244+K247</f>
        <v>0</v>
      </c>
      <c r="F244" s="1306"/>
      <c r="G244" s="1384"/>
      <c r="H244" s="1385" t="s">
        <v>106</v>
      </c>
      <c r="I244" s="1386"/>
      <c r="J244" s="1387"/>
      <c r="K244" s="1289"/>
      <c r="L244" s="1287"/>
    </row>
    <row r="245" spans="1:12" ht="19.5" customHeight="1" x14ac:dyDescent="0.35">
      <c r="A245" s="1175">
        <v>236</v>
      </c>
      <c r="B245" s="1286"/>
      <c r="C245" s="1262"/>
      <c r="D245" s="1296" t="s">
        <v>231</v>
      </c>
      <c r="E245" s="1305"/>
      <c r="F245" s="1306"/>
      <c r="G245" s="1384"/>
      <c r="H245" s="1385"/>
      <c r="I245" s="1386"/>
      <c r="J245" s="1387">
        <v>0</v>
      </c>
      <c r="K245" s="1209">
        <f>SUM(I245:J245)</f>
        <v>0</v>
      </c>
      <c r="L245" s="1287"/>
    </row>
    <row r="246" spans="1:12" ht="18" customHeight="1" x14ac:dyDescent="0.35">
      <c r="A246" s="1175">
        <v>237</v>
      </c>
      <c r="B246" s="1186"/>
      <c r="C246" s="1197"/>
      <c r="D246" s="1388" t="s">
        <v>232</v>
      </c>
      <c r="E246" s="1189"/>
      <c r="F246" s="1190"/>
      <c r="G246" s="1191"/>
      <c r="H246" s="1192"/>
      <c r="I246" s="1194"/>
      <c r="J246" s="1216"/>
      <c r="K246" s="1217">
        <f>SUM(E246:J246)</f>
        <v>0</v>
      </c>
      <c r="L246" s="1227"/>
    </row>
    <row r="247" spans="1:12" ht="18" customHeight="1" x14ac:dyDescent="0.35">
      <c r="A247" s="1175">
        <v>238</v>
      </c>
      <c r="B247" s="1284"/>
      <c r="C247" s="1285"/>
      <c r="D247" s="1288" t="s">
        <v>233</v>
      </c>
      <c r="E247" s="1305"/>
      <c r="F247" s="1306"/>
      <c r="G247" s="1389"/>
      <c r="H247" s="1390"/>
      <c r="I247" s="1391"/>
      <c r="J247" s="1392">
        <f>SUM(J245:J246)</f>
        <v>0</v>
      </c>
      <c r="K247" s="1289">
        <f>SUM(E247:J247)</f>
        <v>0</v>
      </c>
      <c r="L247" s="1371"/>
    </row>
    <row r="248" spans="1:12" ht="22.5" customHeight="1" x14ac:dyDescent="0.35">
      <c r="A248" s="1175">
        <v>239</v>
      </c>
      <c r="B248" s="1264"/>
      <c r="C248" s="1197">
        <v>76</v>
      </c>
      <c r="D248" s="1383" t="s">
        <v>959</v>
      </c>
      <c r="E248" s="1305">
        <f>F248+G248+K251</f>
        <v>0</v>
      </c>
      <c r="F248" s="1190"/>
      <c r="G248" s="1265"/>
      <c r="H248" s="1192" t="s">
        <v>106</v>
      </c>
      <c r="I248" s="1193"/>
      <c r="J248" s="1208"/>
      <c r="K248" s="1222"/>
      <c r="L248" s="1196"/>
    </row>
    <row r="249" spans="1:12" ht="18" customHeight="1" x14ac:dyDescent="0.35">
      <c r="A249" s="1175">
        <v>240</v>
      </c>
      <c r="B249" s="1264"/>
      <c r="C249" s="1197"/>
      <c r="D249" s="1296" t="s">
        <v>231</v>
      </c>
      <c r="E249" s="1305"/>
      <c r="F249" s="1190"/>
      <c r="G249" s="1265"/>
      <c r="H249" s="1192"/>
      <c r="I249" s="1193"/>
      <c r="J249" s="1208">
        <v>0</v>
      </c>
      <c r="K249" s="1209">
        <f>SUM(I249:J249)</f>
        <v>0</v>
      </c>
      <c r="L249" s="1196"/>
    </row>
    <row r="250" spans="1:12" ht="18" customHeight="1" x14ac:dyDescent="0.35">
      <c r="A250" s="1175">
        <v>241</v>
      </c>
      <c r="B250" s="1264"/>
      <c r="C250" s="1197"/>
      <c r="D250" s="1388" t="s">
        <v>232</v>
      </c>
      <c r="E250" s="1189"/>
      <c r="F250" s="1190"/>
      <c r="G250" s="1265"/>
      <c r="H250" s="1192"/>
      <c r="I250" s="1193"/>
      <c r="J250" s="1216"/>
      <c r="K250" s="1217">
        <f>SUM(E250:J250)</f>
        <v>0</v>
      </c>
      <c r="L250" s="1196"/>
    </row>
    <row r="251" spans="1:12" ht="18" customHeight="1" x14ac:dyDescent="0.35">
      <c r="A251" s="1175">
        <v>242</v>
      </c>
      <c r="B251" s="1264"/>
      <c r="C251" s="1197"/>
      <c r="D251" s="1290" t="s">
        <v>233</v>
      </c>
      <c r="E251" s="1189"/>
      <c r="F251" s="1190"/>
      <c r="G251" s="1265"/>
      <c r="H251" s="1192"/>
      <c r="I251" s="1193"/>
      <c r="J251" s="1208">
        <f>SUM(J249:J250)</f>
        <v>0</v>
      </c>
      <c r="K251" s="1289">
        <f>SUM(E251:J251)</f>
        <v>0</v>
      </c>
      <c r="L251" s="1196"/>
    </row>
    <row r="252" spans="1:12" ht="22.5" customHeight="1" x14ac:dyDescent="0.35">
      <c r="A252" s="1175">
        <v>243</v>
      </c>
      <c r="B252" s="1264"/>
      <c r="C252" s="1197">
        <v>77</v>
      </c>
      <c r="D252" s="1383" t="s">
        <v>960</v>
      </c>
      <c r="E252" s="1305">
        <f>F252+G252+K255</f>
        <v>800</v>
      </c>
      <c r="F252" s="1190"/>
      <c r="G252" s="1265"/>
      <c r="H252" s="1192" t="s">
        <v>106</v>
      </c>
      <c r="I252" s="1193"/>
      <c r="J252" s="1208"/>
      <c r="K252" s="1222"/>
      <c r="L252" s="1196"/>
    </row>
    <row r="253" spans="1:12" ht="18" customHeight="1" x14ac:dyDescent="0.35">
      <c r="A253" s="1175">
        <v>244</v>
      </c>
      <c r="B253" s="1264"/>
      <c r="C253" s="1197"/>
      <c r="D253" s="1296" t="s">
        <v>231</v>
      </c>
      <c r="E253" s="1305"/>
      <c r="F253" s="1190"/>
      <c r="G253" s="1265"/>
      <c r="H253" s="1192"/>
      <c r="I253" s="1193"/>
      <c r="J253" s="1208">
        <v>800</v>
      </c>
      <c r="K253" s="1209">
        <f>SUM(I253:J253)</f>
        <v>800</v>
      </c>
      <c r="L253" s="1196"/>
    </row>
    <row r="254" spans="1:12" ht="18" customHeight="1" x14ac:dyDescent="0.35">
      <c r="A254" s="1175">
        <v>245</v>
      </c>
      <c r="B254" s="1264"/>
      <c r="C254" s="1197"/>
      <c r="D254" s="1388" t="s">
        <v>245</v>
      </c>
      <c r="E254" s="1189"/>
      <c r="F254" s="1190"/>
      <c r="G254" s="1265"/>
      <c r="H254" s="1192"/>
      <c r="I254" s="1193"/>
      <c r="J254" s="1216"/>
      <c r="K254" s="1217">
        <f>SUM(E254:J254)</f>
        <v>0</v>
      </c>
      <c r="L254" s="1196"/>
    </row>
    <row r="255" spans="1:12" ht="18" customHeight="1" x14ac:dyDescent="0.35">
      <c r="A255" s="1175">
        <v>246</v>
      </c>
      <c r="B255" s="1264"/>
      <c r="C255" s="1197"/>
      <c r="D255" s="1290" t="s">
        <v>233</v>
      </c>
      <c r="E255" s="1189"/>
      <c r="F255" s="1190"/>
      <c r="G255" s="1265"/>
      <c r="H255" s="1192"/>
      <c r="I255" s="1193"/>
      <c r="J255" s="1208">
        <f>SUM(J253:J254)</f>
        <v>800</v>
      </c>
      <c r="K255" s="1222">
        <f>SUM(E255:J255)</f>
        <v>800</v>
      </c>
      <c r="L255" s="1196"/>
    </row>
    <row r="256" spans="1:12" ht="22.5" customHeight="1" x14ac:dyDescent="0.35">
      <c r="A256" s="1175">
        <v>247</v>
      </c>
      <c r="B256" s="1273"/>
      <c r="C256" s="1281">
        <v>78</v>
      </c>
      <c r="D256" s="1268" t="s">
        <v>39</v>
      </c>
      <c r="E256" s="1276">
        <f>F256+G256+K259</f>
        <v>270000</v>
      </c>
      <c r="F256" s="1283"/>
      <c r="G256" s="1277"/>
      <c r="H256" s="1278" t="s">
        <v>106</v>
      </c>
      <c r="I256" s="1279"/>
      <c r="J256" s="1294"/>
      <c r="K256" s="1301"/>
      <c r="L256" s="1196"/>
    </row>
    <row r="257" spans="1:12" ht="18" customHeight="1" x14ac:dyDescent="0.35">
      <c r="A257" s="1175">
        <v>248</v>
      </c>
      <c r="B257" s="1273"/>
      <c r="C257" s="1281"/>
      <c r="D257" s="1296" t="s">
        <v>231</v>
      </c>
      <c r="E257" s="1189"/>
      <c r="F257" s="1283"/>
      <c r="G257" s="1277"/>
      <c r="H257" s="1278"/>
      <c r="I257" s="1279"/>
      <c r="J257" s="1294">
        <v>530000</v>
      </c>
      <c r="K257" s="1209">
        <f>SUM(I257:J257)</f>
        <v>530000</v>
      </c>
      <c r="L257" s="1196"/>
    </row>
    <row r="258" spans="1:12" ht="18" customHeight="1" x14ac:dyDescent="0.35">
      <c r="A258" s="1175">
        <v>249</v>
      </c>
      <c r="B258" s="1273"/>
      <c r="C258" s="1281"/>
      <c r="D258" s="1210" t="s">
        <v>287</v>
      </c>
      <c r="E258" s="1297"/>
      <c r="F258" s="1283"/>
      <c r="G258" s="1277"/>
      <c r="H258" s="1278"/>
      <c r="I258" s="1279"/>
      <c r="J258" s="1295">
        <v>-260000</v>
      </c>
      <c r="K258" s="1217">
        <f>SUM(E258:J258)</f>
        <v>-260000</v>
      </c>
      <c r="L258" s="1196"/>
    </row>
    <row r="259" spans="1:12" ht="18" customHeight="1" x14ac:dyDescent="0.35">
      <c r="A259" s="1175">
        <v>250</v>
      </c>
      <c r="B259" s="1273"/>
      <c r="C259" s="1281"/>
      <c r="D259" s="1296" t="s">
        <v>233</v>
      </c>
      <c r="E259" s="1293"/>
      <c r="F259" s="1283"/>
      <c r="G259" s="1277"/>
      <c r="H259" s="1278"/>
      <c r="I259" s="1279"/>
      <c r="J259" s="1294">
        <f>SUM(J257:J258)</f>
        <v>270000</v>
      </c>
      <c r="K259" s="1289">
        <f>SUM(E259:J259)</f>
        <v>270000</v>
      </c>
      <c r="L259" s="1196"/>
    </row>
    <row r="260" spans="1:12" ht="22.5" customHeight="1" x14ac:dyDescent="0.35">
      <c r="A260" s="1175">
        <v>251</v>
      </c>
      <c r="B260" s="1273"/>
      <c r="C260" s="1281">
        <v>79</v>
      </c>
      <c r="D260" s="1393" t="s">
        <v>961</v>
      </c>
      <c r="E260" s="1189">
        <f>F260+G260+K263</f>
        <v>3500</v>
      </c>
      <c r="F260" s="1283"/>
      <c r="G260" s="1277"/>
      <c r="H260" s="1278" t="s">
        <v>106</v>
      </c>
      <c r="I260" s="1279"/>
      <c r="J260" s="1294"/>
      <c r="K260" s="1222"/>
      <c r="L260" s="1196"/>
    </row>
    <row r="261" spans="1:12" ht="18" customHeight="1" x14ac:dyDescent="0.35">
      <c r="A261" s="1175">
        <v>252</v>
      </c>
      <c r="B261" s="1273"/>
      <c r="C261" s="1281"/>
      <c r="D261" s="1296" t="s">
        <v>231</v>
      </c>
      <c r="E261" s="1293"/>
      <c r="F261" s="1283"/>
      <c r="G261" s="1277"/>
      <c r="H261" s="1278"/>
      <c r="I261" s="1279"/>
      <c r="J261" s="1294">
        <v>3500</v>
      </c>
      <c r="K261" s="1209">
        <f>SUM(I261:J261)</f>
        <v>3500</v>
      </c>
      <c r="L261" s="1196"/>
    </row>
    <row r="262" spans="1:12" ht="18" customHeight="1" x14ac:dyDescent="0.35">
      <c r="A262" s="1175">
        <v>253</v>
      </c>
      <c r="B262" s="1273"/>
      <c r="C262" s="1281"/>
      <c r="D262" s="1210" t="s">
        <v>232</v>
      </c>
      <c r="E262" s="1293"/>
      <c r="F262" s="1283"/>
      <c r="G262" s="1277"/>
      <c r="H262" s="1278"/>
      <c r="I262" s="1279"/>
      <c r="J262" s="1295"/>
      <c r="K262" s="1217">
        <f>SUM(E262:J262)</f>
        <v>0</v>
      </c>
      <c r="L262" s="1196"/>
    </row>
    <row r="263" spans="1:12" ht="18" customHeight="1" x14ac:dyDescent="0.35">
      <c r="A263" s="1175">
        <v>254</v>
      </c>
      <c r="B263" s="1273"/>
      <c r="C263" s="1281"/>
      <c r="D263" s="1296" t="s">
        <v>233</v>
      </c>
      <c r="E263" s="1293"/>
      <c r="F263" s="1283"/>
      <c r="G263" s="1277"/>
      <c r="H263" s="1278"/>
      <c r="I263" s="1279"/>
      <c r="J263" s="1294">
        <f>SUM(J261:J262)</f>
        <v>3500</v>
      </c>
      <c r="K263" s="1222">
        <f>SUM(E263:J263)</f>
        <v>3500</v>
      </c>
      <c r="L263" s="1196"/>
    </row>
    <row r="264" spans="1:12" ht="22.5" customHeight="1" x14ac:dyDescent="0.35">
      <c r="A264" s="1175">
        <v>255</v>
      </c>
      <c r="B264" s="1273"/>
      <c r="C264" s="1281">
        <v>80</v>
      </c>
      <c r="D264" s="1292" t="s">
        <v>962</v>
      </c>
      <c r="E264" s="1189">
        <f>F264+G264+K267</f>
        <v>0</v>
      </c>
      <c r="F264" s="1190"/>
      <c r="G264" s="1277"/>
      <c r="H264" s="1278" t="s">
        <v>106</v>
      </c>
      <c r="I264" s="1394"/>
      <c r="J264" s="1294"/>
      <c r="K264" s="1303"/>
      <c r="L264" s="1395"/>
    </row>
    <row r="265" spans="1:12" ht="18" customHeight="1" x14ac:dyDescent="0.35">
      <c r="A265" s="1175">
        <v>256</v>
      </c>
      <c r="B265" s="1273"/>
      <c r="C265" s="1281"/>
      <c r="D265" s="1296" t="s">
        <v>231</v>
      </c>
      <c r="E265" s="1279"/>
      <c r="F265" s="1283"/>
      <c r="G265" s="1277"/>
      <c r="H265" s="1278"/>
      <c r="I265" s="1394"/>
      <c r="J265" s="1294">
        <v>5000</v>
      </c>
      <c r="K265" s="1209">
        <f>SUM(I265:J265)</f>
        <v>5000</v>
      </c>
      <c r="L265" s="1395"/>
    </row>
    <row r="266" spans="1:12" ht="18" customHeight="1" x14ac:dyDescent="0.35">
      <c r="A266" s="1175">
        <v>257</v>
      </c>
      <c r="B266" s="1273"/>
      <c r="C266" s="1281"/>
      <c r="D266" s="1210" t="s">
        <v>287</v>
      </c>
      <c r="E266" s="1279"/>
      <c r="F266" s="1283"/>
      <c r="G266" s="1277"/>
      <c r="H266" s="1278"/>
      <c r="I266" s="1394"/>
      <c r="J266" s="1295">
        <v>-5000</v>
      </c>
      <c r="K266" s="1217">
        <f>SUM(E266:J266)</f>
        <v>-5000</v>
      </c>
      <c r="L266" s="1395"/>
    </row>
    <row r="267" spans="1:12" ht="18" customHeight="1" x14ac:dyDescent="0.35">
      <c r="A267" s="1175">
        <v>258</v>
      </c>
      <c r="B267" s="1273"/>
      <c r="C267" s="1281"/>
      <c r="D267" s="1296" t="s">
        <v>233</v>
      </c>
      <c r="E267" s="1309"/>
      <c r="F267" s="1299"/>
      <c r="G267" s="1277"/>
      <c r="H267" s="1278"/>
      <c r="I267" s="1394"/>
      <c r="J267" s="1294">
        <f>SUM(J265:J266)</f>
        <v>0</v>
      </c>
      <c r="K267" s="1222">
        <f>SUM(E267:J267)</f>
        <v>0</v>
      </c>
      <c r="L267" s="1395"/>
    </row>
    <row r="268" spans="1:12" ht="24.75" customHeight="1" x14ac:dyDescent="0.35">
      <c r="A268" s="1175">
        <v>259</v>
      </c>
      <c r="B268" s="1312"/>
      <c r="C268" s="1313"/>
      <c r="D268" s="1998" t="s">
        <v>278</v>
      </c>
      <c r="E268" s="1998"/>
      <c r="F268" s="1998"/>
      <c r="G268" s="1998"/>
      <c r="H268" s="1314"/>
      <c r="I268" s="1396"/>
      <c r="J268" s="1397"/>
      <c r="K268" s="1316"/>
      <c r="L268" s="1398"/>
    </row>
    <row r="269" spans="1:12" ht="19.5" customHeight="1" x14ac:dyDescent="0.35">
      <c r="A269" s="1175">
        <v>260</v>
      </c>
      <c r="B269" s="1333"/>
      <c r="C269" s="1319"/>
      <c r="D269" s="1267" t="s">
        <v>230</v>
      </c>
      <c r="E269" s="1199"/>
      <c r="F269" s="1200"/>
      <c r="G269" s="1201"/>
      <c r="H269" s="1202"/>
      <c r="I269" s="1203">
        <f>I240+I235+I230+I219+I213+I208+I201+I196+I190+I185+I179+I173+I167+I162+I157+I152+I146+I140+I135+I130+I124+I119+I114+I106+I100+I94+I87+I82+I77+I72+I67+I62+I57+I52+I47+I42+I37+I32+I27+I22+I17+I12</f>
        <v>0</v>
      </c>
      <c r="J269" s="1204">
        <f>J240+J235+J230+J219+J213+J208+J201+J196+J190+J185+J179+J173+J167+J162+J157+J152+J146+J140+J135+J130+J124+J119+J114+J106+J100+J94+J87+J82+J77+J72+J67+J62+J57+J52+J47+J42+J37+J32+J27+J22+J17+J12</f>
        <v>884831</v>
      </c>
      <c r="K269" s="1205">
        <f>SUM(I269:J269)</f>
        <v>884831</v>
      </c>
      <c r="L269" s="1320"/>
    </row>
    <row r="270" spans="1:12" ht="19.5" customHeight="1" x14ac:dyDescent="0.35">
      <c r="A270" s="1175">
        <v>261</v>
      </c>
      <c r="B270" s="1333"/>
      <c r="C270" s="1319"/>
      <c r="D270" s="1296" t="s">
        <v>231</v>
      </c>
      <c r="E270" s="1199"/>
      <c r="F270" s="1200"/>
      <c r="G270" s="1201"/>
      <c r="H270" s="1202"/>
      <c r="I270" s="1207">
        <f>I241+I236+I231+I220+I214+I209+I202+I197+I191+I186+I180+I174+I168+I163+I158+I153+I147+I141+I136+I131+I125+I120+I115+I107+I101+I95+I88+I83+I78+I73+I68+I63+I58+I53+I48+I43+I38+I33+I28+I23+I18+I13+I245+I261+I257+I253+I249+I224+I265</f>
        <v>0</v>
      </c>
      <c r="J270" s="1207">
        <f>J241+J236+J231+J220+J214+J209+J202+J197+J191+J186+J180+J174+J168+J163+J158+J153+J147+J141+J136+J131+J125+J120+J115+J107+J101+J95+J88+J83+J78+J73+J68+J63+J58+J53+J48+J43+J38+J33+J28+J23+J18+J13+J245+J261+J257+J253+J249+J224+J265</f>
        <v>1432545</v>
      </c>
      <c r="K270" s="1209">
        <f>SUM(I270:J270)</f>
        <v>1432545</v>
      </c>
      <c r="L270" s="1321"/>
    </row>
    <row r="271" spans="1:12" ht="19.5" customHeight="1" x14ac:dyDescent="0.35">
      <c r="A271" s="1175">
        <v>262</v>
      </c>
      <c r="B271" s="1333"/>
      <c r="C271" s="1319"/>
      <c r="D271" s="1210" t="s">
        <v>245</v>
      </c>
      <c r="E271" s="1211"/>
      <c r="F271" s="1212"/>
      <c r="G271" s="1213"/>
      <c r="H271" s="1214"/>
      <c r="I271" s="1215">
        <f>I242+I237+I232+I221+I215+I210+I203+I198+I192+I187+I181+I175+I169+I164+I159+I154+I148+I142+I137+I132+I126+I121+I116+I108+I102+I96+I89+I84+I79+I74+I69+I64+I59+I54+I49+I44+I39+I34+I29+I24+I19+I14+I246+I225+I254+I250+I262+I258+I266</f>
        <v>0</v>
      </c>
      <c r="J271" s="1215">
        <f>J242+J237+J232+J221+J215+J210+J203+J198+J192+J187+J181+J175+J169+J164+J159+J154+J148+J142+J137+J132+J126+J121+J116+J108+J102+J96+J89+J84+J79+J74+J69+J64+J59+J54+J49+J44+J39+J34+J29+J24+J19+J14+J246+J225+J254+J250+J262+J258+J266</f>
        <v>-267000</v>
      </c>
      <c r="K271" s="1217">
        <f>SUM(E271:J271)</f>
        <v>-267000</v>
      </c>
      <c r="L271" s="1321"/>
    </row>
    <row r="272" spans="1:12" ht="19.5" customHeight="1" x14ac:dyDescent="0.35">
      <c r="A272" s="1175">
        <v>263</v>
      </c>
      <c r="B272" s="1399"/>
      <c r="C272" s="1324"/>
      <c r="D272" s="1400" t="s">
        <v>233</v>
      </c>
      <c r="E272" s="1401"/>
      <c r="F272" s="1402"/>
      <c r="G272" s="1403"/>
      <c r="H272" s="1404"/>
      <c r="I272" s="1405">
        <f>SUM(I270:I271)</f>
        <v>0</v>
      </c>
      <c r="J272" s="1405">
        <f>SUM(J270:J271)</f>
        <v>1165545</v>
      </c>
      <c r="K272" s="1406">
        <f>SUM(E272:J272)</f>
        <v>1165545</v>
      </c>
      <c r="L272" s="1325"/>
    </row>
    <row r="273" spans="1:252" ht="19.5" customHeight="1" x14ac:dyDescent="0.35">
      <c r="A273" s="1175">
        <v>264</v>
      </c>
      <c r="B273" s="1407"/>
      <c r="C273" s="1408"/>
      <c r="D273" s="1409" t="s">
        <v>760</v>
      </c>
      <c r="E273" s="1410"/>
      <c r="F273" s="1410"/>
      <c r="G273" s="1411"/>
      <c r="H273" s="1412"/>
      <c r="I273" s="1413"/>
      <c r="J273" s="1413"/>
      <c r="K273" s="1414"/>
      <c r="L273" s="1415"/>
    </row>
    <row r="274" spans="1:252" ht="18" customHeight="1" x14ac:dyDescent="0.35">
      <c r="A274" s="1175">
        <v>265</v>
      </c>
      <c r="B274" s="1333"/>
      <c r="C274" s="1319"/>
      <c r="D274" s="1041" t="s">
        <v>230</v>
      </c>
      <c r="E274" s="1416"/>
      <c r="F274" s="1416"/>
      <c r="G274" s="1417"/>
      <c r="H274" s="1418"/>
      <c r="I274" s="1352">
        <f>I240+I235+I230+I219+I208+I201+I196+I190+I185+I179+I173+I167+I162+I157+I152+I146+I140+I135+I130+I124+I119+I114+I106+I100+I94+I87+I67+I42+I32+I27+I22+I17</f>
        <v>0</v>
      </c>
      <c r="J274" s="1352">
        <f>J240+J235+J230+J219+J208+J201+J196+J190+J185+J179+J173+J167+J162+J157+J152+J146+J140+J135+J130+J124+J119+J114+J106+J100+J94+J87+J67+J42+J32+J27+J22+J17+J213</f>
        <v>416078</v>
      </c>
      <c r="K274" s="1341">
        <f>SUM(I274:J274)</f>
        <v>416078</v>
      </c>
      <c r="L274" s="1321"/>
    </row>
    <row r="275" spans="1:252" ht="18" customHeight="1" x14ac:dyDescent="0.35">
      <c r="A275" s="1175">
        <v>266</v>
      </c>
      <c r="B275" s="1333"/>
      <c r="C275" s="1319"/>
      <c r="D275" s="266" t="s">
        <v>231</v>
      </c>
      <c r="E275" s="1416"/>
      <c r="F275" s="1416"/>
      <c r="G275" s="1417"/>
      <c r="H275" s="1418"/>
      <c r="I275" s="1351">
        <f>I241+I236+I231+I220+I209+I202+I197+I191+I186+I180+I174+I168+I163+I158+I153+I147+I141+I136+I131+I125+I120+I115+I107+I101+I95+I88+I68+I43+I33+I28+I23+I18+I245+I214+I261+I257+I253+I249+I224+I265</f>
        <v>0</v>
      </c>
      <c r="J275" s="1351">
        <f>J241+J236+J231+J220+J209+J202+J197+J191+J186+J180+J174+J168+J163+J158+J153+J147+J141+J136+J131+J125+J120+J115+J107+J101+J95+J88+J68+J43+J33+J28+J23+J18+J245+J214+J261+J257+J253+J249+J224+J265</f>
        <v>963678</v>
      </c>
      <c r="K275" s="1261">
        <f>SUM(I275:J275)</f>
        <v>963678</v>
      </c>
      <c r="L275" s="1321"/>
    </row>
    <row r="276" spans="1:252" ht="18" customHeight="1" x14ac:dyDescent="0.35">
      <c r="A276" s="1175">
        <v>267</v>
      </c>
      <c r="B276" s="1333"/>
      <c r="C276" s="1319"/>
      <c r="D276" s="270" t="s">
        <v>245</v>
      </c>
      <c r="E276" s="1419"/>
      <c r="F276" s="1419"/>
      <c r="G276" s="1420"/>
      <c r="H276" s="1421"/>
      <c r="I276" s="1354">
        <f>I242+I237+I232+I221+I215+I210+I203+I198+I192+I187+I181+I175+I169+I164+I154+I159+I148+I142+I137+I132+I126+I121+I116+I108+I102+I96+I89+I69+I44+I34+I29+I24+I19+I246+I225+I254+I250+I262+I258+I266</f>
        <v>0</v>
      </c>
      <c r="J276" s="1354">
        <f>J242+J237+J232+J221+J215+J210+J203+J198+J192+J187+J181+J175+J169+J164+J154+J159+J148+J142+J137+J132+J126+J121+J116+J108+J102+J96+J89+J69+J44+J34+J29+J24+J19+J246+J225+J254+J250+J262+J258+J266</f>
        <v>-267000</v>
      </c>
      <c r="K276" s="1248">
        <f>SUM(E276:J276)</f>
        <v>-267000</v>
      </c>
      <c r="L276" s="1321"/>
    </row>
    <row r="277" spans="1:252" ht="18" customHeight="1" x14ac:dyDescent="0.35">
      <c r="A277" s="1175">
        <v>268</v>
      </c>
      <c r="B277" s="1333"/>
      <c r="C277" s="1319"/>
      <c r="D277" s="266" t="s">
        <v>233</v>
      </c>
      <c r="E277" s="1422"/>
      <c r="F277" s="1422"/>
      <c r="G277" s="1423"/>
      <c r="H277" s="1421"/>
      <c r="I277" s="1351">
        <f>SUM(I275:I276)</f>
        <v>0</v>
      </c>
      <c r="J277" s="1351">
        <f>SUM(J275:J276)</f>
        <v>696678</v>
      </c>
      <c r="K277" s="1257">
        <f>SUM(E277:J277)</f>
        <v>696678</v>
      </c>
      <c r="L277" s="1321"/>
    </row>
    <row r="278" spans="1:252" ht="19.5" customHeight="1" x14ac:dyDescent="0.35">
      <c r="A278" s="1175">
        <v>269</v>
      </c>
      <c r="B278" s="1333"/>
      <c r="C278" s="1319"/>
      <c r="D278" s="1121" t="s">
        <v>761</v>
      </c>
      <c r="E278" s="1122"/>
      <c r="F278" s="1122"/>
      <c r="G278" s="1123"/>
      <c r="H278" s="1421"/>
      <c r="I278" s="1354"/>
      <c r="J278" s="1354"/>
      <c r="K278" s="1261"/>
      <c r="L278" s="1321"/>
    </row>
    <row r="279" spans="1:252" ht="18" customHeight="1" x14ac:dyDescent="0.35">
      <c r="A279" s="1175">
        <v>270</v>
      </c>
      <c r="B279" s="1333"/>
      <c r="C279" s="1319"/>
      <c r="D279" s="1098" t="s">
        <v>230</v>
      </c>
      <c r="E279" s="1424"/>
      <c r="F279" s="1424"/>
      <c r="G279" s="1425"/>
      <c r="H279" s="1418"/>
      <c r="I279" s="1352">
        <f t="shared" ref="I279:J281" si="0">I82+I77+I72+I62+I57+I52+I47+I37+I12</f>
        <v>0</v>
      </c>
      <c r="J279" s="1352">
        <f t="shared" si="0"/>
        <v>468753</v>
      </c>
      <c r="K279" s="1341">
        <f>SUM(I279:J279)</f>
        <v>468753</v>
      </c>
      <c r="L279" s="1321"/>
    </row>
    <row r="280" spans="1:252" ht="18" customHeight="1" x14ac:dyDescent="0.35">
      <c r="A280" s="1175">
        <v>271</v>
      </c>
      <c r="B280" s="1333"/>
      <c r="C280" s="1319"/>
      <c r="D280" s="266" t="s">
        <v>231</v>
      </c>
      <c r="E280" s="1424"/>
      <c r="F280" s="1424"/>
      <c r="G280" s="1425"/>
      <c r="H280" s="1418"/>
      <c r="I280" s="1351">
        <f t="shared" si="0"/>
        <v>0</v>
      </c>
      <c r="J280" s="1351">
        <f t="shared" si="0"/>
        <v>468867</v>
      </c>
      <c r="K280" s="1261">
        <f>SUM(I280:J280)</f>
        <v>468867</v>
      </c>
      <c r="L280" s="1321"/>
    </row>
    <row r="281" spans="1:252" ht="18" customHeight="1" x14ac:dyDescent="0.35">
      <c r="A281" s="1175">
        <v>272</v>
      </c>
      <c r="B281" s="1333"/>
      <c r="C281" s="1319"/>
      <c r="D281" s="1016" t="s">
        <v>245</v>
      </c>
      <c r="E281" s="1426"/>
      <c r="F281" s="1426"/>
      <c r="G281" s="1427"/>
      <c r="H281" s="1421"/>
      <c r="I281" s="1354">
        <f t="shared" si="0"/>
        <v>0</v>
      </c>
      <c r="J281" s="1354">
        <f t="shared" si="0"/>
        <v>0</v>
      </c>
      <c r="K281" s="1248">
        <f>SUM(E281:J281)</f>
        <v>0</v>
      </c>
      <c r="L281" s="1321"/>
    </row>
    <row r="282" spans="1:252" ht="18" customHeight="1" x14ac:dyDescent="0.35">
      <c r="A282" s="1175">
        <v>273</v>
      </c>
      <c r="B282" s="1356"/>
      <c r="C282" s="1357"/>
      <c r="D282" s="528" t="s">
        <v>233</v>
      </c>
      <c r="E282" s="1428"/>
      <c r="F282" s="1428"/>
      <c r="G282" s="1429"/>
      <c r="H282" s="1430"/>
      <c r="I282" s="1362">
        <f>SUM(I280:I281)</f>
        <v>0</v>
      </c>
      <c r="J282" s="1362">
        <f>SUM(J280:J281)</f>
        <v>468867</v>
      </c>
      <c r="K282" s="1363">
        <f>SUM(E282:J282)</f>
        <v>468867</v>
      </c>
      <c r="L282" s="1431"/>
    </row>
    <row r="283" spans="1:252" ht="18" customHeight="1" x14ac:dyDescent="0.3">
      <c r="A283" s="1175"/>
      <c r="B283" s="1432" t="s">
        <v>357</v>
      </c>
      <c r="C283" s="1433"/>
      <c r="D283" s="1432"/>
      <c r="E283" s="1434"/>
      <c r="F283" s="1435"/>
      <c r="G283" s="1434"/>
      <c r="H283" s="1436"/>
      <c r="I283" s="1437"/>
      <c r="J283" s="1437"/>
      <c r="K283" s="1437"/>
      <c r="L283" s="1438"/>
    </row>
    <row r="284" spans="1:252" ht="18" customHeight="1" x14ac:dyDescent="0.3">
      <c r="A284" s="1175"/>
      <c r="B284" s="1365" t="s">
        <v>358</v>
      </c>
      <c r="C284" s="1366"/>
      <c r="D284" s="1365"/>
      <c r="E284" s="1370"/>
      <c r="F284" s="1368"/>
      <c r="G284" s="1367"/>
      <c r="H284" s="1369"/>
      <c r="I284" s="1367"/>
      <c r="J284" s="1367"/>
      <c r="K284" s="1367"/>
    </row>
    <row r="285" spans="1:252" ht="18" customHeight="1" x14ac:dyDescent="0.3">
      <c r="A285" s="1175"/>
      <c r="B285" s="1365" t="s">
        <v>359</v>
      </c>
      <c r="C285" s="1366"/>
      <c r="D285" s="1365"/>
      <c r="E285" s="1370"/>
      <c r="F285" s="1368"/>
      <c r="G285" s="1367"/>
      <c r="H285" s="1369"/>
      <c r="I285" s="1367"/>
      <c r="J285" s="1367"/>
      <c r="K285" s="1367"/>
    </row>
    <row r="286" spans="1:252" s="1157" customFormat="1" x14ac:dyDescent="0.3">
      <c r="A286" s="1153"/>
      <c r="B286" s="1154"/>
      <c r="C286" s="1155"/>
      <c r="D286" s="1156"/>
      <c r="H286" s="1158"/>
      <c r="L286" s="1159"/>
      <c r="M286" s="1160"/>
      <c r="N286" s="1160"/>
      <c r="O286" s="1160"/>
      <c r="P286" s="1160"/>
      <c r="Q286" s="1160"/>
      <c r="R286" s="1160"/>
      <c r="S286" s="1160"/>
      <c r="T286" s="1160"/>
      <c r="U286" s="1160"/>
      <c r="V286" s="1160"/>
      <c r="W286" s="1160"/>
      <c r="X286" s="1160"/>
      <c r="Y286" s="1160"/>
      <c r="Z286" s="1160"/>
      <c r="AA286" s="1160"/>
      <c r="AB286" s="1160"/>
      <c r="AC286" s="1160"/>
      <c r="AD286" s="1160"/>
      <c r="AE286" s="1160"/>
      <c r="AF286" s="1160"/>
      <c r="AG286" s="1160"/>
      <c r="AH286" s="1160"/>
      <c r="AI286" s="1160"/>
      <c r="AJ286" s="1160"/>
      <c r="AK286" s="1160"/>
      <c r="AL286" s="1160"/>
      <c r="AM286" s="1160"/>
      <c r="AN286" s="1160"/>
      <c r="AO286" s="1160"/>
      <c r="AP286" s="1160"/>
      <c r="AQ286" s="1160"/>
      <c r="AR286" s="1160"/>
      <c r="AS286" s="1160"/>
      <c r="AT286" s="1160"/>
      <c r="AU286" s="1160"/>
      <c r="AV286" s="1160"/>
      <c r="AW286" s="1160"/>
      <c r="AX286" s="1160"/>
      <c r="AY286" s="1160"/>
      <c r="AZ286" s="1160"/>
      <c r="BA286" s="1160"/>
      <c r="BB286" s="1160"/>
      <c r="BC286" s="1160"/>
      <c r="BD286" s="1160"/>
      <c r="BE286" s="1160"/>
      <c r="BF286" s="1160"/>
      <c r="BG286" s="1160"/>
      <c r="BH286" s="1160"/>
      <c r="BI286" s="1160"/>
      <c r="BJ286" s="1160"/>
      <c r="BK286" s="1160"/>
      <c r="BL286" s="1160"/>
      <c r="BM286" s="1160"/>
      <c r="BN286" s="1160"/>
      <c r="BO286" s="1160"/>
      <c r="BP286" s="1160"/>
      <c r="BQ286" s="1160"/>
      <c r="BR286" s="1160"/>
      <c r="BS286" s="1160"/>
      <c r="BT286" s="1160"/>
      <c r="BU286" s="1160"/>
      <c r="BV286" s="1160"/>
      <c r="BW286" s="1160"/>
      <c r="BX286" s="1160"/>
      <c r="BY286" s="1160"/>
      <c r="BZ286" s="1160"/>
      <c r="CA286" s="1160"/>
      <c r="CB286" s="1160"/>
      <c r="CC286" s="1160"/>
      <c r="CD286" s="1160"/>
      <c r="CE286" s="1160"/>
      <c r="CF286" s="1160"/>
      <c r="CG286" s="1160"/>
      <c r="CH286" s="1160"/>
      <c r="CI286" s="1160"/>
      <c r="CJ286" s="1160"/>
      <c r="CK286" s="1160"/>
      <c r="CL286" s="1160"/>
      <c r="CM286" s="1160"/>
      <c r="CN286" s="1160"/>
      <c r="CO286" s="1160"/>
      <c r="CP286" s="1160"/>
      <c r="CQ286" s="1160"/>
      <c r="CR286" s="1160"/>
      <c r="CS286" s="1160"/>
      <c r="CT286" s="1160"/>
      <c r="CU286" s="1160"/>
      <c r="CV286" s="1160"/>
      <c r="CW286" s="1160"/>
      <c r="CX286" s="1160"/>
      <c r="CY286" s="1160"/>
      <c r="CZ286" s="1160"/>
      <c r="DA286" s="1160"/>
      <c r="DB286" s="1160"/>
      <c r="DC286" s="1160"/>
      <c r="DD286" s="1160"/>
      <c r="DE286" s="1160"/>
      <c r="DF286" s="1160"/>
      <c r="DG286" s="1160"/>
      <c r="DH286" s="1160"/>
      <c r="DI286" s="1160"/>
      <c r="DJ286" s="1160"/>
      <c r="DK286" s="1160"/>
      <c r="DL286" s="1160"/>
      <c r="DM286" s="1160"/>
      <c r="DN286" s="1160"/>
      <c r="DO286" s="1160"/>
      <c r="DP286" s="1160"/>
      <c r="DQ286" s="1160"/>
      <c r="DR286" s="1160"/>
      <c r="DS286" s="1160"/>
      <c r="DT286" s="1160"/>
      <c r="DU286" s="1160"/>
      <c r="DV286" s="1160"/>
      <c r="DW286" s="1160"/>
      <c r="DX286" s="1160"/>
      <c r="DY286" s="1160"/>
      <c r="DZ286" s="1160"/>
      <c r="EA286" s="1160"/>
      <c r="EB286" s="1160"/>
      <c r="EC286" s="1160"/>
      <c r="ED286" s="1160"/>
      <c r="EE286" s="1160"/>
      <c r="EF286" s="1160"/>
      <c r="EG286" s="1160"/>
      <c r="EH286" s="1160"/>
      <c r="EI286" s="1160"/>
      <c r="EJ286" s="1160"/>
      <c r="EK286" s="1160"/>
      <c r="EL286" s="1160"/>
      <c r="EM286" s="1160"/>
      <c r="EN286" s="1160"/>
      <c r="EO286" s="1160"/>
      <c r="EP286" s="1160"/>
      <c r="EQ286" s="1160"/>
      <c r="ER286" s="1160"/>
      <c r="ES286" s="1160"/>
      <c r="ET286" s="1160"/>
      <c r="EU286" s="1160"/>
      <c r="EV286" s="1160"/>
      <c r="EW286" s="1160"/>
      <c r="EX286" s="1160"/>
      <c r="EY286" s="1160"/>
      <c r="EZ286" s="1160"/>
      <c r="FA286" s="1160"/>
      <c r="FB286" s="1160"/>
      <c r="FC286" s="1160"/>
      <c r="FD286" s="1160"/>
      <c r="FE286" s="1160"/>
      <c r="FF286" s="1160"/>
      <c r="FG286" s="1160"/>
      <c r="FH286" s="1160"/>
      <c r="FI286" s="1160"/>
      <c r="FJ286" s="1160"/>
      <c r="FK286" s="1160"/>
      <c r="FL286" s="1160"/>
      <c r="FM286" s="1160"/>
      <c r="FN286" s="1160"/>
      <c r="FO286" s="1160"/>
      <c r="FP286" s="1160"/>
      <c r="FQ286" s="1160"/>
      <c r="FR286" s="1160"/>
      <c r="FS286" s="1160"/>
      <c r="FT286" s="1160"/>
      <c r="FU286" s="1160"/>
      <c r="FV286" s="1160"/>
      <c r="FW286" s="1160"/>
      <c r="FX286" s="1160"/>
      <c r="FY286" s="1160"/>
      <c r="FZ286" s="1160"/>
      <c r="GA286" s="1160"/>
      <c r="GB286" s="1160"/>
      <c r="GC286" s="1160"/>
      <c r="GD286" s="1160"/>
      <c r="GE286" s="1160"/>
      <c r="GF286" s="1160"/>
      <c r="GG286" s="1160"/>
      <c r="GH286" s="1160"/>
      <c r="GI286" s="1160"/>
      <c r="GJ286" s="1160"/>
      <c r="GK286" s="1160"/>
      <c r="GL286" s="1160"/>
      <c r="GM286" s="1160"/>
      <c r="GN286" s="1160"/>
      <c r="GO286" s="1160"/>
      <c r="GP286" s="1160"/>
      <c r="GQ286" s="1160"/>
      <c r="GR286" s="1160"/>
      <c r="GS286" s="1160"/>
      <c r="GT286" s="1160"/>
      <c r="GU286" s="1160"/>
      <c r="GV286" s="1160"/>
      <c r="GW286" s="1160"/>
      <c r="GX286" s="1160"/>
      <c r="GY286" s="1160"/>
      <c r="GZ286" s="1160"/>
      <c r="HA286" s="1160"/>
      <c r="HB286" s="1160"/>
      <c r="HC286" s="1160"/>
      <c r="HD286" s="1160"/>
      <c r="HE286" s="1160"/>
      <c r="HF286" s="1160"/>
      <c r="HG286" s="1160"/>
      <c r="HH286" s="1160"/>
      <c r="HI286" s="1160"/>
      <c r="HJ286" s="1160"/>
      <c r="HK286" s="1160"/>
      <c r="HL286" s="1160"/>
      <c r="HM286" s="1160"/>
      <c r="HN286" s="1160"/>
      <c r="HO286" s="1160"/>
      <c r="HP286" s="1160"/>
      <c r="HQ286" s="1160"/>
      <c r="HR286" s="1160"/>
      <c r="HS286" s="1160"/>
      <c r="HT286" s="1160"/>
      <c r="HU286" s="1160"/>
      <c r="HV286" s="1160"/>
      <c r="HW286" s="1160"/>
      <c r="HX286" s="1160"/>
      <c r="HY286" s="1160"/>
      <c r="HZ286" s="1160"/>
      <c r="IA286" s="1160"/>
      <c r="IB286" s="1160"/>
      <c r="IC286" s="1160"/>
      <c r="ID286" s="1160"/>
      <c r="IE286" s="1160"/>
      <c r="IF286" s="1160"/>
      <c r="IG286" s="1160"/>
      <c r="IH286" s="1160"/>
      <c r="II286" s="1160"/>
      <c r="IJ286" s="1160"/>
      <c r="IK286" s="1160"/>
      <c r="IL286" s="1160"/>
      <c r="IM286" s="1160"/>
      <c r="IN286" s="1160"/>
      <c r="IO286" s="1160"/>
      <c r="IP286" s="1160"/>
      <c r="IQ286" s="1160"/>
      <c r="IR286" s="1160"/>
    </row>
  </sheetData>
  <mergeCells count="15">
    <mergeCell ref="D268:G268"/>
    <mergeCell ref="B2:D2"/>
    <mergeCell ref="I2:L2"/>
    <mergeCell ref="B3:L3"/>
    <mergeCell ref="B4:L4"/>
    <mergeCell ref="B7:B9"/>
    <mergeCell ref="C7:C9"/>
    <mergeCell ref="D7:D9"/>
    <mergeCell ref="E7:E9"/>
    <mergeCell ref="F7:F9"/>
    <mergeCell ref="G7:G9"/>
    <mergeCell ref="H7:H9"/>
    <mergeCell ref="I7:K7"/>
    <mergeCell ref="L7:L9"/>
    <mergeCell ref="K8:K9"/>
  </mergeCells>
  <printOptions horizontalCentered="1"/>
  <pageMargins left="0.196527777777778" right="0.196527777777778" top="0.59027777777777801" bottom="0.59027777777777801" header="0.511811023622047" footer="0.51180555555555596"/>
  <pageSetup paperSize="9" scale="58" fitToHeight="0" orientation="portrait" horizontalDpi="300" verticalDpi="300" r:id="rId1"/>
  <headerFooter>
    <oddFooter>&amp;C-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06"/>
  <sheetViews>
    <sheetView view="pageBreakPreview" zoomScaleNormal="100" workbookViewId="0">
      <selection activeCell="B1" sqref="B1:J1"/>
    </sheetView>
  </sheetViews>
  <sheetFormatPr defaultColWidth="9.28515625" defaultRowHeight="17.25" x14ac:dyDescent="0.35"/>
  <cols>
    <col min="1" max="1" width="3.7109375" style="1155" customWidth="1"/>
    <col min="2" max="3" width="5.7109375" style="1439" customWidth="1"/>
    <col min="4" max="4" width="62.7109375" style="1166" customWidth="1"/>
    <col min="5" max="5" width="12.7109375" style="1164" customWidth="1"/>
    <col min="6" max="7" width="10.7109375" style="1164" customWidth="1"/>
    <col min="8" max="8" width="6.7109375" style="1440" customWidth="1"/>
    <col min="9" max="14" width="14.7109375" style="1164" customWidth="1"/>
    <col min="15" max="15" width="15.7109375" style="1441" customWidth="1"/>
    <col min="16" max="16" width="13.7109375" style="1164" customWidth="1"/>
    <col min="17" max="16384" width="9.28515625" style="1166"/>
  </cols>
  <sheetData>
    <row r="1" spans="1:256" x14ac:dyDescent="0.35">
      <c r="B1" s="1926" t="s">
        <v>1109</v>
      </c>
      <c r="C1" s="1926"/>
      <c r="D1" s="1926"/>
      <c r="E1" s="1926"/>
      <c r="F1" s="1926"/>
      <c r="G1" s="1926"/>
      <c r="H1" s="1926"/>
      <c r="I1" s="1926"/>
      <c r="J1" s="1926"/>
    </row>
    <row r="2" spans="1:256" ht="18" customHeight="1" x14ac:dyDescent="0.3">
      <c r="B2" s="1442" t="s">
        <v>963</v>
      </c>
      <c r="C2" s="1442"/>
      <c r="D2" s="1443"/>
      <c r="E2" s="1162"/>
      <c r="F2" s="1162"/>
      <c r="G2" s="1162"/>
      <c r="H2" s="1444"/>
      <c r="I2" s="2000"/>
      <c r="J2" s="2000"/>
      <c r="K2" s="2000"/>
      <c r="L2" s="2000"/>
      <c r="M2" s="2000"/>
      <c r="N2" s="2000"/>
      <c r="O2" s="2000"/>
      <c r="P2" s="2000"/>
      <c r="Q2" s="1165"/>
      <c r="R2" s="1165"/>
      <c r="S2" s="1165"/>
      <c r="T2" s="1165"/>
      <c r="U2" s="1165"/>
      <c r="V2" s="1165"/>
      <c r="W2" s="1165"/>
      <c r="X2" s="1165"/>
      <c r="Y2" s="1165"/>
      <c r="Z2" s="1165"/>
      <c r="AA2" s="1165"/>
      <c r="AB2" s="1165"/>
      <c r="AC2" s="1165"/>
      <c r="AD2" s="1165"/>
      <c r="AE2" s="1165"/>
      <c r="AF2" s="1165"/>
      <c r="AG2" s="1165"/>
      <c r="AH2" s="1165"/>
      <c r="AI2" s="1165"/>
      <c r="AJ2" s="1165"/>
      <c r="AK2" s="1165"/>
      <c r="AL2" s="1165"/>
      <c r="AM2" s="1165"/>
      <c r="AN2" s="1165"/>
      <c r="AO2" s="1165"/>
      <c r="AP2" s="1165"/>
      <c r="AQ2" s="1165"/>
      <c r="AR2" s="1165"/>
      <c r="AS2" s="1165"/>
      <c r="AT2" s="1165"/>
      <c r="AU2" s="1165"/>
      <c r="AV2" s="1165"/>
      <c r="AW2" s="1165"/>
      <c r="AX2" s="1165"/>
      <c r="AY2" s="1165"/>
      <c r="AZ2" s="1165"/>
      <c r="BA2" s="1165"/>
      <c r="BB2" s="1165"/>
      <c r="BC2" s="1165"/>
      <c r="BD2" s="1165"/>
      <c r="BE2" s="1165"/>
      <c r="BF2" s="1165"/>
      <c r="BG2" s="1165"/>
      <c r="BH2" s="1165"/>
      <c r="BI2" s="1165"/>
      <c r="BJ2" s="1165"/>
      <c r="BK2" s="1165"/>
      <c r="BL2" s="1165"/>
      <c r="BM2" s="1165"/>
      <c r="BN2" s="1165"/>
      <c r="BO2" s="1165"/>
      <c r="BP2" s="1165"/>
      <c r="BQ2" s="1165"/>
      <c r="BR2" s="1165"/>
      <c r="BS2" s="1165"/>
      <c r="BT2" s="1165"/>
      <c r="BU2" s="1165"/>
      <c r="BV2" s="1165"/>
      <c r="BW2" s="1165"/>
      <c r="BX2" s="1165"/>
      <c r="BY2" s="1165"/>
      <c r="BZ2" s="1165"/>
      <c r="CA2" s="1165"/>
      <c r="CB2" s="1165"/>
      <c r="CC2" s="1165"/>
      <c r="CD2" s="1165"/>
      <c r="CE2" s="1165"/>
      <c r="CF2" s="1165"/>
      <c r="CG2" s="1165"/>
      <c r="CH2" s="1165"/>
      <c r="CI2" s="1165"/>
      <c r="CJ2" s="1165"/>
      <c r="CK2" s="1165"/>
      <c r="CL2" s="1165"/>
      <c r="CM2" s="1165"/>
      <c r="CN2" s="1165"/>
      <c r="CO2" s="1165"/>
      <c r="CP2" s="1165"/>
      <c r="CQ2" s="1165"/>
      <c r="CR2" s="1165"/>
      <c r="CS2" s="1165"/>
      <c r="CT2" s="1165"/>
      <c r="CU2" s="1165"/>
      <c r="CV2" s="1165"/>
      <c r="CW2" s="1165"/>
      <c r="CX2" s="1165"/>
      <c r="CY2" s="1165"/>
      <c r="CZ2" s="1165"/>
      <c r="DA2" s="1165"/>
      <c r="DB2" s="1165"/>
      <c r="DC2" s="1165"/>
      <c r="DD2" s="1165"/>
      <c r="DE2" s="1165"/>
      <c r="DF2" s="1165"/>
      <c r="DG2" s="1165"/>
      <c r="DH2" s="1165"/>
      <c r="DI2" s="1165"/>
      <c r="DJ2" s="1165"/>
      <c r="DK2" s="1165"/>
      <c r="DL2" s="1165"/>
      <c r="DM2" s="1165"/>
      <c r="DN2" s="1165"/>
      <c r="DO2" s="1165"/>
      <c r="DP2" s="1165"/>
      <c r="DQ2" s="1165"/>
      <c r="DR2" s="1165"/>
      <c r="DS2" s="1165"/>
      <c r="DT2" s="1165"/>
      <c r="DU2" s="1165"/>
      <c r="DV2" s="1165"/>
      <c r="DW2" s="1165"/>
      <c r="DX2" s="1165"/>
      <c r="DY2" s="1165"/>
      <c r="DZ2" s="1165"/>
      <c r="EA2" s="1165"/>
      <c r="EB2" s="1165"/>
      <c r="EC2" s="1165"/>
      <c r="ED2" s="1165"/>
      <c r="EE2" s="1165"/>
      <c r="EF2" s="1165"/>
      <c r="EG2" s="1165"/>
      <c r="EH2" s="1165"/>
      <c r="EI2" s="1165"/>
      <c r="EJ2" s="1165"/>
      <c r="EK2" s="1165"/>
      <c r="EL2" s="1165"/>
      <c r="EM2" s="1165"/>
      <c r="EN2" s="1165"/>
      <c r="EO2" s="1165"/>
      <c r="EP2" s="1165"/>
      <c r="EQ2" s="1165"/>
      <c r="ER2" s="1165"/>
      <c r="ES2" s="1165"/>
      <c r="ET2" s="1165"/>
      <c r="EU2" s="1165"/>
      <c r="EV2" s="1165"/>
      <c r="EW2" s="1165"/>
      <c r="EX2" s="1165"/>
      <c r="EY2" s="1165"/>
      <c r="EZ2" s="1165"/>
      <c r="FA2" s="1165"/>
      <c r="FB2" s="1165"/>
      <c r="FC2" s="1165"/>
      <c r="FD2" s="1165"/>
      <c r="FE2" s="1165"/>
      <c r="FF2" s="1165"/>
      <c r="FG2" s="1165"/>
      <c r="FH2" s="1165"/>
      <c r="FI2" s="1165"/>
      <c r="FJ2" s="1165"/>
      <c r="FK2" s="1165"/>
      <c r="FL2" s="1165"/>
      <c r="FM2" s="1165"/>
      <c r="FN2" s="1165"/>
      <c r="FO2" s="1165"/>
      <c r="FP2" s="1165"/>
      <c r="FQ2" s="1165"/>
      <c r="FR2" s="1165"/>
      <c r="FS2" s="1165"/>
      <c r="FT2" s="1165"/>
      <c r="FU2" s="1165"/>
      <c r="FV2" s="1165"/>
      <c r="FW2" s="1165"/>
      <c r="FX2" s="1165"/>
      <c r="FY2" s="1165"/>
      <c r="FZ2" s="1165"/>
      <c r="GA2" s="1165"/>
      <c r="GB2" s="1165"/>
      <c r="GC2" s="1165"/>
      <c r="GD2" s="1165"/>
      <c r="GE2" s="1165"/>
      <c r="GF2" s="1165"/>
      <c r="GG2" s="1165"/>
      <c r="GH2" s="1165"/>
      <c r="GI2" s="1165"/>
      <c r="GJ2" s="1165"/>
      <c r="GK2" s="1165"/>
      <c r="GL2" s="1165"/>
      <c r="GM2" s="1165"/>
      <c r="GN2" s="1165"/>
      <c r="GO2" s="1165"/>
      <c r="GP2" s="1165"/>
      <c r="GQ2" s="1165"/>
      <c r="GR2" s="1165"/>
      <c r="GS2" s="1165"/>
      <c r="GT2" s="1165"/>
      <c r="GU2" s="1165"/>
      <c r="GV2" s="1165"/>
      <c r="GW2" s="1165"/>
      <c r="GX2" s="1165"/>
      <c r="GY2" s="1165"/>
      <c r="GZ2" s="1165"/>
      <c r="HA2" s="1165"/>
      <c r="HB2" s="1165"/>
      <c r="HC2" s="1165"/>
      <c r="HD2" s="1165"/>
      <c r="HE2" s="1165"/>
      <c r="HF2" s="1165"/>
      <c r="HG2" s="1165"/>
      <c r="HH2" s="1165"/>
      <c r="HI2" s="1165"/>
      <c r="HJ2" s="1165"/>
      <c r="HK2" s="1165"/>
      <c r="HL2" s="1165"/>
      <c r="HM2" s="1165"/>
      <c r="HN2" s="1165"/>
      <c r="HO2" s="1165"/>
      <c r="HP2" s="1165"/>
      <c r="HQ2" s="1165"/>
      <c r="HR2" s="1165"/>
      <c r="HS2" s="1165"/>
      <c r="HT2" s="1165"/>
      <c r="HU2" s="1165"/>
      <c r="HV2" s="1165"/>
      <c r="HW2" s="1165"/>
      <c r="HX2" s="1165"/>
      <c r="HY2" s="1165"/>
      <c r="HZ2" s="1165"/>
      <c r="IA2" s="1165"/>
      <c r="IB2" s="1165"/>
      <c r="IC2" s="1165"/>
      <c r="ID2" s="1165"/>
      <c r="IE2" s="1165"/>
      <c r="IF2" s="1165"/>
      <c r="IG2" s="1165"/>
      <c r="IH2" s="1165"/>
      <c r="II2" s="1165"/>
      <c r="IJ2" s="1165"/>
      <c r="IK2" s="1165"/>
      <c r="IL2" s="1165"/>
      <c r="IM2" s="1165"/>
      <c r="IN2" s="1165"/>
      <c r="IO2" s="1165"/>
      <c r="IP2" s="1165"/>
    </row>
    <row r="3" spans="1:256" ht="24.75" customHeight="1" x14ac:dyDescent="0.35">
      <c r="A3" s="2001" t="s">
        <v>518</v>
      </c>
      <c r="B3" s="2001"/>
      <c r="C3" s="2001"/>
      <c r="D3" s="2001"/>
      <c r="E3" s="2001"/>
      <c r="F3" s="2001"/>
      <c r="G3" s="2001"/>
      <c r="H3" s="2001"/>
      <c r="I3" s="2001"/>
      <c r="J3" s="2001"/>
      <c r="K3" s="2001"/>
      <c r="L3" s="2001"/>
      <c r="M3" s="2001"/>
      <c r="N3" s="2001"/>
      <c r="O3" s="2001"/>
      <c r="P3" s="2001"/>
    </row>
    <row r="4" spans="1:256" ht="24.75" customHeight="1" x14ac:dyDescent="0.35">
      <c r="A4" s="2016" t="s">
        <v>964</v>
      </c>
      <c r="B4" s="2016"/>
      <c r="C4" s="2016"/>
      <c r="D4" s="2016"/>
      <c r="E4" s="2016"/>
      <c r="F4" s="2016"/>
      <c r="G4" s="2016"/>
      <c r="H4" s="2016"/>
      <c r="I4" s="2016"/>
      <c r="J4" s="2016"/>
      <c r="K4" s="2016"/>
      <c r="L4" s="2016"/>
      <c r="M4" s="2016"/>
      <c r="N4" s="2016"/>
      <c r="O4" s="2016"/>
      <c r="P4" s="2016"/>
    </row>
    <row r="5" spans="1:256" s="1160" customFormat="1" ht="18" customHeight="1" x14ac:dyDescent="0.3">
      <c r="A5" s="1155"/>
      <c r="B5" s="1155"/>
      <c r="C5" s="1155"/>
      <c r="E5" s="1157"/>
      <c r="F5" s="1157"/>
      <c r="G5" s="1157"/>
      <c r="H5" s="1445"/>
      <c r="I5" s="1157"/>
      <c r="J5" s="1157"/>
      <c r="K5" s="1157"/>
      <c r="L5" s="1157"/>
      <c r="M5" s="1157"/>
      <c r="N5" s="1157"/>
      <c r="O5" s="1446"/>
      <c r="P5" s="1167" t="s">
        <v>0</v>
      </c>
    </row>
    <row r="6" spans="1:256" s="39" customFormat="1" ht="18" customHeight="1" x14ac:dyDescent="0.3">
      <c r="A6" s="1447"/>
      <c r="B6" s="1448" t="s">
        <v>1</v>
      </c>
      <c r="C6" s="1169" t="s">
        <v>2</v>
      </c>
      <c r="D6" s="1169" t="s">
        <v>98</v>
      </c>
      <c r="E6" s="1169" t="s">
        <v>99</v>
      </c>
      <c r="F6" s="1169" t="s">
        <v>100</v>
      </c>
      <c r="G6" s="1169" t="s">
        <v>101</v>
      </c>
      <c r="H6" s="1169" t="s">
        <v>102</v>
      </c>
      <c r="I6" s="1169" t="s">
        <v>103</v>
      </c>
      <c r="J6" s="1169" t="s">
        <v>104</v>
      </c>
      <c r="K6" s="1169" t="s">
        <v>105</v>
      </c>
      <c r="L6" s="1169" t="s">
        <v>106</v>
      </c>
      <c r="M6" s="1169" t="s">
        <v>107</v>
      </c>
      <c r="N6" s="1169" t="s">
        <v>215</v>
      </c>
      <c r="O6" s="1169" t="s">
        <v>216</v>
      </c>
      <c r="P6" s="1169" t="s">
        <v>217</v>
      </c>
      <c r="Q6" s="1447"/>
      <c r="R6" s="1447"/>
      <c r="S6" s="1447"/>
      <c r="T6" s="1447"/>
      <c r="U6" s="1447"/>
      <c r="V6" s="1447"/>
      <c r="W6" s="1447"/>
      <c r="X6" s="1447"/>
      <c r="Y6" s="1447"/>
      <c r="Z6" s="1447"/>
      <c r="AA6" s="1447"/>
      <c r="AB6" s="1447"/>
      <c r="AC6" s="1447"/>
      <c r="AD6" s="1447"/>
      <c r="AE6" s="1447"/>
      <c r="AF6" s="1447"/>
      <c r="AG6" s="1447"/>
      <c r="AH6" s="1447"/>
      <c r="AI6" s="1447"/>
      <c r="AJ6" s="1447"/>
      <c r="AK6" s="1447"/>
      <c r="AL6" s="1447"/>
      <c r="AM6" s="1447"/>
      <c r="AN6" s="1447"/>
      <c r="AO6" s="1447"/>
      <c r="AP6" s="1447"/>
      <c r="AQ6" s="1447"/>
      <c r="AR6" s="1447"/>
      <c r="AS6" s="1447"/>
      <c r="AT6" s="1447"/>
      <c r="AU6" s="1447"/>
      <c r="AV6" s="1447"/>
      <c r="AW6" s="1447"/>
      <c r="AX6" s="1447"/>
      <c r="AY6" s="1447"/>
      <c r="AZ6" s="1447"/>
      <c r="BA6" s="1447"/>
      <c r="BB6" s="1447"/>
      <c r="BC6" s="1447"/>
      <c r="BD6" s="1447"/>
      <c r="BE6" s="1447"/>
      <c r="BF6" s="1447"/>
      <c r="BG6" s="1447"/>
      <c r="BH6" s="1447"/>
      <c r="BI6" s="1447"/>
      <c r="BJ6" s="1447"/>
      <c r="BK6" s="1447"/>
      <c r="BL6" s="1447"/>
      <c r="BM6" s="1447"/>
      <c r="BN6" s="1447"/>
      <c r="BO6" s="1447"/>
      <c r="BP6" s="1447"/>
      <c r="BQ6" s="1447"/>
      <c r="BR6" s="1447"/>
      <c r="BS6" s="1447"/>
      <c r="BT6" s="1447"/>
      <c r="BU6" s="1447"/>
      <c r="BV6" s="1447"/>
      <c r="BW6" s="1447"/>
      <c r="BX6" s="1447"/>
      <c r="BY6" s="1447"/>
      <c r="BZ6" s="1447"/>
      <c r="CA6" s="1447"/>
      <c r="CB6" s="1447"/>
      <c r="CC6" s="1447"/>
      <c r="CD6" s="1447"/>
      <c r="CE6" s="1447"/>
      <c r="CF6" s="1447"/>
      <c r="CG6" s="1447"/>
      <c r="CH6" s="1447"/>
      <c r="CI6" s="1447"/>
      <c r="CJ6" s="1447"/>
      <c r="CK6" s="1447"/>
      <c r="CL6" s="1447"/>
      <c r="CM6" s="1447"/>
      <c r="CN6" s="1447"/>
      <c r="CO6" s="1447"/>
      <c r="CP6" s="1447"/>
      <c r="CQ6" s="1447"/>
      <c r="CR6" s="1447"/>
      <c r="CS6" s="1447"/>
      <c r="CT6" s="1447"/>
      <c r="CU6" s="1447"/>
      <c r="CV6" s="1447"/>
      <c r="CW6" s="1447"/>
      <c r="CX6" s="1447"/>
      <c r="CY6" s="1447"/>
      <c r="CZ6" s="1447"/>
      <c r="DA6" s="1447"/>
      <c r="DB6" s="1447"/>
      <c r="DC6" s="1447"/>
      <c r="DD6" s="1447"/>
      <c r="DE6" s="1447"/>
      <c r="DF6" s="1447"/>
      <c r="DG6" s="1447"/>
      <c r="DH6" s="1447"/>
      <c r="DI6" s="1447"/>
      <c r="DJ6" s="1447"/>
      <c r="DK6" s="1447"/>
      <c r="DL6" s="1447"/>
      <c r="DM6" s="1447"/>
      <c r="DN6" s="1447"/>
      <c r="DO6" s="1447"/>
      <c r="DP6" s="1447"/>
      <c r="DQ6" s="1447"/>
      <c r="DR6" s="1447"/>
      <c r="DS6" s="1447"/>
      <c r="DT6" s="1447"/>
      <c r="DU6" s="1447"/>
      <c r="DV6" s="1447"/>
      <c r="DW6" s="1447"/>
      <c r="DX6" s="1447"/>
      <c r="DY6" s="1447"/>
      <c r="DZ6" s="1447"/>
      <c r="EA6" s="1447"/>
      <c r="EB6" s="1447"/>
      <c r="EC6" s="1447"/>
      <c r="ED6" s="1447"/>
      <c r="EE6" s="1447"/>
      <c r="EF6" s="1447"/>
      <c r="EG6" s="1447"/>
      <c r="EH6" s="1447"/>
      <c r="EI6" s="1447"/>
      <c r="EJ6" s="1447"/>
      <c r="EK6" s="1447"/>
      <c r="EL6" s="1447"/>
      <c r="EM6" s="1447"/>
      <c r="EN6" s="1447"/>
      <c r="EO6" s="1447"/>
      <c r="EP6" s="1447"/>
      <c r="EQ6" s="1447"/>
      <c r="ER6" s="1447"/>
      <c r="ES6" s="1447"/>
      <c r="ET6" s="1447"/>
      <c r="EU6" s="1447"/>
      <c r="EV6" s="1447"/>
      <c r="EW6" s="1447"/>
      <c r="EX6" s="1447"/>
      <c r="EY6" s="1447"/>
      <c r="EZ6" s="1447"/>
      <c r="FA6" s="1447"/>
      <c r="FB6" s="1447"/>
      <c r="FC6" s="1447"/>
      <c r="FD6" s="1447"/>
      <c r="FE6" s="1447"/>
      <c r="FF6" s="1447"/>
      <c r="FG6" s="1447"/>
      <c r="FH6" s="1447"/>
      <c r="FI6" s="1447"/>
      <c r="FJ6" s="1447"/>
      <c r="FK6" s="1447"/>
      <c r="FL6" s="1447"/>
      <c r="FM6" s="1447"/>
      <c r="FN6" s="1447"/>
      <c r="FO6" s="1447"/>
      <c r="FP6" s="1447"/>
      <c r="FQ6" s="1447"/>
      <c r="FR6" s="1447"/>
      <c r="FS6" s="1447"/>
      <c r="FT6" s="1447"/>
      <c r="FU6" s="1447"/>
      <c r="FV6" s="1447"/>
      <c r="FW6" s="1447"/>
      <c r="FX6" s="1447"/>
      <c r="FY6" s="1447"/>
      <c r="FZ6" s="1447"/>
      <c r="GA6" s="1447"/>
      <c r="GB6" s="1447"/>
      <c r="GC6" s="1447"/>
      <c r="GD6" s="1447"/>
      <c r="GE6" s="1447"/>
      <c r="GF6" s="1447"/>
      <c r="GG6" s="1447"/>
      <c r="GH6" s="1447"/>
      <c r="GI6" s="1447"/>
      <c r="GJ6" s="1447"/>
      <c r="GK6" s="1447"/>
      <c r="GL6" s="1447"/>
      <c r="GM6" s="1447"/>
      <c r="GN6" s="1447"/>
      <c r="GO6" s="1447"/>
      <c r="GP6" s="1447"/>
      <c r="GQ6" s="1447"/>
      <c r="GR6" s="1447"/>
      <c r="GS6" s="1447"/>
      <c r="GT6" s="1447"/>
      <c r="GU6" s="1447"/>
      <c r="GV6" s="1447"/>
      <c r="GW6" s="1447"/>
      <c r="GX6" s="1447"/>
      <c r="GY6" s="1447"/>
      <c r="GZ6" s="1447"/>
      <c r="HA6" s="1447"/>
      <c r="HB6" s="1447"/>
      <c r="HC6" s="1447"/>
      <c r="HD6" s="1447"/>
      <c r="HE6" s="1447"/>
      <c r="HF6" s="1447"/>
      <c r="HG6" s="1447"/>
      <c r="HH6" s="1447"/>
      <c r="HI6" s="1447"/>
      <c r="HJ6" s="1447"/>
      <c r="HK6" s="1447"/>
      <c r="HL6" s="1447"/>
      <c r="HM6" s="1447"/>
      <c r="HN6" s="1447"/>
      <c r="HO6" s="1447"/>
      <c r="HP6" s="1447"/>
      <c r="HQ6" s="1447"/>
      <c r="HR6" s="1447"/>
      <c r="HS6" s="1447"/>
      <c r="HT6" s="1447"/>
      <c r="HU6" s="1447"/>
      <c r="HV6" s="1447"/>
      <c r="HW6" s="1447"/>
      <c r="HX6" s="1447"/>
      <c r="HY6" s="1447"/>
      <c r="HZ6" s="1447"/>
      <c r="IA6" s="1447"/>
      <c r="IB6" s="1447"/>
      <c r="IC6" s="1447"/>
      <c r="ID6" s="1447"/>
      <c r="IE6" s="1447"/>
      <c r="IF6" s="1447"/>
      <c r="IG6" s="1447"/>
      <c r="IH6" s="1447"/>
      <c r="II6" s="1447"/>
      <c r="IJ6" s="1447"/>
      <c r="IK6" s="1447"/>
      <c r="IL6" s="1447"/>
      <c r="IM6" s="1447"/>
      <c r="IN6" s="1447"/>
      <c r="IO6" s="1447"/>
      <c r="IP6" s="1447"/>
    </row>
    <row r="7" spans="1:256" ht="22.5" customHeight="1" x14ac:dyDescent="0.3">
      <c r="B7" s="2017" t="s">
        <v>108</v>
      </c>
      <c r="C7" s="2018" t="s">
        <v>109</v>
      </c>
      <c r="D7" s="2019" t="s">
        <v>3</v>
      </c>
      <c r="E7" s="2020" t="s">
        <v>965</v>
      </c>
      <c r="F7" s="2020" t="s">
        <v>966</v>
      </c>
      <c r="G7" s="2021" t="s">
        <v>967</v>
      </c>
      <c r="H7" s="2006" t="s">
        <v>280</v>
      </c>
      <c r="I7" s="2022" t="s">
        <v>520</v>
      </c>
      <c r="J7" s="2022"/>
      <c r="K7" s="2022"/>
      <c r="L7" s="2022"/>
      <c r="M7" s="2022"/>
      <c r="N7" s="2022"/>
      <c r="O7" s="2022"/>
      <c r="P7" s="2023" t="s">
        <v>767</v>
      </c>
      <c r="Q7" s="2011"/>
      <c r="R7" s="2011"/>
    </row>
    <row r="8" spans="1:256" ht="33" customHeight="1" x14ac:dyDescent="0.3">
      <c r="B8" s="2017"/>
      <c r="C8" s="2018"/>
      <c r="D8" s="2019"/>
      <c r="E8" s="2020"/>
      <c r="F8" s="2020"/>
      <c r="G8" s="2021"/>
      <c r="H8" s="2006"/>
      <c r="I8" s="2012" t="s">
        <v>968</v>
      </c>
      <c r="J8" s="2012"/>
      <c r="K8" s="2012"/>
      <c r="L8" s="2012"/>
      <c r="M8" s="2013" t="s">
        <v>187</v>
      </c>
      <c r="N8" s="2013"/>
      <c r="O8" s="2014" t="s">
        <v>4</v>
      </c>
      <c r="P8" s="2023"/>
    </row>
    <row r="9" spans="1:256" ht="53.25" customHeight="1" x14ac:dyDescent="0.3">
      <c r="B9" s="2017"/>
      <c r="C9" s="2018"/>
      <c r="D9" s="2019"/>
      <c r="E9" s="2020"/>
      <c r="F9" s="2020"/>
      <c r="G9" s="2021"/>
      <c r="H9" s="2006"/>
      <c r="I9" s="1449" t="s">
        <v>282</v>
      </c>
      <c r="J9" s="1450" t="s">
        <v>969</v>
      </c>
      <c r="K9" s="1451" t="s">
        <v>284</v>
      </c>
      <c r="L9" s="1451" t="s">
        <v>970</v>
      </c>
      <c r="M9" s="1450" t="s">
        <v>56</v>
      </c>
      <c r="N9" s="1450" t="s">
        <v>188</v>
      </c>
      <c r="O9" s="2014"/>
      <c r="P9" s="2023"/>
    </row>
    <row r="10" spans="1:256" s="1464" customFormat="1" ht="22.5" customHeight="1" x14ac:dyDescent="0.35">
      <c r="A10" s="1452">
        <v>1</v>
      </c>
      <c r="B10" s="1453">
        <v>18</v>
      </c>
      <c r="C10" s="1454" t="s">
        <v>518</v>
      </c>
      <c r="D10" s="1455"/>
      <c r="E10" s="1456"/>
      <c r="F10" s="1457"/>
      <c r="G10" s="1458"/>
      <c r="H10" s="1459"/>
      <c r="I10" s="1460"/>
      <c r="J10" s="1461"/>
      <c r="K10" s="1461"/>
      <c r="L10" s="1461"/>
      <c r="M10" s="1461"/>
      <c r="N10" s="1461"/>
      <c r="O10" s="1462"/>
      <c r="P10" s="1463"/>
      <c r="Q10" s="1166"/>
      <c r="R10" s="1166"/>
      <c r="S10" s="1166"/>
      <c r="T10" s="1166"/>
      <c r="U10" s="1166"/>
      <c r="V10" s="1166"/>
      <c r="W10" s="1166"/>
      <c r="X10" s="1166"/>
      <c r="Y10" s="1166"/>
      <c r="Z10" s="1166"/>
      <c r="AA10" s="1166"/>
      <c r="AB10" s="1166"/>
      <c r="AC10" s="1166"/>
      <c r="AD10" s="1166"/>
      <c r="AE10" s="1166"/>
      <c r="AF10" s="1166"/>
      <c r="AG10" s="1166"/>
      <c r="AH10" s="1166"/>
      <c r="AI10" s="1166"/>
      <c r="AJ10" s="1166"/>
      <c r="AK10" s="1166"/>
      <c r="AL10" s="1166"/>
      <c r="AM10" s="1166"/>
      <c r="AN10" s="1166"/>
      <c r="AO10" s="1166"/>
      <c r="AP10" s="1166"/>
      <c r="AQ10" s="1166"/>
      <c r="AR10" s="1166"/>
      <c r="AS10" s="1166"/>
      <c r="AT10" s="1166"/>
      <c r="AU10" s="1166"/>
      <c r="AV10" s="1166"/>
      <c r="AW10" s="1166"/>
      <c r="AX10" s="1166"/>
      <c r="AY10" s="1166"/>
      <c r="AZ10" s="1166"/>
      <c r="BA10" s="1166"/>
      <c r="BB10" s="1166"/>
      <c r="BC10" s="1166"/>
      <c r="BD10" s="1166"/>
      <c r="BE10" s="1166"/>
      <c r="BF10" s="1166"/>
      <c r="BG10" s="1166"/>
      <c r="BH10" s="1166"/>
      <c r="BI10" s="1166"/>
      <c r="BJ10" s="1166"/>
      <c r="BK10" s="1166"/>
      <c r="BL10" s="1166"/>
      <c r="BM10" s="1166"/>
      <c r="BN10" s="1166"/>
      <c r="BO10" s="1166"/>
      <c r="BP10" s="1166"/>
      <c r="BQ10" s="1166"/>
      <c r="BR10" s="1166"/>
      <c r="BS10" s="1166"/>
      <c r="BT10" s="1166"/>
      <c r="BU10" s="1166"/>
      <c r="BV10" s="1166"/>
      <c r="BW10" s="1166"/>
      <c r="BX10" s="1166"/>
      <c r="BY10" s="1166"/>
      <c r="BZ10" s="1166"/>
      <c r="CA10" s="1166"/>
      <c r="CB10" s="1166"/>
      <c r="CC10" s="1166"/>
      <c r="CD10" s="1166"/>
      <c r="CE10" s="1166"/>
      <c r="CF10" s="1166"/>
      <c r="CG10" s="1166"/>
      <c r="CH10" s="1166"/>
      <c r="CI10" s="1166"/>
      <c r="CJ10" s="1166"/>
      <c r="CK10" s="1166"/>
      <c r="CL10" s="1166"/>
      <c r="CM10" s="1166"/>
      <c r="CN10" s="1166"/>
      <c r="CO10" s="1166"/>
      <c r="CP10" s="1166"/>
      <c r="CQ10" s="1166"/>
      <c r="CR10" s="1166"/>
      <c r="CS10" s="1166"/>
      <c r="CT10" s="1166"/>
      <c r="CU10" s="1166"/>
      <c r="CV10" s="1166"/>
      <c r="CW10" s="1166"/>
      <c r="CX10" s="1166"/>
      <c r="CY10" s="1166"/>
      <c r="CZ10" s="1166"/>
      <c r="DA10" s="1166"/>
      <c r="DB10" s="1166"/>
      <c r="DC10" s="1166"/>
      <c r="DD10" s="1166"/>
      <c r="DE10" s="1166"/>
      <c r="DF10" s="1166"/>
      <c r="DG10" s="1166"/>
      <c r="DH10" s="1166"/>
      <c r="DI10" s="1166"/>
      <c r="DJ10" s="1166"/>
      <c r="DK10" s="1166"/>
      <c r="DL10" s="1166"/>
      <c r="DM10" s="1166"/>
      <c r="DN10" s="1166"/>
      <c r="DO10" s="1166"/>
      <c r="DP10" s="1166"/>
      <c r="DQ10" s="1166"/>
      <c r="DR10" s="1166"/>
      <c r="DS10" s="1166"/>
      <c r="DT10" s="1166"/>
      <c r="DU10" s="1166"/>
      <c r="DV10" s="1166"/>
      <c r="DW10" s="1166"/>
      <c r="DX10" s="1166"/>
      <c r="DY10" s="1166"/>
      <c r="DZ10" s="1166"/>
      <c r="EA10" s="1166"/>
      <c r="EB10" s="1166"/>
      <c r="EC10" s="1166"/>
      <c r="ED10" s="1166"/>
      <c r="EE10" s="1166"/>
      <c r="EF10" s="1166"/>
      <c r="EG10" s="1166"/>
      <c r="EH10" s="1166"/>
      <c r="EI10" s="1166"/>
      <c r="EJ10" s="1166"/>
      <c r="EK10" s="1166"/>
      <c r="EL10" s="1166"/>
      <c r="EM10" s="1166"/>
      <c r="EN10" s="1166"/>
      <c r="EO10" s="1166"/>
      <c r="EP10" s="1166"/>
      <c r="EQ10" s="1166"/>
      <c r="ER10" s="1166"/>
      <c r="ES10" s="1166"/>
      <c r="ET10" s="1166"/>
      <c r="EU10" s="1166"/>
      <c r="EV10" s="1166"/>
      <c r="EW10" s="1166"/>
      <c r="EX10" s="1166"/>
      <c r="EY10" s="1166"/>
      <c r="EZ10" s="1166"/>
      <c r="FA10" s="1166"/>
      <c r="FB10" s="1166"/>
      <c r="FC10" s="1166"/>
      <c r="FD10" s="1166"/>
      <c r="FE10" s="1166"/>
      <c r="FF10" s="1166"/>
      <c r="FG10" s="1166"/>
      <c r="FH10" s="1166"/>
      <c r="FI10" s="1166"/>
      <c r="FJ10" s="1166"/>
      <c r="FK10" s="1166"/>
      <c r="FL10" s="1166"/>
      <c r="FM10" s="1166"/>
      <c r="FN10" s="1166"/>
      <c r="FO10" s="1166"/>
      <c r="FP10" s="1166"/>
      <c r="FQ10" s="1166"/>
      <c r="FR10" s="1166"/>
      <c r="FS10" s="1166"/>
      <c r="FT10" s="1166"/>
      <c r="FU10" s="1166"/>
      <c r="FV10" s="1166"/>
      <c r="FW10" s="1166"/>
      <c r="FX10" s="1166"/>
      <c r="FY10" s="1166"/>
      <c r="FZ10" s="1166"/>
      <c r="GA10" s="1166"/>
      <c r="GB10" s="1166"/>
      <c r="GC10" s="1166"/>
      <c r="GD10" s="1166"/>
      <c r="GE10" s="1166"/>
      <c r="GF10" s="1166"/>
      <c r="GG10" s="1166"/>
      <c r="GH10" s="1166"/>
      <c r="GI10" s="1166"/>
      <c r="GJ10" s="1166"/>
      <c r="GK10" s="1166"/>
      <c r="GL10" s="1166"/>
      <c r="GM10" s="1166"/>
      <c r="GN10" s="1166"/>
      <c r="GO10" s="1166"/>
      <c r="GP10" s="1166"/>
      <c r="GQ10" s="1166"/>
      <c r="GR10" s="1166"/>
      <c r="GS10" s="1166"/>
      <c r="GT10" s="1166"/>
      <c r="GU10" s="1166"/>
      <c r="GV10" s="1166"/>
      <c r="GW10" s="1166"/>
      <c r="GX10" s="1166"/>
      <c r="GY10" s="1166"/>
      <c r="GZ10" s="1166"/>
      <c r="HA10" s="1166"/>
      <c r="HB10" s="1166"/>
      <c r="HC10" s="1166"/>
      <c r="HD10" s="1166"/>
      <c r="HE10" s="1166"/>
      <c r="HF10" s="1166"/>
      <c r="HG10" s="1166"/>
      <c r="HH10" s="1166"/>
      <c r="HI10" s="1166"/>
      <c r="HJ10" s="1166"/>
      <c r="HK10" s="1166"/>
      <c r="HL10" s="1166"/>
      <c r="HM10" s="1166"/>
      <c r="HN10" s="1166"/>
      <c r="HO10" s="1166"/>
      <c r="HP10" s="1166"/>
      <c r="HQ10" s="1166"/>
      <c r="HR10" s="1166"/>
      <c r="HS10" s="1166"/>
      <c r="HT10" s="1166"/>
      <c r="HU10" s="1166"/>
      <c r="HV10" s="1166"/>
      <c r="HW10" s="1166"/>
      <c r="HX10" s="1166"/>
      <c r="HY10" s="1166"/>
      <c r="HZ10" s="1166"/>
      <c r="IA10" s="1166"/>
      <c r="IB10" s="1166"/>
      <c r="IC10" s="1166"/>
      <c r="ID10" s="1166"/>
      <c r="IE10" s="1166"/>
      <c r="IF10" s="1166"/>
      <c r="IG10" s="1166"/>
      <c r="IH10" s="1166"/>
      <c r="II10" s="1166"/>
      <c r="IJ10" s="1166"/>
      <c r="IK10" s="1166"/>
      <c r="IL10" s="1166"/>
      <c r="IM10" s="1166"/>
      <c r="IN10" s="1166"/>
      <c r="IO10" s="1166"/>
      <c r="IP10" s="1166"/>
      <c r="IQ10" s="1166"/>
      <c r="IR10" s="1166"/>
      <c r="IS10" s="1166"/>
      <c r="IT10" s="1166"/>
      <c r="IU10" s="1166"/>
      <c r="IV10" s="1166"/>
    </row>
    <row r="11" spans="1:256" s="1464" customFormat="1" ht="33.75" customHeight="1" x14ac:dyDescent="0.35">
      <c r="A11" s="1452">
        <v>2</v>
      </c>
      <c r="B11" s="1465"/>
      <c r="C11" s="1187">
        <v>1</v>
      </c>
      <c r="D11" s="1466" t="s">
        <v>305</v>
      </c>
      <c r="E11" s="1467">
        <f>F11+G11+O15+P12+2207</f>
        <v>81250</v>
      </c>
      <c r="F11" s="1468"/>
      <c r="G11" s="1469">
        <v>21668</v>
      </c>
      <c r="H11" s="1470" t="s">
        <v>296</v>
      </c>
      <c r="I11" s="1471"/>
      <c r="J11" s="1472"/>
      <c r="K11" s="1472"/>
      <c r="L11" s="1472"/>
      <c r="M11" s="1472"/>
      <c r="N11" s="1473"/>
      <c r="O11" s="1474"/>
      <c r="P11" s="1475"/>
      <c r="Q11" s="1166"/>
      <c r="R11" s="1166"/>
      <c r="S11" s="1166"/>
      <c r="T11" s="1166"/>
      <c r="U11" s="1166"/>
      <c r="V11" s="1166"/>
      <c r="W11" s="1166"/>
      <c r="X11" s="1166"/>
      <c r="Y11" s="1166"/>
      <c r="Z11" s="1166"/>
      <c r="AA11" s="1166"/>
      <c r="AB11" s="1166"/>
      <c r="AC11" s="1166"/>
      <c r="AD11" s="1166"/>
      <c r="AE11" s="1166"/>
      <c r="AF11" s="1166"/>
      <c r="AG11" s="1166"/>
      <c r="AH11" s="1166"/>
      <c r="AI11" s="1166"/>
      <c r="AJ11" s="1166"/>
      <c r="AK11" s="1166"/>
      <c r="AL11" s="1166"/>
      <c r="AM11" s="1166"/>
      <c r="AN11" s="1166"/>
      <c r="AO11" s="1166"/>
      <c r="AP11" s="1166"/>
      <c r="AQ11" s="1166"/>
      <c r="AR11" s="1166"/>
      <c r="AS11" s="1166"/>
      <c r="AT11" s="1166"/>
      <c r="AU11" s="1166"/>
      <c r="AV11" s="1166"/>
      <c r="AW11" s="1166"/>
      <c r="AX11" s="1166"/>
      <c r="AY11" s="1166"/>
      <c r="AZ11" s="1166"/>
      <c r="BA11" s="1166"/>
      <c r="BB11" s="1166"/>
      <c r="BC11" s="1166"/>
      <c r="BD11" s="1166"/>
      <c r="BE11" s="1166"/>
      <c r="BF11" s="1166"/>
      <c r="BG11" s="1166"/>
      <c r="BH11" s="1166"/>
      <c r="BI11" s="1166"/>
      <c r="BJ11" s="1166"/>
      <c r="BK11" s="1166"/>
      <c r="BL11" s="1166"/>
      <c r="BM11" s="1166"/>
      <c r="BN11" s="1166"/>
      <c r="BO11" s="1166"/>
      <c r="BP11" s="1166"/>
      <c r="BQ11" s="1166"/>
      <c r="BR11" s="1166"/>
      <c r="BS11" s="1166"/>
      <c r="BT11" s="1166"/>
      <c r="BU11" s="1166"/>
      <c r="BV11" s="1166"/>
      <c r="BW11" s="1166"/>
      <c r="BX11" s="1166"/>
      <c r="BY11" s="1166"/>
      <c r="BZ11" s="1166"/>
      <c r="CA11" s="1166"/>
      <c r="CB11" s="1166"/>
      <c r="CC11" s="1166"/>
      <c r="CD11" s="1166"/>
      <c r="CE11" s="1166"/>
      <c r="CF11" s="1166"/>
      <c r="CG11" s="1166"/>
      <c r="CH11" s="1166"/>
      <c r="CI11" s="1166"/>
      <c r="CJ11" s="1166"/>
      <c r="CK11" s="1166"/>
      <c r="CL11" s="1166"/>
      <c r="CM11" s="1166"/>
      <c r="CN11" s="1166"/>
      <c r="CO11" s="1166"/>
      <c r="CP11" s="1166"/>
      <c r="CQ11" s="1166"/>
      <c r="CR11" s="1166"/>
      <c r="CS11" s="1166"/>
      <c r="CT11" s="1166"/>
      <c r="CU11" s="1166"/>
      <c r="CV11" s="1166"/>
      <c r="CW11" s="1166"/>
      <c r="CX11" s="1166"/>
      <c r="CY11" s="1166"/>
      <c r="CZ11" s="1166"/>
      <c r="DA11" s="1166"/>
      <c r="DB11" s="1166"/>
      <c r="DC11" s="1166"/>
      <c r="DD11" s="1166"/>
      <c r="DE11" s="1166"/>
      <c r="DF11" s="1166"/>
      <c r="DG11" s="1166"/>
      <c r="DH11" s="1166"/>
      <c r="DI11" s="1166"/>
      <c r="DJ11" s="1166"/>
      <c r="DK11" s="1166"/>
      <c r="DL11" s="1166"/>
      <c r="DM11" s="1166"/>
      <c r="DN11" s="1166"/>
      <c r="DO11" s="1166"/>
      <c r="DP11" s="1166"/>
      <c r="DQ11" s="1166"/>
      <c r="DR11" s="1166"/>
      <c r="DS11" s="1166"/>
      <c r="DT11" s="1166"/>
      <c r="DU11" s="1166"/>
      <c r="DV11" s="1166"/>
      <c r="DW11" s="1166"/>
      <c r="DX11" s="1166"/>
      <c r="DY11" s="1166"/>
      <c r="DZ11" s="1166"/>
      <c r="EA11" s="1166"/>
      <c r="EB11" s="1166"/>
      <c r="EC11" s="1166"/>
      <c r="ED11" s="1166"/>
      <c r="EE11" s="1166"/>
      <c r="EF11" s="1166"/>
      <c r="EG11" s="1166"/>
      <c r="EH11" s="1166"/>
      <c r="EI11" s="1166"/>
      <c r="EJ11" s="1166"/>
      <c r="EK11" s="1166"/>
      <c r="EL11" s="1166"/>
      <c r="EM11" s="1166"/>
      <c r="EN11" s="1166"/>
      <c r="EO11" s="1166"/>
      <c r="EP11" s="1166"/>
      <c r="EQ11" s="1166"/>
      <c r="ER11" s="1166"/>
      <c r="ES11" s="1166"/>
      <c r="ET11" s="1166"/>
      <c r="EU11" s="1166"/>
      <c r="EV11" s="1166"/>
      <c r="EW11" s="1166"/>
      <c r="EX11" s="1166"/>
      <c r="EY11" s="1166"/>
      <c r="EZ11" s="1166"/>
      <c r="FA11" s="1166"/>
      <c r="FB11" s="1166"/>
      <c r="FC11" s="1166"/>
      <c r="FD11" s="1166"/>
      <c r="FE11" s="1166"/>
      <c r="FF11" s="1166"/>
      <c r="FG11" s="1166"/>
      <c r="FH11" s="1166"/>
      <c r="FI11" s="1166"/>
      <c r="FJ11" s="1166"/>
      <c r="FK11" s="1166"/>
      <c r="FL11" s="1166"/>
      <c r="FM11" s="1166"/>
      <c r="FN11" s="1166"/>
      <c r="FO11" s="1166"/>
      <c r="FP11" s="1166"/>
      <c r="FQ11" s="1166"/>
      <c r="FR11" s="1166"/>
      <c r="FS11" s="1166"/>
      <c r="FT11" s="1166"/>
      <c r="FU11" s="1166"/>
      <c r="FV11" s="1166"/>
      <c r="FW11" s="1166"/>
      <c r="FX11" s="1166"/>
      <c r="FY11" s="1166"/>
      <c r="FZ11" s="1166"/>
      <c r="GA11" s="1166"/>
      <c r="GB11" s="1166"/>
      <c r="GC11" s="1166"/>
      <c r="GD11" s="1166"/>
      <c r="GE11" s="1166"/>
      <c r="GF11" s="1166"/>
      <c r="GG11" s="1166"/>
      <c r="GH11" s="1166"/>
      <c r="GI11" s="1166"/>
      <c r="GJ11" s="1166"/>
      <c r="GK11" s="1166"/>
      <c r="GL11" s="1166"/>
      <c r="GM11" s="1166"/>
      <c r="GN11" s="1166"/>
      <c r="GO11" s="1166"/>
      <c r="GP11" s="1166"/>
      <c r="GQ11" s="1166"/>
      <c r="GR11" s="1166"/>
      <c r="GS11" s="1166"/>
      <c r="GT11" s="1166"/>
      <c r="GU11" s="1166"/>
      <c r="GV11" s="1166"/>
      <c r="GW11" s="1166"/>
      <c r="GX11" s="1166"/>
      <c r="GY11" s="1166"/>
      <c r="GZ11" s="1166"/>
      <c r="HA11" s="1166"/>
      <c r="HB11" s="1166"/>
      <c r="HC11" s="1166"/>
      <c r="HD11" s="1166"/>
      <c r="HE11" s="1166"/>
      <c r="HF11" s="1166"/>
      <c r="HG11" s="1166"/>
      <c r="HH11" s="1166"/>
      <c r="HI11" s="1166"/>
      <c r="HJ11" s="1166"/>
      <c r="HK11" s="1166"/>
      <c r="HL11" s="1166"/>
      <c r="HM11" s="1166"/>
      <c r="HN11" s="1166"/>
      <c r="HO11" s="1166"/>
      <c r="HP11" s="1166"/>
      <c r="HQ11" s="1166"/>
      <c r="HR11" s="1166"/>
      <c r="HS11" s="1166"/>
      <c r="HT11" s="1166"/>
      <c r="HU11" s="1166"/>
      <c r="HV11" s="1166"/>
      <c r="HW11" s="1166"/>
      <c r="HX11" s="1166"/>
      <c r="HY11" s="1166"/>
      <c r="HZ11" s="1166"/>
      <c r="IA11" s="1166"/>
      <c r="IB11" s="1166"/>
      <c r="IC11" s="1166"/>
      <c r="ID11" s="1166"/>
      <c r="IE11" s="1166"/>
      <c r="IF11" s="1166"/>
      <c r="IG11" s="1166"/>
      <c r="IH11" s="1166"/>
      <c r="II11" s="1166"/>
      <c r="IJ11" s="1166"/>
      <c r="IK11" s="1166"/>
      <c r="IL11" s="1166"/>
      <c r="IM11" s="1166"/>
      <c r="IN11" s="1166"/>
      <c r="IO11" s="1166"/>
      <c r="IP11" s="1166"/>
      <c r="IQ11" s="1166"/>
      <c r="IR11" s="1166"/>
      <c r="IS11" s="1166"/>
      <c r="IT11" s="1166"/>
      <c r="IU11" s="1166"/>
      <c r="IV11" s="1166"/>
    </row>
    <row r="12" spans="1:256" ht="18" customHeight="1" x14ac:dyDescent="0.35">
      <c r="A12" s="1452">
        <v>3</v>
      </c>
      <c r="B12" s="1476"/>
      <c r="C12" s="1197"/>
      <c r="D12" s="1477" t="s">
        <v>230</v>
      </c>
      <c r="E12" s="1468"/>
      <c r="F12" s="1468"/>
      <c r="G12" s="1478"/>
      <c r="H12" s="1479"/>
      <c r="I12" s="1471"/>
      <c r="J12" s="1472"/>
      <c r="K12" s="1472">
        <v>57375</v>
      </c>
      <c r="L12" s="1472"/>
      <c r="M12" s="1472"/>
      <c r="N12" s="1473"/>
      <c r="O12" s="1480">
        <f>SUM(I12:N12)</f>
        <v>57375</v>
      </c>
      <c r="P12" s="1475"/>
    </row>
    <row r="13" spans="1:256" ht="18" customHeight="1" x14ac:dyDescent="0.35">
      <c r="A13" s="1452">
        <v>4</v>
      </c>
      <c r="B13" s="1476"/>
      <c r="C13" s="1197"/>
      <c r="D13" s="1481" t="s">
        <v>231</v>
      </c>
      <c r="E13" s="1468"/>
      <c r="F13" s="1468"/>
      <c r="G13" s="1478"/>
      <c r="H13" s="1479"/>
      <c r="I13" s="1482"/>
      <c r="J13" s="1483"/>
      <c r="K13" s="1483">
        <v>57375</v>
      </c>
      <c r="L13" s="1483"/>
      <c r="M13" s="1483"/>
      <c r="N13" s="1468"/>
      <c r="O13" s="1222">
        <f>SUM(I13:N13)</f>
        <v>57375</v>
      </c>
      <c r="P13" s="1475"/>
    </row>
    <row r="14" spans="1:256" ht="18" customHeight="1" x14ac:dyDescent="0.35">
      <c r="A14" s="1452">
        <v>5</v>
      </c>
      <c r="B14" s="1476"/>
      <c r="C14" s="1197"/>
      <c r="D14" s="1484" t="s">
        <v>245</v>
      </c>
      <c r="E14" s="1468"/>
      <c r="F14" s="1468"/>
      <c r="G14" s="1478"/>
      <c r="H14" s="1479"/>
      <c r="I14" s="1471"/>
      <c r="J14" s="1472"/>
      <c r="K14" s="1472"/>
      <c r="L14" s="1472"/>
      <c r="M14" s="1472"/>
      <c r="N14" s="1473"/>
      <c r="O14" s="1217">
        <f>SUM(I14:N14)</f>
        <v>0</v>
      </c>
      <c r="P14" s="1475"/>
    </row>
    <row r="15" spans="1:256" ht="18" customHeight="1" x14ac:dyDescent="0.35">
      <c r="A15" s="1452">
        <v>6</v>
      </c>
      <c r="B15" s="1476"/>
      <c r="C15" s="1197"/>
      <c r="D15" s="1481" t="s">
        <v>233</v>
      </c>
      <c r="E15" s="1468"/>
      <c r="F15" s="1468"/>
      <c r="G15" s="1478"/>
      <c r="H15" s="1479"/>
      <c r="I15" s="1471"/>
      <c r="J15" s="1472"/>
      <c r="K15" s="1483">
        <f>SUM(K13:K14)</f>
        <v>57375</v>
      </c>
      <c r="L15" s="1472"/>
      <c r="M15" s="1472"/>
      <c r="N15" s="1473"/>
      <c r="O15" s="1222">
        <f>SUM(I15:N15)</f>
        <v>57375</v>
      </c>
      <c r="P15" s="1475"/>
    </row>
    <row r="16" spans="1:256" ht="33" x14ac:dyDescent="0.35">
      <c r="A16" s="1452">
        <v>7</v>
      </c>
      <c r="B16" s="1476"/>
      <c r="C16" s="1187">
        <v>3</v>
      </c>
      <c r="D16" s="1485" t="s">
        <v>971</v>
      </c>
      <c r="E16" s="1467">
        <f>F16+G16+O20+P17</f>
        <v>233789</v>
      </c>
      <c r="F16" s="1486">
        <f>9749+3835+7697+140243+15</f>
        <v>161539</v>
      </c>
      <c r="G16" s="1469">
        <v>71235</v>
      </c>
      <c r="H16" s="1479" t="s">
        <v>296</v>
      </c>
      <c r="I16" s="1487"/>
      <c r="J16" s="1488"/>
      <c r="K16" s="1488"/>
      <c r="L16" s="1488"/>
      <c r="M16" s="1488"/>
      <c r="N16" s="1489"/>
      <c r="O16" s="1480"/>
      <c r="P16" s="1475"/>
    </row>
    <row r="17" spans="1:256" s="1464" customFormat="1" ht="18" customHeight="1" x14ac:dyDescent="0.35">
      <c r="A17" s="1452">
        <v>8</v>
      </c>
      <c r="B17" s="1465"/>
      <c r="C17" s="1197"/>
      <c r="D17" s="1477" t="s">
        <v>230</v>
      </c>
      <c r="E17" s="1468"/>
      <c r="F17" s="1490"/>
      <c r="G17" s="1478"/>
      <c r="H17" s="1479"/>
      <c r="I17" s="1487"/>
      <c r="J17" s="1488"/>
      <c r="K17" s="1488">
        <v>1015</v>
      </c>
      <c r="L17" s="1488"/>
      <c r="M17" s="1488"/>
      <c r="N17" s="1489"/>
      <c r="O17" s="1480">
        <f>SUM(I17:N17)</f>
        <v>1015</v>
      </c>
      <c r="P17" s="1475"/>
      <c r="Q17" s="1166"/>
      <c r="R17" s="1166"/>
      <c r="S17" s="1166"/>
      <c r="T17" s="1166"/>
      <c r="U17" s="1166"/>
      <c r="V17" s="1166"/>
      <c r="W17" s="1166"/>
      <c r="X17" s="1166"/>
      <c r="Y17" s="1166"/>
      <c r="Z17" s="1166"/>
      <c r="AA17" s="1166"/>
      <c r="AB17" s="1166"/>
      <c r="AC17" s="1166"/>
      <c r="AD17" s="1166"/>
      <c r="AE17" s="1166"/>
      <c r="AF17" s="1166"/>
      <c r="AG17" s="1166"/>
      <c r="AH17" s="1166"/>
      <c r="AI17" s="1166"/>
      <c r="AJ17" s="1166"/>
      <c r="AK17" s="1166"/>
      <c r="AL17" s="1166"/>
      <c r="AM17" s="1166"/>
      <c r="AN17" s="1166"/>
      <c r="AO17" s="1166"/>
      <c r="AP17" s="1166"/>
      <c r="AQ17" s="1166"/>
      <c r="AR17" s="1166"/>
      <c r="AS17" s="1166"/>
      <c r="AT17" s="1166"/>
      <c r="AU17" s="1166"/>
      <c r="AV17" s="1166"/>
      <c r="AW17" s="1166"/>
      <c r="AX17" s="1166"/>
      <c r="AY17" s="1166"/>
      <c r="AZ17" s="1166"/>
      <c r="BA17" s="1166"/>
      <c r="BB17" s="1166"/>
      <c r="BC17" s="1166"/>
      <c r="BD17" s="1166"/>
      <c r="BE17" s="1166"/>
      <c r="BF17" s="1166"/>
      <c r="BG17" s="1166"/>
      <c r="BH17" s="1166"/>
      <c r="BI17" s="1166"/>
      <c r="BJ17" s="1166"/>
      <c r="BK17" s="1166"/>
      <c r="BL17" s="1166"/>
      <c r="BM17" s="1166"/>
      <c r="BN17" s="1166"/>
      <c r="BO17" s="1166"/>
      <c r="BP17" s="1166"/>
      <c r="BQ17" s="1166"/>
      <c r="BR17" s="1166"/>
      <c r="BS17" s="1166"/>
      <c r="BT17" s="1166"/>
      <c r="BU17" s="1166"/>
      <c r="BV17" s="1166"/>
      <c r="BW17" s="1166"/>
      <c r="BX17" s="1166"/>
      <c r="BY17" s="1166"/>
      <c r="BZ17" s="1166"/>
      <c r="CA17" s="1166"/>
      <c r="CB17" s="1166"/>
      <c r="CC17" s="1166"/>
      <c r="CD17" s="1166"/>
      <c r="CE17" s="1166"/>
      <c r="CF17" s="1166"/>
      <c r="CG17" s="1166"/>
      <c r="CH17" s="1166"/>
      <c r="CI17" s="1166"/>
      <c r="CJ17" s="1166"/>
      <c r="CK17" s="1166"/>
      <c r="CL17" s="1166"/>
      <c r="CM17" s="1166"/>
      <c r="CN17" s="1166"/>
      <c r="CO17" s="1166"/>
      <c r="CP17" s="1166"/>
      <c r="CQ17" s="1166"/>
      <c r="CR17" s="1166"/>
      <c r="CS17" s="1166"/>
      <c r="CT17" s="1166"/>
      <c r="CU17" s="1166"/>
      <c r="CV17" s="1166"/>
      <c r="CW17" s="1166"/>
      <c r="CX17" s="1166"/>
      <c r="CY17" s="1166"/>
      <c r="CZ17" s="1166"/>
      <c r="DA17" s="1166"/>
      <c r="DB17" s="1166"/>
      <c r="DC17" s="1166"/>
      <c r="DD17" s="1166"/>
      <c r="DE17" s="1166"/>
      <c r="DF17" s="1166"/>
      <c r="DG17" s="1166"/>
      <c r="DH17" s="1166"/>
      <c r="DI17" s="1166"/>
      <c r="DJ17" s="1166"/>
      <c r="DK17" s="1166"/>
      <c r="DL17" s="1166"/>
      <c r="DM17" s="1166"/>
      <c r="DN17" s="1166"/>
      <c r="DO17" s="1166"/>
      <c r="DP17" s="1166"/>
      <c r="DQ17" s="1166"/>
      <c r="DR17" s="1166"/>
      <c r="DS17" s="1166"/>
      <c r="DT17" s="1166"/>
      <c r="DU17" s="1166"/>
      <c r="DV17" s="1166"/>
      <c r="DW17" s="1166"/>
      <c r="DX17" s="1166"/>
      <c r="DY17" s="1166"/>
      <c r="DZ17" s="1166"/>
      <c r="EA17" s="1166"/>
      <c r="EB17" s="1166"/>
      <c r="EC17" s="1166"/>
      <c r="ED17" s="1166"/>
      <c r="EE17" s="1166"/>
      <c r="EF17" s="1166"/>
      <c r="EG17" s="1166"/>
      <c r="EH17" s="1166"/>
      <c r="EI17" s="1166"/>
      <c r="EJ17" s="1166"/>
      <c r="EK17" s="1166"/>
      <c r="EL17" s="1166"/>
      <c r="EM17" s="1166"/>
      <c r="EN17" s="1166"/>
      <c r="EO17" s="1166"/>
      <c r="EP17" s="1166"/>
      <c r="EQ17" s="1166"/>
      <c r="ER17" s="1166"/>
      <c r="ES17" s="1166"/>
      <c r="ET17" s="1166"/>
      <c r="EU17" s="1166"/>
      <c r="EV17" s="1166"/>
      <c r="EW17" s="1166"/>
      <c r="EX17" s="1166"/>
      <c r="EY17" s="1166"/>
      <c r="EZ17" s="1166"/>
      <c r="FA17" s="1166"/>
      <c r="FB17" s="1166"/>
      <c r="FC17" s="1166"/>
      <c r="FD17" s="1166"/>
      <c r="FE17" s="1166"/>
      <c r="FF17" s="1166"/>
      <c r="FG17" s="1166"/>
      <c r="FH17" s="1166"/>
      <c r="FI17" s="1166"/>
      <c r="FJ17" s="1166"/>
      <c r="FK17" s="1166"/>
      <c r="FL17" s="1166"/>
      <c r="FM17" s="1166"/>
      <c r="FN17" s="1166"/>
      <c r="FO17" s="1166"/>
      <c r="FP17" s="1166"/>
      <c r="FQ17" s="1166"/>
      <c r="FR17" s="1166"/>
      <c r="FS17" s="1166"/>
      <c r="FT17" s="1166"/>
      <c r="FU17" s="1166"/>
      <c r="FV17" s="1166"/>
      <c r="FW17" s="1166"/>
      <c r="FX17" s="1166"/>
      <c r="FY17" s="1166"/>
      <c r="FZ17" s="1166"/>
      <c r="GA17" s="1166"/>
      <c r="GB17" s="1166"/>
      <c r="GC17" s="1166"/>
      <c r="GD17" s="1166"/>
      <c r="GE17" s="1166"/>
      <c r="GF17" s="1166"/>
      <c r="GG17" s="1166"/>
      <c r="GH17" s="1166"/>
      <c r="GI17" s="1166"/>
      <c r="GJ17" s="1166"/>
      <c r="GK17" s="1166"/>
      <c r="GL17" s="1166"/>
      <c r="GM17" s="1166"/>
      <c r="GN17" s="1166"/>
      <c r="GO17" s="1166"/>
      <c r="GP17" s="1166"/>
      <c r="GQ17" s="1166"/>
      <c r="GR17" s="1166"/>
      <c r="GS17" s="1166"/>
      <c r="GT17" s="1166"/>
      <c r="GU17" s="1166"/>
      <c r="GV17" s="1166"/>
      <c r="GW17" s="1166"/>
      <c r="GX17" s="1166"/>
      <c r="GY17" s="1166"/>
      <c r="GZ17" s="1166"/>
      <c r="HA17" s="1166"/>
      <c r="HB17" s="1166"/>
      <c r="HC17" s="1166"/>
      <c r="HD17" s="1166"/>
      <c r="HE17" s="1166"/>
      <c r="HF17" s="1166"/>
      <c r="HG17" s="1166"/>
      <c r="HH17" s="1166"/>
      <c r="HI17" s="1166"/>
      <c r="HJ17" s="1166"/>
      <c r="HK17" s="1166"/>
      <c r="HL17" s="1166"/>
      <c r="HM17" s="1166"/>
      <c r="HN17" s="1166"/>
      <c r="HO17" s="1166"/>
      <c r="HP17" s="1166"/>
      <c r="HQ17" s="1166"/>
      <c r="HR17" s="1166"/>
      <c r="HS17" s="1166"/>
      <c r="HT17" s="1166"/>
      <c r="HU17" s="1166"/>
      <c r="HV17" s="1166"/>
      <c r="HW17" s="1166"/>
      <c r="HX17" s="1166"/>
      <c r="HY17" s="1166"/>
      <c r="HZ17" s="1166"/>
      <c r="IA17" s="1166"/>
      <c r="IB17" s="1166"/>
      <c r="IC17" s="1166"/>
      <c r="ID17" s="1166"/>
      <c r="IE17" s="1166"/>
      <c r="IF17" s="1166"/>
      <c r="IG17" s="1166"/>
      <c r="IH17" s="1166"/>
      <c r="II17" s="1166"/>
      <c r="IJ17" s="1166"/>
      <c r="IK17" s="1166"/>
      <c r="IL17" s="1166"/>
      <c r="IM17" s="1166"/>
      <c r="IN17" s="1166"/>
      <c r="IO17" s="1166"/>
      <c r="IP17" s="1166"/>
      <c r="IQ17" s="1166"/>
      <c r="IR17" s="1166"/>
      <c r="IS17" s="1166"/>
      <c r="IT17" s="1166"/>
      <c r="IU17" s="1166"/>
      <c r="IV17" s="1166"/>
    </row>
    <row r="18" spans="1:256" s="1464" customFormat="1" ht="18" customHeight="1" x14ac:dyDescent="0.35">
      <c r="A18" s="1452">
        <v>9</v>
      </c>
      <c r="B18" s="1465"/>
      <c r="C18" s="1197"/>
      <c r="D18" s="1481" t="s">
        <v>231</v>
      </c>
      <c r="E18" s="1468"/>
      <c r="F18" s="1490"/>
      <c r="G18" s="1478"/>
      <c r="H18" s="1479"/>
      <c r="I18" s="1487"/>
      <c r="J18" s="1488"/>
      <c r="K18" s="1491">
        <v>1015</v>
      </c>
      <c r="L18" s="1488"/>
      <c r="M18" s="1488"/>
      <c r="N18" s="1489"/>
      <c r="O18" s="1222">
        <f>SUM(I18:N18)</f>
        <v>1015</v>
      </c>
      <c r="P18" s="1475"/>
      <c r="Q18" s="1166"/>
      <c r="R18" s="1166"/>
      <c r="S18" s="1166"/>
      <c r="T18" s="1166"/>
      <c r="U18" s="1166"/>
      <c r="V18" s="1166"/>
      <c r="W18" s="1166"/>
      <c r="X18" s="1166"/>
      <c r="Y18" s="1166"/>
      <c r="Z18" s="1166"/>
      <c r="AA18" s="1166"/>
      <c r="AB18" s="1166"/>
      <c r="AC18" s="1166"/>
      <c r="AD18" s="1166"/>
      <c r="AE18" s="1166"/>
      <c r="AF18" s="1166"/>
      <c r="AG18" s="1166"/>
      <c r="AH18" s="1166"/>
      <c r="AI18" s="1166"/>
      <c r="AJ18" s="1166"/>
      <c r="AK18" s="1166"/>
      <c r="AL18" s="1166"/>
      <c r="AM18" s="1166"/>
      <c r="AN18" s="1166"/>
      <c r="AO18" s="1166"/>
      <c r="AP18" s="1166"/>
      <c r="AQ18" s="1166"/>
      <c r="AR18" s="1166"/>
      <c r="AS18" s="1166"/>
      <c r="AT18" s="1166"/>
      <c r="AU18" s="1166"/>
      <c r="AV18" s="1166"/>
      <c r="AW18" s="1166"/>
      <c r="AX18" s="1166"/>
      <c r="AY18" s="1166"/>
      <c r="AZ18" s="1166"/>
      <c r="BA18" s="1166"/>
      <c r="BB18" s="1166"/>
      <c r="BC18" s="1166"/>
      <c r="BD18" s="1166"/>
      <c r="BE18" s="1166"/>
      <c r="BF18" s="1166"/>
      <c r="BG18" s="1166"/>
      <c r="BH18" s="1166"/>
      <c r="BI18" s="1166"/>
      <c r="BJ18" s="1166"/>
      <c r="BK18" s="1166"/>
      <c r="BL18" s="1166"/>
      <c r="BM18" s="1166"/>
      <c r="BN18" s="1166"/>
      <c r="BO18" s="1166"/>
      <c r="BP18" s="1166"/>
      <c r="BQ18" s="1166"/>
      <c r="BR18" s="1166"/>
      <c r="BS18" s="1166"/>
      <c r="BT18" s="1166"/>
      <c r="BU18" s="1166"/>
      <c r="BV18" s="1166"/>
      <c r="BW18" s="1166"/>
      <c r="BX18" s="1166"/>
      <c r="BY18" s="1166"/>
      <c r="BZ18" s="1166"/>
      <c r="CA18" s="1166"/>
      <c r="CB18" s="1166"/>
      <c r="CC18" s="1166"/>
      <c r="CD18" s="1166"/>
      <c r="CE18" s="1166"/>
      <c r="CF18" s="1166"/>
      <c r="CG18" s="1166"/>
      <c r="CH18" s="1166"/>
      <c r="CI18" s="1166"/>
      <c r="CJ18" s="1166"/>
      <c r="CK18" s="1166"/>
      <c r="CL18" s="1166"/>
      <c r="CM18" s="1166"/>
      <c r="CN18" s="1166"/>
      <c r="CO18" s="1166"/>
      <c r="CP18" s="1166"/>
      <c r="CQ18" s="1166"/>
      <c r="CR18" s="1166"/>
      <c r="CS18" s="1166"/>
      <c r="CT18" s="1166"/>
      <c r="CU18" s="1166"/>
      <c r="CV18" s="1166"/>
      <c r="CW18" s="1166"/>
      <c r="CX18" s="1166"/>
      <c r="CY18" s="1166"/>
      <c r="CZ18" s="1166"/>
      <c r="DA18" s="1166"/>
      <c r="DB18" s="1166"/>
      <c r="DC18" s="1166"/>
      <c r="DD18" s="1166"/>
      <c r="DE18" s="1166"/>
      <c r="DF18" s="1166"/>
      <c r="DG18" s="1166"/>
      <c r="DH18" s="1166"/>
      <c r="DI18" s="1166"/>
      <c r="DJ18" s="1166"/>
      <c r="DK18" s="1166"/>
      <c r="DL18" s="1166"/>
      <c r="DM18" s="1166"/>
      <c r="DN18" s="1166"/>
      <c r="DO18" s="1166"/>
      <c r="DP18" s="1166"/>
      <c r="DQ18" s="1166"/>
      <c r="DR18" s="1166"/>
      <c r="DS18" s="1166"/>
      <c r="DT18" s="1166"/>
      <c r="DU18" s="1166"/>
      <c r="DV18" s="1166"/>
      <c r="DW18" s="1166"/>
      <c r="DX18" s="1166"/>
      <c r="DY18" s="1166"/>
      <c r="DZ18" s="1166"/>
      <c r="EA18" s="1166"/>
      <c r="EB18" s="1166"/>
      <c r="EC18" s="1166"/>
      <c r="ED18" s="1166"/>
      <c r="EE18" s="1166"/>
      <c r="EF18" s="1166"/>
      <c r="EG18" s="1166"/>
      <c r="EH18" s="1166"/>
      <c r="EI18" s="1166"/>
      <c r="EJ18" s="1166"/>
      <c r="EK18" s="1166"/>
      <c r="EL18" s="1166"/>
      <c r="EM18" s="1166"/>
      <c r="EN18" s="1166"/>
      <c r="EO18" s="1166"/>
      <c r="EP18" s="1166"/>
      <c r="EQ18" s="1166"/>
      <c r="ER18" s="1166"/>
      <c r="ES18" s="1166"/>
      <c r="ET18" s="1166"/>
      <c r="EU18" s="1166"/>
      <c r="EV18" s="1166"/>
      <c r="EW18" s="1166"/>
      <c r="EX18" s="1166"/>
      <c r="EY18" s="1166"/>
      <c r="EZ18" s="1166"/>
      <c r="FA18" s="1166"/>
      <c r="FB18" s="1166"/>
      <c r="FC18" s="1166"/>
      <c r="FD18" s="1166"/>
      <c r="FE18" s="1166"/>
      <c r="FF18" s="1166"/>
      <c r="FG18" s="1166"/>
      <c r="FH18" s="1166"/>
      <c r="FI18" s="1166"/>
      <c r="FJ18" s="1166"/>
      <c r="FK18" s="1166"/>
      <c r="FL18" s="1166"/>
      <c r="FM18" s="1166"/>
      <c r="FN18" s="1166"/>
      <c r="FO18" s="1166"/>
      <c r="FP18" s="1166"/>
      <c r="FQ18" s="1166"/>
      <c r="FR18" s="1166"/>
      <c r="FS18" s="1166"/>
      <c r="FT18" s="1166"/>
      <c r="FU18" s="1166"/>
      <c r="FV18" s="1166"/>
      <c r="FW18" s="1166"/>
      <c r="FX18" s="1166"/>
      <c r="FY18" s="1166"/>
      <c r="FZ18" s="1166"/>
      <c r="GA18" s="1166"/>
      <c r="GB18" s="1166"/>
      <c r="GC18" s="1166"/>
      <c r="GD18" s="1166"/>
      <c r="GE18" s="1166"/>
      <c r="GF18" s="1166"/>
      <c r="GG18" s="1166"/>
      <c r="GH18" s="1166"/>
      <c r="GI18" s="1166"/>
      <c r="GJ18" s="1166"/>
      <c r="GK18" s="1166"/>
      <c r="GL18" s="1166"/>
      <c r="GM18" s="1166"/>
      <c r="GN18" s="1166"/>
      <c r="GO18" s="1166"/>
      <c r="GP18" s="1166"/>
      <c r="GQ18" s="1166"/>
      <c r="GR18" s="1166"/>
      <c r="GS18" s="1166"/>
      <c r="GT18" s="1166"/>
      <c r="GU18" s="1166"/>
      <c r="GV18" s="1166"/>
      <c r="GW18" s="1166"/>
      <c r="GX18" s="1166"/>
      <c r="GY18" s="1166"/>
      <c r="GZ18" s="1166"/>
      <c r="HA18" s="1166"/>
      <c r="HB18" s="1166"/>
      <c r="HC18" s="1166"/>
      <c r="HD18" s="1166"/>
      <c r="HE18" s="1166"/>
      <c r="HF18" s="1166"/>
      <c r="HG18" s="1166"/>
      <c r="HH18" s="1166"/>
      <c r="HI18" s="1166"/>
      <c r="HJ18" s="1166"/>
      <c r="HK18" s="1166"/>
      <c r="HL18" s="1166"/>
      <c r="HM18" s="1166"/>
      <c r="HN18" s="1166"/>
      <c r="HO18" s="1166"/>
      <c r="HP18" s="1166"/>
      <c r="HQ18" s="1166"/>
      <c r="HR18" s="1166"/>
      <c r="HS18" s="1166"/>
      <c r="HT18" s="1166"/>
      <c r="HU18" s="1166"/>
      <c r="HV18" s="1166"/>
      <c r="HW18" s="1166"/>
      <c r="HX18" s="1166"/>
      <c r="HY18" s="1166"/>
      <c r="HZ18" s="1166"/>
      <c r="IA18" s="1166"/>
      <c r="IB18" s="1166"/>
      <c r="IC18" s="1166"/>
      <c r="ID18" s="1166"/>
      <c r="IE18" s="1166"/>
      <c r="IF18" s="1166"/>
      <c r="IG18" s="1166"/>
      <c r="IH18" s="1166"/>
      <c r="II18" s="1166"/>
      <c r="IJ18" s="1166"/>
      <c r="IK18" s="1166"/>
      <c r="IL18" s="1166"/>
      <c r="IM18" s="1166"/>
      <c r="IN18" s="1166"/>
      <c r="IO18" s="1166"/>
      <c r="IP18" s="1166"/>
      <c r="IQ18" s="1166"/>
      <c r="IR18" s="1166"/>
      <c r="IS18" s="1166"/>
      <c r="IT18" s="1166"/>
      <c r="IU18" s="1166"/>
      <c r="IV18" s="1166"/>
    </row>
    <row r="19" spans="1:256" s="1464" customFormat="1" ht="18" customHeight="1" x14ac:dyDescent="0.35">
      <c r="A19" s="1452">
        <v>10</v>
      </c>
      <c r="B19" s="1465"/>
      <c r="C19" s="1197"/>
      <c r="D19" s="1484" t="s">
        <v>245</v>
      </c>
      <c r="E19" s="1468"/>
      <c r="F19" s="1490"/>
      <c r="G19" s="1478"/>
      <c r="H19" s="1479"/>
      <c r="I19" s="1487"/>
      <c r="J19" s="1488"/>
      <c r="K19" s="1488"/>
      <c r="L19" s="1488"/>
      <c r="M19" s="1488"/>
      <c r="N19" s="1489"/>
      <c r="O19" s="1217">
        <f>SUM(I19:N19)</f>
        <v>0</v>
      </c>
      <c r="P19" s="1475"/>
      <c r="Q19" s="1166"/>
      <c r="R19" s="1166"/>
      <c r="S19" s="1166"/>
      <c r="T19" s="1166"/>
      <c r="U19" s="1166"/>
      <c r="V19" s="1166"/>
      <c r="W19" s="1166"/>
      <c r="X19" s="1166"/>
      <c r="Y19" s="1166"/>
      <c r="Z19" s="1166"/>
      <c r="AA19" s="1166"/>
      <c r="AB19" s="1166"/>
      <c r="AC19" s="1166"/>
      <c r="AD19" s="1166"/>
      <c r="AE19" s="1166"/>
      <c r="AF19" s="1166"/>
      <c r="AG19" s="1166"/>
      <c r="AH19" s="1166"/>
      <c r="AI19" s="1166"/>
      <c r="AJ19" s="1166"/>
      <c r="AK19" s="1166"/>
      <c r="AL19" s="1166"/>
      <c r="AM19" s="1166"/>
      <c r="AN19" s="1166"/>
      <c r="AO19" s="1166"/>
      <c r="AP19" s="1166"/>
      <c r="AQ19" s="1166"/>
      <c r="AR19" s="1166"/>
      <c r="AS19" s="1166"/>
      <c r="AT19" s="1166"/>
      <c r="AU19" s="1166"/>
      <c r="AV19" s="1166"/>
      <c r="AW19" s="1166"/>
      <c r="AX19" s="1166"/>
      <c r="AY19" s="1166"/>
      <c r="AZ19" s="1166"/>
      <c r="BA19" s="1166"/>
      <c r="BB19" s="1166"/>
      <c r="BC19" s="1166"/>
      <c r="BD19" s="1166"/>
      <c r="BE19" s="1166"/>
      <c r="BF19" s="1166"/>
      <c r="BG19" s="1166"/>
      <c r="BH19" s="1166"/>
      <c r="BI19" s="1166"/>
      <c r="BJ19" s="1166"/>
      <c r="BK19" s="1166"/>
      <c r="BL19" s="1166"/>
      <c r="BM19" s="1166"/>
      <c r="BN19" s="1166"/>
      <c r="BO19" s="1166"/>
      <c r="BP19" s="1166"/>
      <c r="BQ19" s="1166"/>
      <c r="BR19" s="1166"/>
      <c r="BS19" s="1166"/>
      <c r="BT19" s="1166"/>
      <c r="BU19" s="1166"/>
      <c r="BV19" s="1166"/>
      <c r="BW19" s="1166"/>
      <c r="BX19" s="1166"/>
      <c r="BY19" s="1166"/>
      <c r="BZ19" s="1166"/>
      <c r="CA19" s="1166"/>
      <c r="CB19" s="1166"/>
      <c r="CC19" s="1166"/>
      <c r="CD19" s="1166"/>
      <c r="CE19" s="1166"/>
      <c r="CF19" s="1166"/>
      <c r="CG19" s="1166"/>
      <c r="CH19" s="1166"/>
      <c r="CI19" s="1166"/>
      <c r="CJ19" s="1166"/>
      <c r="CK19" s="1166"/>
      <c r="CL19" s="1166"/>
      <c r="CM19" s="1166"/>
      <c r="CN19" s="1166"/>
      <c r="CO19" s="1166"/>
      <c r="CP19" s="1166"/>
      <c r="CQ19" s="1166"/>
      <c r="CR19" s="1166"/>
      <c r="CS19" s="1166"/>
      <c r="CT19" s="1166"/>
      <c r="CU19" s="1166"/>
      <c r="CV19" s="1166"/>
      <c r="CW19" s="1166"/>
      <c r="CX19" s="1166"/>
      <c r="CY19" s="1166"/>
      <c r="CZ19" s="1166"/>
      <c r="DA19" s="1166"/>
      <c r="DB19" s="1166"/>
      <c r="DC19" s="1166"/>
      <c r="DD19" s="1166"/>
      <c r="DE19" s="1166"/>
      <c r="DF19" s="1166"/>
      <c r="DG19" s="1166"/>
      <c r="DH19" s="1166"/>
      <c r="DI19" s="1166"/>
      <c r="DJ19" s="1166"/>
      <c r="DK19" s="1166"/>
      <c r="DL19" s="1166"/>
      <c r="DM19" s="1166"/>
      <c r="DN19" s="1166"/>
      <c r="DO19" s="1166"/>
      <c r="DP19" s="1166"/>
      <c r="DQ19" s="1166"/>
      <c r="DR19" s="1166"/>
      <c r="DS19" s="1166"/>
      <c r="DT19" s="1166"/>
      <c r="DU19" s="1166"/>
      <c r="DV19" s="1166"/>
      <c r="DW19" s="1166"/>
      <c r="DX19" s="1166"/>
      <c r="DY19" s="1166"/>
      <c r="DZ19" s="1166"/>
      <c r="EA19" s="1166"/>
      <c r="EB19" s="1166"/>
      <c r="EC19" s="1166"/>
      <c r="ED19" s="1166"/>
      <c r="EE19" s="1166"/>
      <c r="EF19" s="1166"/>
      <c r="EG19" s="1166"/>
      <c r="EH19" s="1166"/>
      <c r="EI19" s="1166"/>
      <c r="EJ19" s="1166"/>
      <c r="EK19" s="1166"/>
      <c r="EL19" s="1166"/>
      <c r="EM19" s="1166"/>
      <c r="EN19" s="1166"/>
      <c r="EO19" s="1166"/>
      <c r="EP19" s="1166"/>
      <c r="EQ19" s="1166"/>
      <c r="ER19" s="1166"/>
      <c r="ES19" s="1166"/>
      <c r="ET19" s="1166"/>
      <c r="EU19" s="1166"/>
      <c r="EV19" s="1166"/>
      <c r="EW19" s="1166"/>
      <c r="EX19" s="1166"/>
      <c r="EY19" s="1166"/>
      <c r="EZ19" s="1166"/>
      <c r="FA19" s="1166"/>
      <c r="FB19" s="1166"/>
      <c r="FC19" s="1166"/>
      <c r="FD19" s="1166"/>
      <c r="FE19" s="1166"/>
      <c r="FF19" s="1166"/>
      <c r="FG19" s="1166"/>
      <c r="FH19" s="1166"/>
      <c r="FI19" s="1166"/>
      <c r="FJ19" s="1166"/>
      <c r="FK19" s="1166"/>
      <c r="FL19" s="1166"/>
      <c r="FM19" s="1166"/>
      <c r="FN19" s="1166"/>
      <c r="FO19" s="1166"/>
      <c r="FP19" s="1166"/>
      <c r="FQ19" s="1166"/>
      <c r="FR19" s="1166"/>
      <c r="FS19" s="1166"/>
      <c r="FT19" s="1166"/>
      <c r="FU19" s="1166"/>
      <c r="FV19" s="1166"/>
      <c r="FW19" s="1166"/>
      <c r="FX19" s="1166"/>
      <c r="FY19" s="1166"/>
      <c r="FZ19" s="1166"/>
      <c r="GA19" s="1166"/>
      <c r="GB19" s="1166"/>
      <c r="GC19" s="1166"/>
      <c r="GD19" s="1166"/>
      <c r="GE19" s="1166"/>
      <c r="GF19" s="1166"/>
      <c r="GG19" s="1166"/>
      <c r="GH19" s="1166"/>
      <c r="GI19" s="1166"/>
      <c r="GJ19" s="1166"/>
      <c r="GK19" s="1166"/>
      <c r="GL19" s="1166"/>
      <c r="GM19" s="1166"/>
      <c r="GN19" s="1166"/>
      <c r="GO19" s="1166"/>
      <c r="GP19" s="1166"/>
      <c r="GQ19" s="1166"/>
      <c r="GR19" s="1166"/>
      <c r="GS19" s="1166"/>
      <c r="GT19" s="1166"/>
      <c r="GU19" s="1166"/>
      <c r="GV19" s="1166"/>
      <c r="GW19" s="1166"/>
      <c r="GX19" s="1166"/>
      <c r="GY19" s="1166"/>
      <c r="GZ19" s="1166"/>
      <c r="HA19" s="1166"/>
      <c r="HB19" s="1166"/>
      <c r="HC19" s="1166"/>
      <c r="HD19" s="1166"/>
      <c r="HE19" s="1166"/>
      <c r="HF19" s="1166"/>
      <c r="HG19" s="1166"/>
      <c r="HH19" s="1166"/>
      <c r="HI19" s="1166"/>
      <c r="HJ19" s="1166"/>
      <c r="HK19" s="1166"/>
      <c r="HL19" s="1166"/>
      <c r="HM19" s="1166"/>
      <c r="HN19" s="1166"/>
      <c r="HO19" s="1166"/>
      <c r="HP19" s="1166"/>
      <c r="HQ19" s="1166"/>
      <c r="HR19" s="1166"/>
      <c r="HS19" s="1166"/>
      <c r="HT19" s="1166"/>
      <c r="HU19" s="1166"/>
      <c r="HV19" s="1166"/>
      <c r="HW19" s="1166"/>
      <c r="HX19" s="1166"/>
      <c r="HY19" s="1166"/>
      <c r="HZ19" s="1166"/>
      <c r="IA19" s="1166"/>
      <c r="IB19" s="1166"/>
      <c r="IC19" s="1166"/>
      <c r="ID19" s="1166"/>
      <c r="IE19" s="1166"/>
      <c r="IF19" s="1166"/>
      <c r="IG19" s="1166"/>
      <c r="IH19" s="1166"/>
      <c r="II19" s="1166"/>
      <c r="IJ19" s="1166"/>
      <c r="IK19" s="1166"/>
      <c r="IL19" s="1166"/>
      <c r="IM19" s="1166"/>
      <c r="IN19" s="1166"/>
      <c r="IO19" s="1166"/>
      <c r="IP19" s="1166"/>
      <c r="IQ19" s="1166"/>
      <c r="IR19" s="1166"/>
      <c r="IS19" s="1166"/>
      <c r="IT19" s="1166"/>
      <c r="IU19" s="1166"/>
      <c r="IV19" s="1166"/>
    </row>
    <row r="20" spans="1:256" s="1464" customFormat="1" ht="18" customHeight="1" x14ac:dyDescent="0.35">
      <c r="A20" s="1452">
        <v>11</v>
      </c>
      <c r="B20" s="1465"/>
      <c r="C20" s="1197"/>
      <c r="D20" s="1481" t="s">
        <v>233</v>
      </c>
      <c r="E20" s="1468"/>
      <c r="F20" s="1490"/>
      <c r="G20" s="1478"/>
      <c r="H20" s="1479"/>
      <c r="I20" s="1487"/>
      <c r="J20" s="1488"/>
      <c r="K20" s="1491">
        <f>SUM(K18:K19)</f>
        <v>1015</v>
      </c>
      <c r="L20" s="1488"/>
      <c r="M20" s="1488"/>
      <c r="N20" s="1489"/>
      <c r="O20" s="1222">
        <f>SUM(I20:N20)</f>
        <v>1015</v>
      </c>
      <c r="P20" s="1475"/>
      <c r="Q20" s="1166"/>
      <c r="R20" s="1166"/>
      <c r="S20" s="1166"/>
      <c r="T20" s="1166"/>
      <c r="U20" s="1166"/>
      <c r="V20" s="1166"/>
      <c r="W20" s="1166"/>
      <c r="X20" s="1166"/>
      <c r="Y20" s="1166"/>
      <c r="Z20" s="1166"/>
      <c r="AA20" s="1166"/>
      <c r="AB20" s="1166"/>
      <c r="AC20" s="1166"/>
      <c r="AD20" s="1166"/>
      <c r="AE20" s="1166"/>
      <c r="AF20" s="1166"/>
      <c r="AG20" s="1166"/>
      <c r="AH20" s="1166"/>
      <c r="AI20" s="1166"/>
      <c r="AJ20" s="1166"/>
      <c r="AK20" s="1166"/>
      <c r="AL20" s="1166"/>
      <c r="AM20" s="1166"/>
      <c r="AN20" s="1166"/>
      <c r="AO20" s="1166"/>
      <c r="AP20" s="1166"/>
      <c r="AQ20" s="1166"/>
      <c r="AR20" s="1166"/>
      <c r="AS20" s="1166"/>
      <c r="AT20" s="1166"/>
      <c r="AU20" s="1166"/>
      <c r="AV20" s="1166"/>
      <c r="AW20" s="1166"/>
      <c r="AX20" s="1166"/>
      <c r="AY20" s="1166"/>
      <c r="AZ20" s="1166"/>
      <c r="BA20" s="1166"/>
      <c r="BB20" s="1166"/>
      <c r="BC20" s="1166"/>
      <c r="BD20" s="1166"/>
      <c r="BE20" s="1166"/>
      <c r="BF20" s="1166"/>
      <c r="BG20" s="1166"/>
      <c r="BH20" s="1166"/>
      <c r="BI20" s="1166"/>
      <c r="BJ20" s="1166"/>
      <c r="BK20" s="1166"/>
      <c r="BL20" s="1166"/>
      <c r="BM20" s="1166"/>
      <c r="BN20" s="1166"/>
      <c r="BO20" s="1166"/>
      <c r="BP20" s="1166"/>
      <c r="BQ20" s="1166"/>
      <c r="BR20" s="1166"/>
      <c r="BS20" s="1166"/>
      <c r="BT20" s="1166"/>
      <c r="BU20" s="1166"/>
      <c r="BV20" s="1166"/>
      <c r="BW20" s="1166"/>
      <c r="BX20" s="1166"/>
      <c r="BY20" s="1166"/>
      <c r="BZ20" s="1166"/>
      <c r="CA20" s="1166"/>
      <c r="CB20" s="1166"/>
      <c r="CC20" s="1166"/>
      <c r="CD20" s="1166"/>
      <c r="CE20" s="1166"/>
      <c r="CF20" s="1166"/>
      <c r="CG20" s="1166"/>
      <c r="CH20" s="1166"/>
      <c r="CI20" s="1166"/>
      <c r="CJ20" s="1166"/>
      <c r="CK20" s="1166"/>
      <c r="CL20" s="1166"/>
      <c r="CM20" s="1166"/>
      <c r="CN20" s="1166"/>
      <c r="CO20" s="1166"/>
      <c r="CP20" s="1166"/>
      <c r="CQ20" s="1166"/>
      <c r="CR20" s="1166"/>
      <c r="CS20" s="1166"/>
      <c r="CT20" s="1166"/>
      <c r="CU20" s="1166"/>
      <c r="CV20" s="1166"/>
      <c r="CW20" s="1166"/>
      <c r="CX20" s="1166"/>
      <c r="CY20" s="1166"/>
      <c r="CZ20" s="1166"/>
      <c r="DA20" s="1166"/>
      <c r="DB20" s="1166"/>
      <c r="DC20" s="1166"/>
      <c r="DD20" s="1166"/>
      <c r="DE20" s="1166"/>
      <c r="DF20" s="1166"/>
      <c r="DG20" s="1166"/>
      <c r="DH20" s="1166"/>
      <c r="DI20" s="1166"/>
      <c r="DJ20" s="1166"/>
      <c r="DK20" s="1166"/>
      <c r="DL20" s="1166"/>
      <c r="DM20" s="1166"/>
      <c r="DN20" s="1166"/>
      <c r="DO20" s="1166"/>
      <c r="DP20" s="1166"/>
      <c r="DQ20" s="1166"/>
      <c r="DR20" s="1166"/>
      <c r="DS20" s="1166"/>
      <c r="DT20" s="1166"/>
      <c r="DU20" s="1166"/>
      <c r="DV20" s="1166"/>
      <c r="DW20" s="1166"/>
      <c r="DX20" s="1166"/>
      <c r="DY20" s="1166"/>
      <c r="DZ20" s="1166"/>
      <c r="EA20" s="1166"/>
      <c r="EB20" s="1166"/>
      <c r="EC20" s="1166"/>
      <c r="ED20" s="1166"/>
      <c r="EE20" s="1166"/>
      <c r="EF20" s="1166"/>
      <c r="EG20" s="1166"/>
      <c r="EH20" s="1166"/>
      <c r="EI20" s="1166"/>
      <c r="EJ20" s="1166"/>
      <c r="EK20" s="1166"/>
      <c r="EL20" s="1166"/>
      <c r="EM20" s="1166"/>
      <c r="EN20" s="1166"/>
      <c r="EO20" s="1166"/>
      <c r="EP20" s="1166"/>
      <c r="EQ20" s="1166"/>
      <c r="ER20" s="1166"/>
      <c r="ES20" s="1166"/>
      <c r="ET20" s="1166"/>
      <c r="EU20" s="1166"/>
      <c r="EV20" s="1166"/>
      <c r="EW20" s="1166"/>
      <c r="EX20" s="1166"/>
      <c r="EY20" s="1166"/>
      <c r="EZ20" s="1166"/>
      <c r="FA20" s="1166"/>
      <c r="FB20" s="1166"/>
      <c r="FC20" s="1166"/>
      <c r="FD20" s="1166"/>
      <c r="FE20" s="1166"/>
      <c r="FF20" s="1166"/>
      <c r="FG20" s="1166"/>
      <c r="FH20" s="1166"/>
      <c r="FI20" s="1166"/>
      <c r="FJ20" s="1166"/>
      <c r="FK20" s="1166"/>
      <c r="FL20" s="1166"/>
      <c r="FM20" s="1166"/>
      <c r="FN20" s="1166"/>
      <c r="FO20" s="1166"/>
      <c r="FP20" s="1166"/>
      <c r="FQ20" s="1166"/>
      <c r="FR20" s="1166"/>
      <c r="FS20" s="1166"/>
      <c r="FT20" s="1166"/>
      <c r="FU20" s="1166"/>
      <c r="FV20" s="1166"/>
      <c r="FW20" s="1166"/>
      <c r="FX20" s="1166"/>
      <c r="FY20" s="1166"/>
      <c r="FZ20" s="1166"/>
      <c r="GA20" s="1166"/>
      <c r="GB20" s="1166"/>
      <c r="GC20" s="1166"/>
      <c r="GD20" s="1166"/>
      <c r="GE20" s="1166"/>
      <c r="GF20" s="1166"/>
      <c r="GG20" s="1166"/>
      <c r="GH20" s="1166"/>
      <c r="GI20" s="1166"/>
      <c r="GJ20" s="1166"/>
      <c r="GK20" s="1166"/>
      <c r="GL20" s="1166"/>
      <c r="GM20" s="1166"/>
      <c r="GN20" s="1166"/>
      <c r="GO20" s="1166"/>
      <c r="GP20" s="1166"/>
      <c r="GQ20" s="1166"/>
      <c r="GR20" s="1166"/>
      <c r="GS20" s="1166"/>
      <c r="GT20" s="1166"/>
      <c r="GU20" s="1166"/>
      <c r="GV20" s="1166"/>
      <c r="GW20" s="1166"/>
      <c r="GX20" s="1166"/>
      <c r="GY20" s="1166"/>
      <c r="GZ20" s="1166"/>
      <c r="HA20" s="1166"/>
      <c r="HB20" s="1166"/>
      <c r="HC20" s="1166"/>
      <c r="HD20" s="1166"/>
      <c r="HE20" s="1166"/>
      <c r="HF20" s="1166"/>
      <c r="HG20" s="1166"/>
      <c r="HH20" s="1166"/>
      <c r="HI20" s="1166"/>
      <c r="HJ20" s="1166"/>
      <c r="HK20" s="1166"/>
      <c r="HL20" s="1166"/>
      <c r="HM20" s="1166"/>
      <c r="HN20" s="1166"/>
      <c r="HO20" s="1166"/>
      <c r="HP20" s="1166"/>
      <c r="HQ20" s="1166"/>
      <c r="HR20" s="1166"/>
      <c r="HS20" s="1166"/>
      <c r="HT20" s="1166"/>
      <c r="HU20" s="1166"/>
      <c r="HV20" s="1166"/>
      <c r="HW20" s="1166"/>
      <c r="HX20" s="1166"/>
      <c r="HY20" s="1166"/>
      <c r="HZ20" s="1166"/>
      <c r="IA20" s="1166"/>
      <c r="IB20" s="1166"/>
      <c r="IC20" s="1166"/>
      <c r="ID20" s="1166"/>
      <c r="IE20" s="1166"/>
      <c r="IF20" s="1166"/>
      <c r="IG20" s="1166"/>
      <c r="IH20" s="1166"/>
      <c r="II20" s="1166"/>
      <c r="IJ20" s="1166"/>
      <c r="IK20" s="1166"/>
      <c r="IL20" s="1166"/>
      <c r="IM20" s="1166"/>
      <c r="IN20" s="1166"/>
      <c r="IO20" s="1166"/>
      <c r="IP20" s="1166"/>
      <c r="IQ20" s="1166"/>
      <c r="IR20" s="1166"/>
      <c r="IS20" s="1166"/>
      <c r="IT20" s="1166"/>
      <c r="IU20" s="1166"/>
      <c r="IV20" s="1166"/>
    </row>
    <row r="21" spans="1:256" ht="33" x14ac:dyDescent="0.35">
      <c r="A21" s="1452">
        <v>12</v>
      </c>
      <c r="B21" s="1476"/>
      <c r="C21" s="1187">
        <v>4</v>
      </c>
      <c r="D21" s="1485" t="s">
        <v>972</v>
      </c>
      <c r="E21" s="1467">
        <f>F21+G21+O25+P22</f>
        <v>488600</v>
      </c>
      <c r="F21" s="1486">
        <f>326+17127+3982+72298+198271</f>
        <v>292004</v>
      </c>
      <c r="G21" s="1469">
        <v>191677</v>
      </c>
      <c r="H21" s="1479" t="s">
        <v>296</v>
      </c>
      <c r="I21" s="1487"/>
      <c r="J21" s="1488"/>
      <c r="K21" s="1488"/>
      <c r="L21" s="1488"/>
      <c r="M21" s="1488"/>
      <c r="N21" s="1489"/>
      <c r="O21" s="1480"/>
      <c r="P21" s="1475"/>
    </row>
    <row r="22" spans="1:256" s="1464" customFormat="1" ht="18" customHeight="1" x14ac:dyDescent="0.35">
      <c r="A22" s="1452">
        <v>13</v>
      </c>
      <c r="B22" s="1465"/>
      <c r="C22" s="1187"/>
      <c r="D22" s="1477" t="s">
        <v>230</v>
      </c>
      <c r="E22" s="1468"/>
      <c r="F22" s="1490"/>
      <c r="G22" s="1478"/>
      <c r="H22" s="1479"/>
      <c r="I22" s="1487"/>
      <c r="J22" s="1488"/>
      <c r="K22" s="1488"/>
      <c r="L22" s="1488"/>
      <c r="M22" s="1488">
        <v>4919</v>
      </c>
      <c r="N22" s="1489"/>
      <c r="O22" s="1480">
        <f>SUM(I22:N22)</f>
        <v>4919</v>
      </c>
      <c r="P22" s="1475"/>
      <c r="Q22" s="1166"/>
      <c r="R22" s="1166"/>
      <c r="S22" s="1166"/>
      <c r="T22" s="1166"/>
      <c r="U22" s="1166"/>
      <c r="V22" s="1166"/>
      <c r="W22" s="1166"/>
      <c r="X22" s="1166"/>
      <c r="Y22" s="1166"/>
      <c r="Z22" s="1166"/>
      <c r="AA22" s="1166"/>
      <c r="AB22" s="1166"/>
      <c r="AC22" s="1166"/>
      <c r="AD22" s="1166"/>
      <c r="AE22" s="1166"/>
      <c r="AF22" s="1166"/>
      <c r="AG22" s="1166"/>
      <c r="AH22" s="1166"/>
      <c r="AI22" s="1166"/>
      <c r="AJ22" s="1166"/>
      <c r="AK22" s="1166"/>
      <c r="AL22" s="1166"/>
      <c r="AM22" s="1166"/>
      <c r="AN22" s="1166"/>
      <c r="AO22" s="1166"/>
      <c r="AP22" s="1166"/>
      <c r="AQ22" s="1166"/>
      <c r="AR22" s="1166"/>
      <c r="AS22" s="1166"/>
      <c r="AT22" s="1166"/>
      <c r="AU22" s="1166"/>
      <c r="AV22" s="1166"/>
      <c r="AW22" s="1166"/>
      <c r="AX22" s="1166"/>
      <c r="AY22" s="1166"/>
      <c r="AZ22" s="1166"/>
      <c r="BA22" s="1166"/>
      <c r="BB22" s="1166"/>
      <c r="BC22" s="1166"/>
      <c r="BD22" s="1166"/>
      <c r="BE22" s="1166"/>
      <c r="BF22" s="1166"/>
      <c r="BG22" s="1166"/>
      <c r="BH22" s="1166"/>
      <c r="BI22" s="1166"/>
      <c r="BJ22" s="1166"/>
      <c r="BK22" s="1166"/>
      <c r="BL22" s="1166"/>
      <c r="BM22" s="1166"/>
      <c r="BN22" s="1166"/>
      <c r="BO22" s="1166"/>
      <c r="BP22" s="1166"/>
      <c r="BQ22" s="1166"/>
      <c r="BR22" s="1166"/>
      <c r="BS22" s="1166"/>
      <c r="BT22" s="1166"/>
      <c r="BU22" s="1166"/>
      <c r="BV22" s="1166"/>
      <c r="BW22" s="1166"/>
      <c r="BX22" s="1166"/>
      <c r="BY22" s="1166"/>
      <c r="BZ22" s="1166"/>
      <c r="CA22" s="1166"/>
      <c r="CB22" s="1166"/>
      <c r="CC22" s="1166"/>
      <c r="CD22" s="1166"/>
      <c r="CE22" s="1166"/>
      <c r="CF22" s="1166"/>
      <c r="CG22" s="1166"/>
      <c r="CH22" s="1166"/>
      <c r="CI22" s="1166"/>
      <c r="CJ22" s="1166"/>
      <c r="CK22" s="1166"/>
      <c r="CL22" s="1166"/>
      <c r="CM22" s="1166"/>
      <c r="CN22" s="1166"/>
      <c r="CO22" s="1166"/>
      <c r="CP22" s="1166"/>
      <c r="CQ22" s="1166"/>
      <c r="CR22" s="1166"/>
      <c r="CS22" s="1166"/>
      <c r="CT22" s="1166"/>
      <c r="CU22" s="1166"/>
      <c r="CV22" s="1166"/>
      <c r="CW22" s="1166"/>
      <c r="CX22" s="1166"/>
      <c r="CY22" s="1166"/>
      <c r="CZ22" s="1166"/>
      <c r="DA22" s="1166"/>
      <c r="DB22" s="1166"/>
      <c r="DC22" s="1166"/>
      <c r="DD22" s="1166"/>
      <c r="DE22" s="1166"/>
      <c r="DF22" s="1166"/>
      <c r="DG22" s="1166"/>
      <c r="DH22" s="1166"/>
      <c r="DI22" s="1166"/>
      <c r="DJ22" s="1166"/>
      <c r="DK22" s="1166"/>
      <c r="DL22" s="1166"/>
      <c r="DM22" s="1166"/>
      <c r="DN22" s="1166"/>
      <c r="DO22" s="1166"/>
      <c r="DP22" s="1166"/>
      <c r="DQ22" s="1166"/>
      <c r="DR22" s="1166"/>
      <c r="DS22" s="1166"/>
      <c r="DT22" s="1166"/>
      <c r="DU22" s="1166"/>
      <c r="DV22" s="1166"/>
      <c r="DW22" s="1166"/>
      <c r="DX22" s="1166"/>
      <c r="DY22" s="1166"/>
      <c r="DZ22" s="1166"/>
      <c r="EA22" s="1166"/>
      <c r="EB22" s="1166"/>
      <c r="EC22" s="1166"/>
      <c r="ED22" s="1166"/>
      <c r="EE22" s="1166"/>
      <c r="EF22" s="1166"/>
      <c r="EG22" s="1166"/>
      <c r="EH22" s="1166"/>
      <c r="EI22" s="1166"/>
      <c r="EJ22" s="1166"/>
      <c r="EK22" s="1166"/>
      <c r="EL22" s="1166"/>
      <c r="EM22" s="1166"/>
      <c r="EN22" s="1166"/>
      <c r="EO22" s="1166"/>
      <c r="EP22" s="1166"/>
      <c r="EQ22" s="1166"/>
      <c r="ER22" s="1166"/>
      <c r="ES22" s="1166"/>
      <c r="ET22" s="1166"/>
      <c r="EU22" s="1166"/>
      <c r="EV22" s="1166"/>
      <c r="EW22" s="1166"/>
      <c r="EX22" s="1166"/>
      <c r="EY22" s="1166"/>
      <c r="EZ22" s="1166"/>
      <c r="FA22" s="1166"/>
      <c r="FB22" s="1166"/>
      <c r="FC22" s="1166"/>
      <c r="FD22" s="1166"/>
      <c r="FE22" s="1166"/>
      <c r="FF22" s="1166"/>
      <c r="FG22" s="1166"/>
      <c r="FH22" s="1166"/>
      <c r="FI22" s="1166"/>
      <c r="FJ22" s="1166"/>
      <c r="FK22" s="1166"/>
      <c r="FL22" s="1166"/>
      <c r="FM22" s="1166"/>
      <c r="FN22" s="1166"/>
      <c r="FO22" s="1166"/>
      <c r="FP22" s="1166"/>
      <c r="FQ22" s="1166"/>
      <c r="FR22" s="1166"/>
      <c r="FS22" s="1166"/>
      <c r="FT22" s="1166"/>
      <c r="FU22" s="1166"/>
      <c r="FV22" s="1166"/>
      <c r="FW22" s="1166"/>
      <c r="FX22" s="1166"/>
      <c r="FY22" s="1166"/>
      <c r="FZ22" s="1166"/>
      <c r="GA22" s="1166"/>
      <c r="GB22" s="1166"/>
      <c r="GC22" s="1166"/>
      <c r="GD22" s="1166"/>
      <c r="GE22" s="1166"/>
      <c r="GF22" s="1166"/>
      <c r="GG22" s="1166"/>
      <c r="GH22" s="1166"/>
      <c r="GI22" s="1166"/>
      <c r="GJ22" s="1166"/>
      <c r="GK22" s="1166"/>
      <c r="GL22" s="1166"/>
      <c r="GM22" s="1166"/>
      <c r="GN22" s="1166"/>
      <c r="GO22" s="1166"/>
      <c r="GP22" s="1166"/>
      <c r="GQ22" s="1166"/>
      <c r="GR22" s="1166"/>
      <c r="GS22" s="1166"/>
      <c r="GT22" s="1166"/>
      <c r="GU22" s="1166"/>
      <c r="GV22" s="1166"/>
      <c r="GW22" s="1166"/>
      <c r="GX22" s="1166"/>
      <c r="GY22" s="1166"/>
      <c r="GZ22" s="1166"/>
      <c r="HA22" s="1166"/>
      <c r="HB22" s="1166"/>
      <c r="HC22" s="1166"/>
      <c r="HD22" s="1166"/>
      <c r="HE22" s="1166"/>
      <c r="HF22" s="1166"/>
      <c r="HG22" s="1166"/>
      <c r="HH22" s="1166"/>
      <c r="HI22" s="1166"/>
      <c r="HJ22" s="1166"/>
      <c r="HK22" s="1166"/>
      <c r="HL22" s="1166"/>
      <c r="HM22" s="1166"/>
      <c r="HN22" s="1166"/>
      <c r="HO22" s="1166"/>
      <c r="HP22" s="1166"/>
      <c r="HQ22" s="1166"/>
      <c r="HR22" s="1166"/>
      <c r="HS22" s="1166"/>
      <c r="HT22" s="1166"/>
      <c r="HU22" s="1166"/>
      <c r="HV22" s="1166"/>
      <c r="HW22" s="1166"/>
      <c r="HX22" s="1166"/>
      <c r="HY22" s="1166"/>
      <c r="HZ22" s="1166"/>
      <c r="IA22" s="1166"/>
      <c r="IB22" s="1166"/>
      <c r="IC22" s="1166"/>
      <c r="ID22" s="1166"/>
      <c r="IE22" s="1166"/>
      <c r="IF22" s="1166"/>
      <c r="IG22" s="1166"/>
      <c r="IH22" s="1166"/>
      <c r="II22" s="1166"/>
      <c r="IJ22" s="1166"/>
      <c r="IK22" s="1166"/>
      <c r="IL22" s="1166"/>
      <c r="IM22" s="1166"/>
      <c r="IN22" s="1166"/>
      <c r="IO22" s="1166"/>
      <c r="IP22" s="1166"/>
      <c r="IQ22" s="1166"/>
      <c r="IR22" s="1166"/>
      <c r="IS22" s="1166"/>
      <c r="IT22" s="1166"/>
      <c r="IU22" s="1166"/>
      <c r="IV22" s="1166"/>
    </row>
    <row r="23" spans="1:256" s="1464" customFormat="1" ht="18" customHeight="1" x14ac:dyDescent="0.35">
      <c r="A23" s="1452">
        <v>14</v>
      </c>
      <c r="B23" s="1465"/>
      <c r="C23" s="1187"/>
      <c r="D23" s="1481" t="s">
        <v>231</v>
      </c>
      <c r="E23" s="1468"/>
      <c r="F23" s="1490"/>
      <c r="G23" s="1478"/>
      <c r="H23" s="1479"/>
      <c r="I23" s="1487"/>
      <c r="J23" s="1488"/>
      <c r="K23" s="1488"/>
      <c r="L23" s="1491">
        <v>3598</v>
      </c>
      <c r="M23" s="1491">
        <v>1321</v>
      </c>
      <c r="N23" s="1492"/>
      <c r="O23" s="1222">
        <f>SUM(I23:N23)</f>
        <v>4919</v>
      </c>
      <c r="P23" s="1475"/>
      <c r="Q23" s="1166"/>
      <c r="R23" s="1166"/>
      <c r="S23" s="1166"/>
      <c r="T23" s="1166"/>
      <c r="U23" s="1166"/>
      <c r="V23" s="1166"/>
      <c r="W23" s="1166"/>
      <c r="X23" s="1166"/>
      <c r="Y23" s="1166"/>
      <c r="Z23" s="1166"/>
      <c r="AA23" s="1166"/>
      <c r="AB23" s="1166"/>
      <c r="AC23" s="1166"/>
      <c r="AD23" s="1166"/>
      <c r="AE23" s="1166"/>
      <c r="AF23" s="1166"/>
      <c r="AG23" s="1166"/>
      <c r="AH23" s="1166"/>
      <c r="AI23" s="1166"/>
      <c r="AJ23" s="1166"/>
      <c r="AK23" s="1166"/>
      <c r="AL23" s="1166"/>
      <c r="AM23" s="1166"/>
      <c r="AN23" s="1166"/>
      <c r="AO23" s="1166"/>
      <c r="AP23" s="1166"/>
      <c r="AQ23" s="1166"/>
      <c r="AR23" s="1166"/>
      <c r="AS23" s="1166"/>
      <c r="AT23" s="1166"/>
      <c r="AU23" s="1166"/>
      <c r="AV23" s="1166"/>
      <c r="AW23" s="1166"/>
      <c r="AX23" s="1166"/>
      <c r="AY23" s="1166"/>
      <c r="AZ23" s="1166"/>
      <c r="BA23" s="1166"/>
      <c r="BB23" s="1166"/>
      <c r="BC23" s="1166"/>
      <c r="BD23" s="1166"/>
      <c r="BE23" s="1166"/>
      <c r="BF23" s="1166"/>
      <c r="BG23" s="1166"/>
      <c r="BH23" s="1166"/>
      <c r="BI23" s="1166"/>
      <c r="BJ23" s="1166"/>
      <c r="BK23" s="1166"/>
      <c r="BL23" s="1166"/>
      <c r="BM23" s="1166"/>
      <c r="BN23" s="1166"/>
      <c r="BO23" s="1166"/>
      <c r="BP23" s="1166"/>
      <c r="BQ23" s="1166"/>
      <c r="BR23" s="1166"/>
      <c r="BS23" s="1166"/>
      <c r="BT23" s="1166"/>
      <c r="BU23" s="1166"/>
      <c r="BV23" s="1166"/>
      <c r="BW23" s="1166"/>
      <c r="BX23" s="1166"/>
      <c r="BY23" s="1166"/>
      <c r="BZ23" s="1166"/>
      <c r="CA23" s="1166"/>
      <c r="CB23" s="1166"/>
      <c r="CC23" s="1166"/>
      <c r="CD23" s="1166"/>
      <c r="CE23" s="1166"/>
      <c r="CF23" s="1166"/>
      <c r="CG23" s="1166"/>
      <c r="CH23" s="1166"/>
      <c r="CI23" s="1166"/>
      <c r="CJ23" s="1166"/>
      <c r="CK23" s="1166"/>
      <c r="CL23" s="1166"/>
      <c r="CM23" s="1166"/>
      <c r="CN23" s="1166"/>
      <c r="CO23" s="1166"/>
      <c r="CP23" s="1166"/>
      <c r="CQ23" s="1166"/>
      <c r="CR23" s="1166"/>
      <c r="CS23" s="1166"/>
      <c r="CT23" s="1166"/>
      <c r="CU23" s="1166"/>
      <c r="CV23" s="1166"/>
      <c r="CW23" s="1166"/>
      <c r="CX23" s="1166"/>
      <c r="CY23" s="1166"/>
      <c r="CZ23" s="1166"/>
      <c r="DA23" s="1166"/>
      <c r="DB23" s="1166"/>
      <c r="DC23" s="1166"/>
      <c r="DD23" s="1166"/>
      <c r="DE23" s="1166"/>
      <c r="DF23" s="1166"/>
      <c r="DG23" s="1166"/>
      <c r="DH23" s="1166"/>
      <c r="DI23" s="1166"/>
      <c r="DJ23" s="1166"/>
      <c r="DK23" s="1166"/>
      <c r="DL23" s="1166"/>
      <c r="DM23" s="1166"/>
      <c r="DN23" s="1166"/>
      <c r="DO23" s="1166"/>
      <c r="DP23" s="1166"/>
      <c r="DQ23" s="1166"/>
      <c r="DR23" s="1166"/>
      <c r="DS23" s="1166"/>
      <c r="DT23" s="1166"/>
      <c r="DU23" s="1166"/>
      <c r="DV23" s="1166"/>
      <c r="DW23" s="1166"/>
      <c r="DX23" s="1166"/>
      <c r="DY23" s="1166"/>
      <c r="DZ23" s="1166"/>
      <c r="EA23" s="1166"/>
      <c r="EB23" s="1166"/>
      <c r="EC23" s="1166"/>
      <c r="ED23" s="1166"/>
      <c r="EE23" s="1166"/>
      <c r="EF23" s="1166"/>
      <c r="EG23" s="1166"/>
      <c r="EH23" s="1166"/>
      <c r="EI23" s="1166"/>
      <c r="EJ23" s="1166"/>
      <c r="EK23" s="1166"/>
      <c r="EL23" s="1166"/>
      <c r="EM23" s="1166"/>
      <c r="EN23" s="1166"/>
      <c r="EO23" s="1166"/>
      <c r="EP23" s="1166"/>
      <c r="EQ23" s="1166"/>
      <c r="ER23" s="1166"/>
      <c r="ES23" s="1166"/>
      <c r="ET23" s="1166"/>
      <c r="EU23" s="1166"/>
      <c r="EV23" s="1166"/>
      <c r="EW23" s="1166"/>
      <c r="EX23" s="1166"/>
      <c r="EY23" s="1166"/>
      <c r="EZ23" s="1166"/>
      <c r="FA23" s="1166"/>
      <c r="FB23" s="1166"/>
      <c r="FC23" s="1166"/>
      <c r="FD23" s="1166"/>
      <c r="FE23" s="1166"/>
      <c r="FF23" s="1166"/>
      <c r="FG23" s="1166"/>
      <c r="FH23" s="1166"/>
      <c r="FI23" s="1166"/>
      <c r="FJ23" s="1166"/>
      <c r="FK23" s="1166"/>
      <c r="FL23" s="1166"/>
      <c r="FM23" s="1166"/>
      <c r="FN23" s="1166"/>
      <c r="FO23" s="1166"/>
      <c r="FP23" s="1166"/>
      <c r="FQ23" s="1166"/>
      <c r="FR23" s="1166"/>
      <c r="FS23" s="1166"/>
      <c r="FT23" s="1166"/>
      <c r="FU23" s="1166"/>
      <c r="FV23" s="1166"/>
      <c r="FW23" s="1166"/>
      <c r="FX23" s="1166"/>
      <c r="FY23" s="1166"/>
      <c r="FZ23" s="1166"/>
      <c r="GA23" s="1166"/>
      <c r="GB23" s="1166"/>
      <c r="GC23" s="1166"/>
      <c r="GD23" s="1166"/>
      <c r="GE23" s="1166"/>
      <c r="GF23" s="1166"/>
      <c r="GG23" s="1166"/>
      <c r="GH23" s="1166"/>
      <c r="GI23" s="1166"/>
      <c r="GJ23" s="1166"/>
      <c r="GK23" s="1166"/>
      <c r="GL23" s="1166"/>
      <c r="GM23" s="1166"/>
      <c r="GN23" s="1166"/>
      <c r="GO23" s="1166"/>
      <c r="GP23" s="1166"/>
      <c r="GQ23" s="1166"/>
      <c r="GR23" s="1166"/>
      <c r="GS23" s="1166"/>
      <c r="GT23" s="1166"/>
      <c r="GU23" s="1166"/>
      <c r="GV23" s="1166"/>
      <c r="GW23" s="1166"/>
      <c r="GX23" s="1166"/>
      <c r="GY23" s="1166"/>
      <c r="GZ23" s="1166"/>
      <c r="HA23" s="1166"/>
      <c r="HB23" s="1166"/>
      <c r="HC23" s="1166"/>
      <c r="HD23" s="1166"/>
      <c r="HE23" s="1166"/>
      <c r="HF23" s="1166"/>
      <c r="HG23" s="1166"/>
      <c r="HH23" s="1166"/>
      <c r="HI23" s="1166"/>
      <c r="HJ23" s="1166"/>
      <c r="HK23" s="1166"/>
      <c r="HL23" s="1166"/>
      <c r="HM23" s="1166"/>
      <c r="HN23" s="1166"/>
      <c r="HO23" s="1166"/>
      <c r="HP23" s="1166"/>
      <c r="HQ23" s="1166"/>
      <c r="HR23" s="1166"/>
      <c r="HS23" s="1166"/>
      <c r="HT23" s="1166"/>
      <c r="HU23" s="1166"/>
      <c r="HV23" s="1166"/>
      <c r="HW23" s="1166"/>
      <c r="HX23" s="1166"/>
      <c r="HY23" s="1166"/>
      <c r="HZ23" s="1166"/>
      <c r="IA23" s="1166"/>
      <c r="IB23" s="1166"/>
      <c r="IC23" s="1166"/>
      <c r="ID23" s="1166"/>
      <c r="IE23" s="1166"/>
      <c r="IF23" s="1166"/>
      <c r="IG23" s="1166"/>
      <c r="IH23" s="1166"/>
      <c r="II23" s="1166"/>
      <c r="IJ23" s="1166"/>
      <c r="IK23" s="1166"/>
      <c r="IL23" s="1166"/>
      <c r="IM23" s="1166"/>
      <c r="IN23" s="1166"/>
      <c r="IO23" s="1166"/>
      <c r="IP23" s="1166"/>
      <c r="IQ23" s="1166"/>
      <c r="IR23" s="1166"/>
      <c r="IS23" s="1166"/>
      <c r="IT23" s="1166"/>
      <c r="IU23" s="1166"/>
      <c r="IV23" s="1166"/>
    </row>
    <row r="24" spans="1:256" s="1464" customFormat="1" ht="18" customHeight="1" x14ac:dyDescent="0.35">
      <c r="A24" s="1452">
        <v>15</v>
      </c>
      <c r="B24" s="1465"/>
      <c r="C24" s="1187"/>
      <c r="D24" s="1484" t="s">
        <v>232</v>
      </c>
      <c r="E24" s="1468"/>
      <c r="F24" s="1490"/>
      <c r="G24" s="1478"/>
      <c r="H24" s="1479"/>
      <c r="I24" s="1487"/>
      <c r="J24" s="1488"/>
      <c r="K24" s="1488"/>
      <c r="L24" s="1493"/>
      <c r="M24" s="1493"/>
      <c r="N24" s="1489"/>
      <c r="O24" s="1217">
        <f>SUM(I24:N24)</f>
        <v>0</v>
      </c>
      <c r="P24" s="1475"/>
      <c r="Q24" s="1166"/>
      <c r="R24" s="1166"/>
      <c r="S24" s="1166"/>
      <c r="T24" s="1166"/>
      <c r="U24" s="1166"/>
      <c r="V24" s="1166"/>
      <c r="W24" s="1166"/>
      <c r="X24" s="1166"/>
      <c r="Y24" s="1166"/>
      <c r="Z24" s="1166"/>
      <c r="AA24" s="1166"/>
      <c r="AB24" s="1166"/>
      <c r="AC24" s="1166"/>
      <c r="AD24" s="1166"/>
      <c r="AE24" s="1166"/>
      <c r="AF24" s="1166"/>
      <c r="AG24" s="1166"/>
      <c r="AH24" s="1166"/>
      <c r="AI24" s="1166"/>
      <c r="AJ24" s="1166"/>
      <c r="AK24" s="1166"/>
      <c r="AL24" s="1166"/>
      <c r="AM24" s="1166"/>
      <c r="AN24" s="1166"/>
      <c r="AO24" s="1166"/>
      <c r="AP24" s="1166"/>
      <c r="AQ24" s="1166"/>
      <c r="AR24" s="1166"/>
      <c r="AS24" s="1166"/>
      <c r="AT24" s="1166"/>
      <c r="AU24" s="1166"/>
      <c r="AV24" s="1166"/>
      <c r="AW24" s="1166"/>
      <c r="AX24" s="1166"/>
      <c r="AY24" s="1166"/>
      <c r="AZ24" s="1166"/>
      <c r="BA24" s="1166"/>
      <c r="BB24" s="1166"/>
      <c r="BC24" s="1166"/>
      <c r="BD24" s="1166"/>
      <c r="BE24" s="1166"/>
      <c r="BF24" s="1166"/>
      <c r="BG24" s="1166"/>
      <c r="BH24" s="1166"/>
      <c r="BI24" s="1166"/>
      <c r="BJ24" s="1166"/>
      <c r="BK24" s="1166"/>
      <c r="BL24" s="1166"/>
      <c r="BM24" s="1166"/>
      <c r="BN24" s="1166"/>
      <c r="BO24" s="1166"/>
      <c r="BP24" s="1166"/>
      <c r="BQ24" s="1166"/>
      <c r="BR24" s="1166"/>
      <c r="BS24" s="1166"/>
      <c r="BT24" s="1166"/>
      <c r="BU24" s="1166"/>
      <c r="BV24" s="1166"/>
      <c r="BW24" s="1166"/>
      <c r="BX24" s="1166"/>
      <c r="BY24" s="1166"/>
      <c r="BZ24" s="1166"/>
      <c r="CA24" s="1166"/>
      <c r="CB24" s="1166"/>
      <c r="CC24" s="1166"/>
      <c r="CD24" s="1166"/>
      <c r="CE24" s="1166"/>
      <c r="CF24" s="1166"/>
      <c r="CG24" s="1166"/>
      <c r="CH24" s="1166"/>
      <c r="CI24" s="1166"/>
      <c r="CJ24" s="1166"/>
      <c r="CK24" s="1166"/>
      <c r="CL24" s="1166"/>
      <c r="CM24" s="1166"/>
      <c r="CN24" s="1166"/>
      <c r="CO24" s="1166"/>
      <c r="CP24" s="1166"/>
      <c r="CQ24" s="1166"/>
      <c r="CR24" s="1166"/>
      <c r="CS24" s="1166"/>
      <c r="CT24" s="1166"/>
      <c r="CU24" s="1166"/>
      <c r="CV24" s="1166"/>
      <c r="CW24" s="1166"/>
      <c r="CX24" s="1166"/>
      <c r="CY24" s="1166"/>
      <c r="CZ24" s="1166"/>
      <c r="DA24" s="1166"/>
      <c r="DB24" s="1166"/>
      <c r="DC24" s="1166"/>
      <c r="DD24" s="1166"/>
      <c r="DE24" s="1166"/>
      <c r="DF24" s="1166"/>
      <c r="DG24" s="1166"/>
      <c r="DH24" s="1166"/>
      <c r="DI24" s="1166"/>
      <c r="DJ24" s="1166"/>
      <c r="DK24" s="1166"/>
      <c r="DL24" s="1166"/>
      <c r="DM24" s="1166"/>
      <c r="DN24" s="1166"/>
      <c r="DO24" s="1166"/>
      <c r="DP24" s="1166"/>
      <c r="DQ24" s="1166"/>
      <c r="DR24" s="1166"/>
      <c r="DS24" s="1166"/>
      <c r="DT24" s="1166"/>
      <c r="DU24" s="1166"/>
      <c r="DV24" s="1166"/>
      <c r="DW24" s="1166"/>
      <c r="DX24" s="1166"/>
      <c r="DY24" s="1166"/>
      <c r="DZ24" s="1166"/>
      <c r="EA24" s="1166"/>
      <c r="EB24" s="1166"/>
      <c r="EC24" s="1166"/>
      <c r="ED24" s="1166"/>
      <c r="EE24" s="1166"/>
      <c r="EF24" s="1166"/>
      <c r="EG24" s="1166"/>
      <c r="EH24" s="1166"/>
      <c r="EI24" s="1166"/>
      <c r="EJ24" s="1166"/>
      <c r="EK24" s="1166"/>
      <c r="EL24" s="1166"/>
      <c r="EM24" s="1166"/>
      <c r="EN24" s="1166"/>
      <c r="EO24" s="1166"/>
      <c r="EP24" s="1166"/>
      <c r="EQ24" s="1166"/>
      <c r="ER24" s="1166"/>
      <c r="ES24" s="1166"/>
      <c r="ET24" s="1166"/>
      <c r="EU24" s="1166"/>
      <c r="EV24" s="1166"/>
      <c r="EW24" s="1166"/>
      <c r="EX24" s="1166"/>
      <c r="EY24" s="1166"/>
      <c r="EZ24" s="1166"/>
      <c r="FA24" s="1166"/>
      <c r="FB24" s="1166"/>
      <c r="FC24" s="1166"/>
      <c r="FD24" s="1166"/>
      <c r="FE24" s="1166"/>
      <c r="FF24" s="1166"/>
      <c r="FG24" s="1166"/>
      <c r="FH24" s="1166"/>
      <c r="FI24" s="1166"/>
      <c r="FJ24" s="1166"/>
      <c r="FK24" s="1166"/>
      <c r="FL24" s="1166"/>
      <c r="FM24" s="1166"/>
      <c r="FN24" s="1166"/>
      <c r="FO24" s="1166"/>
      <c r="FP24" s="1166"/>
      <c r="FQ24" s="1166"/>
      <c r="FR24" s="1166"/>
      <c r="FS24" s="1166"/>
      <c r="FT24" s="1166"/>
      <c r="FU24" s="1166"/>
      <c r="FV24" s="1166"/>
      <c r="FW24" s="1166"/>
      <c r="FX24" s="1166"/>
      <c r="FY24" s="1166"/>
      <c r="FZ24" s="1166"/>
      <c r="GA24" s="1166"/>
      <c r="GB24" s="1166"/>
      <c r="GC24" s="1166"/>
      <c r="GD24" s="1166"/>
      <c r="GE24" s="1166"/>
      <c r="GF24" s="1166"/>
      <c r="GG24" s="1166"/>
      <c r="GH24" s="1166"/>
      <c r="GI24" s="1166"/>
      <c r="GJ24" s="1166"/>
      <c r="GK24" s="1166"/>
      <c r="GL24" s="1166"/>
      <c r="GM24" s="1166"/>
      <c r="GN24" s="1166"/>
      <c r="GO24" s="1166"/>
      <c r="GP24" s="1166"/>
      <c r="GQ24" s="1166"/>
      <c r="GR24" s="1166"/>
      <c r="GS24" s="1166"/>
      <c r="GT24" s="1166"/>
      <c r="GU24" s="1166"/>
      <c r="GV24" s="1166"/>
      <c r="GW24" s="1166"/>
      <c r="GX24" s="1166"/>
      <c r="GY24" s="1166"/>
      <c r="GZ24" s="1166"/>
      <c r="HA24" s="1166"/>
      <c r="HB24" s="1166"/>
      <c r="HC24" s="1166"/>
      <c r="HD24" s="1166"/>
      <c r="HE24" s="1166"/>
      <c r="HF24" s="1166"/>
      <c r="HG24" s="1166"/>
      <c r="HH24" s="1166"/>
      <c r="HI24" s="1166"/>
      <c r="HJ24" s="1166"/>
      <c r="HK24" s="1166"/>
      <c r="HL24" s="1166"/>
      <c r="HM24" s="1166"/>
      <c r="HN24" s="1166"/>
      <c r="HO24" s="1166"/>
      <c r="HP24" s="1166"/>
      <c r="HQ24" s="1166"/>
      <c r="HR24" s="1166"/>
      <c r="HS24" s="1166"/>
      <c r="HT24" s="1166"/>
      <c r="HU24" s="1166"/>
      <c r="HV24" s="1166"/>
      <c r="HW24" s="1166"/>
      <c r="HX24" s="1166"/>
      <c r="HY24" s="1166"/>
      <c r="HZ24" s="1166"/>
      <c r="IA24" s="1166"/>
      <c r="IB24" s="1166"/>
      <c r="IC24" s="1166"/>
      <c r="ID24" s="1166"/>
      <c r="IE24" s="1166"/>
      <c r="IF24" s="1166"/>
      <c r="IG24" s="1166"/>
      <c r="IH24" s="1166"/>
      <c r="II24" s="1166"/>
      <c r="IJ24" s="1166"/>
      <c r="IK24" s="1166"/>
      <c r="IL24" s="1166"/>
      <c r="IM24" s="1166"/>
      <c r="IN24" s="1166"/>
      <c r="IO24" s="1166"/>
      <c r="IP24" s="1166"/>
      <c r="IQ24" s="1166"/>
      <c r="IR24" s="1166"/>
      <c r="IS24" s="1166"/>
      <c r="IT24" s="1166"/>
      <c r="IU24" s="1166"/>
      <c r="IV24" s="1166"/>
    </row>
    <row r="25" spans="1:256" s="1464" customFormat="1" ht="18" customHeight="1" x14ac:dyDescent="0.35">
      <c r="A25" s="1452">
        <v>16</v>
      </c>
      <c r="B25" s="1465"/>
      <c r="C25" s="1187"/>
      <c r="D25" s="1481" t="s">
        <v>233</v>
      </c>
      <c r="E25" s="1468"/>
      <c r="F25" s="1490"/>
      <c r="G25" s="1478"/>
      <c r="H25" s="1479"/>
      <c r="I25" s="1487"/>
      <c r="J25" s="1488"/>
      <c r="K25" s="1488"/>
      <c r="L25" s="1491">
        <f>SUM(L23:L24)</f>
        <v>3598</v>
      </c>
      <c r="M25" s="1491">
        <f>SUM(M23:M24)</f>
        <v>1321</v>
      </c>
      <c r="N25" s="1489"/>
      <c r="O25" s="1222">
        <f>SUM(I25:N25)</f>
        <v>4919</v>
      </c>
      <c r="P25" s="1475"/>
      <c r="Q25" s="1166"/>
      <c r="R25" s="1166"/>
      <c r="S25" s="1166"/>
      <c r="T25" s="1166"/>
      <c r="U25" s="1166"/>
      <c r="V25" s="1166"/>
      <c r="W25" s="1166"/>
      <c r="X25" s="1166"/>
      <c r="Y25" s="1166"/>
      <c r="Z25" s="1166"/>
      <c r="AA25" s="1166"/>
      <c r="AB25" s="1166"/>
      <c r="AC25" s="1166"/>
      <c r="AD25" s="1166"/>
      <c r="AE25" s="1166"/>
      <c r="AF25" s="1166"/>
      <c r="AG25" s="1166"/>
      <c r="AH25" s="1166"/>
      <c r="AI25" s="1166"/>
      <c r="AJ25" s="1166"/>
      <c r="AK25" s="1166"/>
      <c r="AL25" s="1166"/>
      <c r="AM25" s="1166"/>
      <c r="AN25" s="1166"/>
      <c r="AO25" s="1166"/>
      <c r="AP25" s="1166"/>
      <c r="AQ25" s="1166"/>
      <c r="AR25" s="1166"/>
      <c r="AS25" s="1166"/>
      <c r="AT25" s="1166"/>
      <c r="AU25" s="1166"/>
      <c r="AV25" s="1166"/>
      <c r="AW25" s="1166"/>
      <c r="AX25" s="1166"/>
      <c r="AY25" s="1166"/>
      <c r="AZ25" s="1166"/>
      <c r="BA25" s="1166"/>
      <c r="BB25" s="1166"/>
      <c r="BC25" s="1166"/>
      <c r="BD25" s="1166"/>
      <c r="BE25" s="1166"/>
      <c r="BF25" s="1166"/>
      <c r="BG25" s="1166"/>
      <c r="BH25" s="1166"/>
      <c r="BI25" s="1166"/>
      <c r="BJ25" s="1166"/>
      <c r="BK25" s="1166"/>
      <c r="BL25" s="1166"/>
      <c r="BM25" s="1166"/>
      <c r="BN25" s="1166"/>
      <c r="BO25" s="1166"/>
      <c r="BP25" s="1166"/>
      <c r="BQ25" s="1166"/>
      <c r="BR25" s="1166"/>
      <c r="BS25" s="1166"/>
      <c r="BT25" s="1166"/>
      <c r="BU25" s="1166"/>
      <c r="BV25" s="1166"/>
      <c r="BW25" s="1166"/>
      <c r="BX25" s="1166"/>
      <c r="BY25" s="1166"/>
      <c r="BZ25" s="1166"/>
      <c r="CA25" s="1166"/>
      <c r="CB25" s="1166"/>
      <c r="CC25" s="1166"/>
      <c r="CD25" s="1166"/>
      <c r="CE25" s="1166"/>
      <c r="CF25" s="1166"/>
      <c r="CG25" s="1166"/>
      <c r="CH25" s="1166"/>
      <c r="CI25" s="1166"/>
      <c r="CJ25" s="1166"/>
      <c r="CK25" s="1166"/>
      <c r="CL25" s="1166"/>
      <c r="CM25" s="1166"/>
      <c r="CN25" s="1166"/>
      <c r="CO25" s="1166"/>
      <c r="CP25" s="1166"/>
      <c r="CQ25" s="1166"/>
      <c r="CR25" s="1166"/>
      <c r="CS25" s="1166"/>
      <c r="CT25" s="1166"/>
      <c r="CU25" s="1166"/>
      <c r="CV25" s="1166"/>
      <c r="CW25" s="1166"/>
      <c r="CX25" s="1166"/>
      <c r="CY25" s="1166"/>
      <c r="CZ25" s="1166"/>
      <c r="DA25" s="1166"/>
      <c r="DB25" s="1166"/>
      <c r="DC25" s="1166"/>
      <c r="DD25" s="1166"/>
      <c r="DE25" s="1166"/>
      <c r="DF25" s="1166"/>
      <c r="DG25" s="1166"/>
      <c r="DH25" s="1166"/>
      <c r="DI25" s="1166"/>
      <c r="DJ25" s="1166"/>
      <c r="DK25" s="1166"/>
      <c r="DL25" s="1166"/>
      <c r="DM25" s="1166"/>
      <c r="DN25" s="1166"/>
      <c r="DO25" s="1166"/>
      <c r="DP25" s="1166"/>
      <c r="DQ25" s="1166"/>
      <c r="DR25" s="1166"/>
      <c r="DS25" s="1166"/>
      <c r="DT25" s="1166"/>
      <c r="DU25" s="1166"/>
      <c r="DV25" s="1166"/>
      <c r="DW25" s="1166"/>
      <c r="DX25" s="1166"/>
      <c r="DY25" s="1166"/>
      <c r="DZ25" s="1166"/>
      <c r="EA25" s="1166"/>
      <c r="EB25" s="1166"/>
      <c r="EC25" s="1166"/>
      <c r="ED25" s="1166"/>
      <c r="EE25" s="1166"/>
      <c r="EF25" s="1166"/>
      <c r="EG25" s="1166"/>
      <c r="EH25" s="1166"/>
      <c r="EI25" s="1166"/>
      <c r="EJ25" s="1166"/>
      <c r="EK25" s="1166"/>
      <c r="EL25" s="1166"/>
      <c r="EM25" s="1166"/>
      <c r="EN25" s="1166"/>
      <c r="EO25" s="1166"/>
      <c r="EP25" s="1166"/>
      <c r="EQ25" s="1166"/>
      <c r="ER25" s="1166"/>
      <c r="ES25" s="1166"/>
      <c r="ET25" s="1166"/>
      <c r="EU25" s="1166"/>
      <c r="EV25" s="1166"/>
      <c r="EW25" s="1166"/>
      <c r="EX25" s="1166"/>
      <c r="EY25" s="1166"/>
      <c r="EZ25" s="1166"/>
      <c r="FA25" s="1166"/>
      <c r="FB25" s="1166"/>
      <c r="FC25" s="1166"/>
      <c r="FD25" s="1166"/>
      <c r="FE25" s="1166"/>
      <c r="FF25" s="1166"/>
      <c r="FG25" s="1166"/>
      <c r="FH25" s="1166"/>
      <c r="FI25" s="1166"/>
      <c r="FJ25" s="1166"/>
      <c r="FK25" s="1166"/>
      <c r="FL25" s="1166"/>
      <c r="FM25" s="1166"/>
      <c r="FN25" s="1166"/>
      <c r="FO25" s="1166"/>
      <c r="FP25" s="1166"/>
      <c r="FQ25" s="1166"/>
      <c r="FR25" s="1166"/>
      <c r="FS25" s="1166"/>
      <c r="FT25" s="1166"/>
      <c r="FU25" s="1166"/>
      <c r="FV25" s="1166"/>
      <c r="FW25" s="1166"/>
      <c r="FX25" s="1166"/>
      <c r="FY25" s="1166"/>
      <c r="FZ25" s="1166"/>
      <c r="GA25" s="1166"/>
      <c r="GB25" s="1166"/>
      <c r="GC25" s="1166"/>
      <c r="GD25" s="1166"/>
      <c r="GE25" s="1166"/>
      <c r="GF25" s="1166"/>
      <c r="GG25" s="1166"/>
      <c r="GH25" s="1166"/>
      <c r="GI25" s="1166"/>
      <c r="GJ25" s="1166"/>
      <c r="GK25" s="1166"/>
      <c r="GL25" s="1166"/>
      <c r="GM25" s="1166"/>
      <c r="GN25" s="1166"/>
      <c r="GO25" s="1166"/>
      <c r="GP25" s="1166"/>
      <c r="GQ25" s="1166"/>
      <c r="GR25" s="1166"/>
      <c r="GS25" s="1166"/>
      <c r="GT25" s="1166"/>
      <c r="GU25" s="1166"/>
      <c r="GV25" s="1166"/>
      <c r="GW25" s="1166"/>
      <c r="GX25" s="1166"/>
      <c r="GY25" s="1166"/>
      <c r="GZ25" s="1166"/>
      <c r="HA25" s="1166"/>
      <c r="HB25" s="1166"/>
      <c r="HC25" s="1166"/>
      <c r="HD25" s="1166"/>
      <c r="HE25" s="1166"/>
      <c r="HF25" s="1166"/>
      <c r="HG25" s="1166"/>
      <c r="HH25" s="1166"/>
      <c r="HI25" s="1166"/>
      <c r="HJ25" s="1166"/>
      <c r="HK25" s="1166"/>
      <c r="HL25" s="1166"/>
      <c r="HM25" s="1166"/>
      <c r="HN25" s="1166"/>
      <c r="HO25" s="1166"/>
      <c r="HP25" s="1166"/>
      <c r="HQ25" s="1166"/>
      <c r="HR25" s="1166"/>
      <c r="HS25" s="1166"/>
      <c r="HT25" s="1166"/>
      <c r="HU25" s="1166"/>
      <c r="HV25" s="1166"/>
      <c r="HW25" s="1166"/>
      <c r="HX25" s="1166"/>
      <c r="HY25" s="1166"/>
      <c r="HZ25" s="1166"/>
      <c r="IA25" s="1166"/>
      <c r="IB25" s="1166"/>
      <c r="IC25" s="1166"/>
      <c r="ID25" s="1166"/>
      <c r="IE25" s="1166"/>
      <c r="IF25" s="1166"/>
      <c r="IG25" s="1166"/>
      <c r="IH25" s="1166"/>
      <c r="II25" s="1166"/>
      <c r="IJ25" s="1166"/>
      <c r="IK25" s="1166"/>
      <c r="IL25" s="1166"/>
      <c r="IM25" s="1166"/>
      <c r="IN25" s="1166"/>
      <c r="IO25" s="1166"/>
      <c r="IP25" s="1166"/>
      <c r="IQ25" s="1166"/>
      <c r="IR25" s="1166"/>
      <c r="IS25" s="1166"/>
      <c r="IT25" s="1166"/>
      <c r="IU25" s="1166"/>
      <c r="IV25" s="1166"/>
    </row>
    <row r="26" spans="1:256" s="1464" customFormat="1" ht="34.5" customHeight="1" x14ac:dyDescent="0.35">
      <c r="A26" s="1452">
        <v>17</v>
      </c>
      <c r="B26" s="1465"/>
      <c r="C26" s="1187">
        <v>5</v>
      </c>
      <c r="D26" s="1485" t="s">
        <v>973</v>
      </c>
      <c r="E26" s="1467">
        <f>F26+G26+O30+P27</f>
        <v>1067743</v>
      </c>
      <c r="F26" s="1486">
        <f>5906+14982+252998</f>
        <v>273886</v>
      </c>
      <c r="G26" s="1469">
        <v>780059</v>
      </c>
      <c r="H26" s="1479" t="s">
        <v>296</v>
      </c>
      <c r="I26" s="1487"/>
      <c r="J26" s="1488"/>
      <c r="K26" s="1488"/>
      <c r="L26" s="1488"/>
      <c r="M26" s="1488"/>
      <c r="N26" s="1489"/>
      <c r="O26" s="1480"/>
      <c r="P26" s="1475"/>
      <c r="Q26" s="1166"/>
      <c r="R26" s="1166"/>
      <c r="S26" s="1166"/>
      <c r="T26" s="1166"/>
      <c r="U26" s="1166"/>
      <c r="V26" s="1166"/>
      <c r="W26" s="1166"/>
      <c r="X26" s="1166"/>
      <c r="Y26" s="1166"/>
      <c r="Z26" s="1166"/>
      <c r="AA26" s="1166"/>
      <c r="AB26" s="1166"/>
      <c r="AC26" s="1166"/>
      <c r="AD26" s="1166"/>
      <c r="AE26" s="1166"/>
      <c r="AF26" s="1166"/>
      <c r="AG26" s="1166"/>
      <c r="AH26" s="1166"/>
      <c r="AI26" s="1166"/>
      <c r="AJ26" s="1166"/>
      <c r="AK26" s="1166"/>
      <c r="AL26" s="1166"/>
      <c r="AM26" s="1166"/>
      <c r="AN26" s="1166"/>
      <c r="AO26" s="1166"/>
      <c r="AP26" s="1166"/>
      <c r="AQ26" s="1166"/>
      <c r="AR26" s="1166"/>
      <c r="AS26" s="1166"/>
      <c r="AT26" s="1166"/>
      <c r="AU26" s="1166"/>
      <c r="AV26" s="1166"/>
      <c r="AW26" s="1166"/>
      <c r="AX26" s="1166"/>
      <c r="AY26" s="1166"/>
      <c r="AZ26" s="1166"/>
      <c r="BA26" s="1166"/>
      <c r="BB26" s="1166"/>
      <c r="BC26" s="1166"/>
      <c r="BD26" s="1166"/>
      <c r="BE26" s="1166"/>
      <c r="BF26" s="1166"/>
      <c r="BG26" s="1166"/>
      <c r="BH26" s="1166"/>
      <c r="BI26" s="1166"/>
      <c r="BJ26" s="1166"/>
      <c r="BK26" s="1166"/>
      <c r="BL26" s="1166"/>
      <c r="BM26" s="1166"/>
      <c r="BN26" s="1166"/>
      <c r="BO26" s="1166"/>
      <c r="BP26" s="1166"/>
      <c r="BQ26" s="1166"/>
      <c r="BR26" s="1166"/>
      <c r="BS26" s="1166"/>
      <c r="BT26" s="1166"/>
      <c r="BU26" s="1166"/>
      <c r="BV26" s="1166"/>
      <c r="BW26" s="1166"/>
      <c r="BX26" s="1166"/>
      <c r="BY26" s="1166"/>
      <c r="BZ26" s="1166"/>
      <c r="CA26" s="1166"/>
      <c r="CB26" s="1166"/>
      <c r="CC26" s="1166"/>
      <c r="CD26" s="1166"/>
      <c r="CE26" s="1166"/>
      <c r="CF26" s="1166"/>
      <c r="CG26" s="1166"/>
      <c r="CH26" s="1166"/>
      <c r="CI26" s="1166"/>
      <c r="CJ26" s="1166"/>
      <c r="CK26" s="1166"/>
      <c r="CL26" s="1166"/>
      <c r="CM26" s="1166"/>
      <c r="CN26" s="1166"/>
      <c r="CO26" s="1166"/>
      <c r="CP26" s="1166"/>
      <c r="CQ26" s="1166"/>
      <c r="CR26" s="1166"/>
      <c r="CS26" s="1166"/>
      <c r="CT26" s="1166"/>
      <c r="CU26" s="1166"/>
      <c r="CV26" s="1166"/>
      <c r="CW26" s="1166"/>
      <c r="CX26" s="1166"/>
      <c r="CY26" s="1166"/>
      <c r="CZ26" s="1166"/>
      <c r="DA26" s="1166"/>
      <c r="DB26" s="1166"/>
      <c r="DC26" s="1166"/>
      <c r="DD26" s="1166"/>
      <c r="DE26" s="1166"/>
      <c r="DF26" s="1166"/>
      <c r="DG26" s="1166"/>
      <c r="DH26" s="1166"/>
      <c r="DI26" s="1166"/>
      <c r="DJ26" s="1166"/>
      <c r="DK26" s="1166"/>
      <c r="DL26" s="1166"/>
      <c r="DM26" s="1166"/>
      <c r="DN26" s="1166"/>
      <c r="DO26" s="1166"/>
      <c r="DP26" s="1166"/>
      <c r="DQ26" s="1166"/>
      <c r="DR26" s="1166"/>
      <c r="DS26" s="1166"/>
      <c r="DT26" s="1166"/>
      <c r="DU26" s="1166"/>
      <c r="DV26" s="1166"/>
      <c r="DW26" s="1166"/>
      <c r="DX26" s="1166"/>
      <c r="DY26" s="1166"/>
      <c r="DZ26" s="1166"/>
      <c r="EA26" s="1166"/>
      <c r="EB26" s="1166"/>
      <c r="EC26" s="1166"/>
      <c r="ED26" s="1166"/>
      <c r="EE26" s="1166"/>
      <c r="EF26" s="1166"/>
      <c r="EG26" s="1166"/>
      <c r="EH26" s="1166"/>
      <c r="EI26" s="1166"/>
      <c r="EJ26" s="1166"/>
      <c r="EK26" s="1166"/>
      <c r="EL26" s="1166"/>
      <c r="EM26" s="1166"/>
      <c r="EN26" s="1166"/>
      <c r="EO26" s="1166"/>
      <c r="EP26" s="1166"/>
      <c r="EQ26" s="1166"/>
      <c r="ER26" s="1166"/>
      <c r="ES26" s="1166"/>
      <c r="ET26" s="1166"/>
      <c r="EU26" s="1166"/>
      <c r="EV26" s="1166"/>
      <c r="EW26" s="1166"/>
      <c r="EX26" s="1166"/>
      <c r="EY26" s="1166"/>
      <c r="EZ26" s="1166"/>
      <c r="FA26" s="1166"/>
      <c r="FB26" s="1166"/>
      <c r="FC26" s="1166"/>
      <c r="FD26" s="1166"/>
      <c r="FE26" s="1166"/>
      <c r="FF26" s="1166"/>
      <c r="FG26" s="1166"/>
      <c r="FH26" s="1166"/>
      <c r="FI26" s="1166"/>
      <c r="FJ26" s="1166"/>
      <c r="FK26" s="1166"/>
      <c r="FL26" s="1166"/>
      <c r="FM26" s="1166"/>
      <c r="FN26" s="1166"/>
      <c r="FO26" s="1166"/>
      <c r="FP26" s="1166"/>
      <c r="FQ26" s="1166"/>
      <c r="FR26" s="1166"/>
      <c r="FS26" s="1166"/>
      <c r="FT26" s="1166"/>
      <c r="FU26" s="1166"/>
      <c r="FV26" s="1166"/>
      <c r="FW26" s="1166"/>
      <c r="FX26" s="1166"/>
      <c r="FY26" s="1166"/>
      <c r="FZ26" s="1166"/>
      <c r="GA26" s="1166"/>
      <c r="GB26" s="1166"/>
      <c r="GC26" s="1166"/>
      <c r="GD26" s="1166"/>
      <c r="GE26" s="1166"/>
      <c r="GF26" s="1166"/>
      <c r="GG26" s="1166"/>
      <c r="GH26" s="1166"/>
      <c r="GI26" s="1166"/>
      <c r="GJ26" s="1166"/>
      <c r="GK26" s="1166"/>
      <c r="GL26" s="1166"/>
      <c r="GM26" s="1166"/>
      <c r="GN26" s="1166"/>
      <c r="GO26" s="1166"/>
      <c r="GP26" s="1166"/>
      <c r="GQ26" s="1166"/>
      <c r="GR26" s="1166"/>
      <c r="GS26" s="1166"/>
      <c r="GT26" s="1166"/>
      <c r="GU26" s="1166"/>
      <c r="GV26" s="1166"/>
      <c r="GW26" s="1166"/>
      <c r="GX26" s="1166"/>
      <c r="GY26" s="1166"/>
      <c r="GZ26" s="1166"/>
      <c r="HA26" s="1166"/>
      <c r="HB26" s="1166"/>
      <c r="HC26" s="1166"/>
      <c r="HD26" s="1166"/>
      <c r="HE26" s="1166"/>
      <c r="HF26" s="1166"/>
      <c r="HG26" s="1166"/>
      <c r="HH26" s="1166"/>
      <c r="HI26" s="1166"/>
      <c r="HJ26" s="1166"/>
      <c r="HK26" s="1166"/>
      <c r="HL26" s="1166"/>
      <c r="HM26" s="1166"/>
      <c r="HN26" s="1166"/>
      <c r="HO26" s="1166"/>
      <c r="HP26" s="1166"/>
      <c r="HQ26" s="1166"/>
      <c r="HR26" s="1166"/>
      <c r="HS26" s="1166"/>
      <c r="HT26" s="1166"/>
      <c r="HU26" s="1166"/>
      <c r="HV26" s="1166"/>
      <c r="HW26" s="1166"/>
      <c r="HX26" s="1166"/>
      <c r="HY26" s="1166"/>
      <c r="HZ26" s="1166"/>
      <c r="IA26" s="1166"/>
      <c r="IB26" s="1166"/>
      <c r="IC26" s="1166"/>
      <c r="ID26" s="1166"/>
      <c r="IE26" s="1166"/>
      <c r="IF26" s="1166"/>
      <c r="IG26" s="1166"/>
      <c r="IH26" s="1166"/>
      <c r="II26" s="1166"/>
      <c r="IJ26" s="1166"/>
      <c r="IK26" s="1166"/>
      <c r="IL26" s="1166"/>
      <c r="IM26" s="1166"/>
      <c r="IN26" s="1166"/>
      <c r="IO26" s="1166"/>
      <c r="IP26" s="1166"/>
      <c r="IQ26" s="1166"/>
      <c r="IR26" s="1166"/>
      <c r="IS26" s="1166"/>
      <c r="IT26" s="1166"/>
      <c r="IU26" s="1166"/>
      <c r="IV26" s="1166"/>
    </row>
    <row r="27" spans="1:256" s="1464" customFormat="1" ht="18" customHeight="1" x14ac:dyDescent="0.35">
      <c r="A27" s="1452">
        <v>18</v>
      </c>
      <c r="B27" s="1465"/>
      <c r="C27" s="1187"/>
      <c r="D27" s="1477" t="s">
        <v>230</v>
      </c>
      <c r="E27" s="1468"/>
      <c r="F27" s="1490"/>
      <c r="G27" s="1478"/>
      <c r="H27" s="1479"/>
      <c r="I27" s="1487"/>
      <c r="J27" s="1488"/>
      <c r="K27" s="1488"/>
      <c r="L27" s="1488"/>
      <c r="M27" s="1488">
        <v>13798</v>
      </c>
      <c r="N27" s="1489"/>
      <c r="O27" s="1480">
        <f>SUM(I27:N27)</f>
        <v>13798</v>
      </c>
      <c r="P27" s="1475"/>
      <c r="Q27" s="1166"/>
      <c r="R27" s="1166"/>
      <c r="S27" s="1166"/>
      <c r="T27" s="1166"/>
      <c r="U27" s="1166"/>
      <c r="V27" s="1166"/>
      <c r="W27" s="1166"/>
      <c r="X27" s="1166"/>
      <c r="Y27" s="1166"/>
      <c r="Z27" s="1166"/>
      <c r="AA27" s="1166"/>
      <c r="AB27" s="1166"/>
      <c r="AC27" s="1166"/>
      <c r="AD27" s="1166"/>
      <c r="AE27" s="1166"/>
      <c r="AF27" s="1166"/>
      <c r="AG27" s="1166"/>
      <c r="AH27" s="1166"/>
      <c r="AI27" s="1166"/>
      <c r="AJ27" s="1166"/>
      <c r="AK27" s="1166"/>
      <c r="AL27" s="1166"/>
      <c r="AM27" s="1166"/>
      <c r="AN27" s="1166"/>
      <c r="AO27" s="1166"/>
      <c r="AP27" s="1166"/>
      <c r="AQ27" s="1166"/>
      <c r="AR27" s="1166"/>
      <c r="AS27" s="1166"/>
      <c r="AT27" s="1166"/>
      <c r="AU27" s="1166"/>
      <c r="AV27" s="1166"/>
      <c r="AW27" s="1166"/>
      <c r="AX27" s="1166"/>
      <c r="AY27" s="1166"/>
      <c r="AZ27" s="1166"/>
      <c r="BA27" s="1166"/>
      <c r="BB27" s="1166"/>
      <c r="BC27" s="1166"/>
      <c r="BD27" s="1166"/>
      <c r="BE27" s="1166"/>
      <c r="BF27" s="1166"/>
      <c r="BG27" s="1166"/>
      <c r="BH27" s="1166"/>
      <c r="BI27" s="1166"/>
      <c r="BJ27" s="1166"/>
      <c r="BK27" s="1166"/>
      <c r="BL27" s="1166"/>
      <c r="BM27" s="1166"/>
      <c r="BN27" s="1166"/>
      <c r="BO27" s="1166"/>
      <c r="BP27" s="1166"/>
      <c r="BQ27" s="1166"/>
      <c r="BR27" s="1166"/>
      <c r="BS27" s="1166"/>
      <c r="BT27" s="1166"/>
      <c r="BU27" s="1166"/>
      <c r="BV27" s="1166"/>
      <c r="BW27" s="1166"/>
      <c r="BX27" s="1166"/>
      <c r="BY27" s="1166"/>
      <c r="BZ27" s="1166"/>
      <c r="CA27" s="1166"/>
      <c r="CB27" s="1166"/>
      <c r="CC27" s="1166"/>
      <c r="CD27" s="1166"/>
      <c r="CE27" s="1166"/>
      <c r="CF27" s="1166"/>
      <c r="CG27" s="1166"/>
      <c r="CH27" s="1166"/>
      <c r="CI27" s="1166"/>
      <c r="CJ27" s="1166"/>
      <c r="CK27" s="1166"/>
      <c r="CL27" s="1166"/>
      <c r="CM27" s="1166"/>
      <c r="CN27" s="1166"/>
      <c r="CO27" s="1166"/>
      <c r="CP27" s="1166"/>
      <c r="CQ27" s="1166"/>
      <c r="CR27" s="1166"/>
      <c r="CS27" s="1166"/>
      <c r="CT27" s="1166"/>
      <c r="CU27" s="1166"/>
      <c r="CV27" s="1166"/>
      <c r="CW27" s="1166"/>
      <c r="CX27" s="1166"/>
      <c r="CY27" s="1166"/>
      <c r="CZ27" s="1166"/>
      <c r="DA27" s="1166"/>
      <c r="DB27" s="1166"/>
      <c r="DC27" s="1166"/>
      <c r="DD27" s="1166"/>
      <c r="DE27" s="1166"/>
      <c r="DF27" s="1166"/>
      <c r="DG27" s="1166"/>
      <c r="DH27" s="1166"/>
      <c r="DI27" s="1166"/>
      <c r="DJ27" s="1166"/>
      <c r="DK27" s="1166"/>
      <c r="DL27" s="1166"/>
      <c r="DM27" s="1166"/>
      <c r="DN27" s="1166"/>
      <c r="DO27" s="1166"/>
      <c r="DP27" s="1166"/>
      <c r="DQ27" s="1166"/>
      <c r="DR27" s="1166"/>
      <c r="DS27" s="1166"/>
      <c r="DT27" s="1166"/>
      <c r="DU27" s="1166"/>
      <c r="DV27" s="1166"/>
      <c r="DW27" s="1166"/>
      <c r="DX27" s="1166"/>
      <c r="DY27" s="1166"/>
      <c r="DZ27" s="1166"/>
      <c r="EA27" s="1166"/>
      <c r="EB27" s="1166"/>
      <c r="EC27" s="1166"/>
      <c r="ED27" s="1166"/>
      <c r="EE27" s="1166"/>
      <c r="EF27" s="1166"/>
      <c r="EG27" s="1166"/>
      <c r="EH27" s="1166"/>
      <c r="EI27" s="1166"/>
      <c r="EJ27" s="1166"/>
      <c r="EK27" s="1166"/>
      <c r="EL27" s="1166"/>
      <c r="EM27" s="1166"/>
      <c r="EN27" s="1166"/>
      <c r="EO27" s="1166"/>
      <c r="EP27" s="1166"/>
      <c r="EQ27" s="1166"/>
      <c r="ER27" s="1166"/>
      <c r="ES27" s="1166"/>
      <c r="ET27" s="1166"/>
      <c r="EU27" s="1166"/>
      <c r="EV27" s="1166"/>
      <c r="EW27" s="1166"/>
      <c r="EX27" s="1166"/>
      <c r="EY27" s="1166"/>
      <c r="EZ27" s="1166"/>
      <c r="FA27" s="1166"/>
      <c r="FB27" s="1166"/>
      <c r="FC27" s="1166"/>
      <c r="FD27" s="1166"/>
      <c r="FE27" s="1166"/>
      <c r="FF27" s="1166"/>
      <c r="FG27" s="1166"/>
      <c r="FH27" s="1166"/>
      <c r="FI27" s="1166"/>
      <c r="FJ27" s="1166"/>
      <c r="FK27" s="1166"/>
      <c r="FL27" s="1166"/>
      <c r="FM27" s="1166"/>
      <c r="FN27" s="1166"/>
      <c r="FO27" s="1166"/>
      <c r="FP27" s="1166"/>
      <c r="FQ27" s="1166"/>
      <c r="FR27" s="1166"/>
      <c r="FS27" s="1166"/>
      <c r="FT27" s="1166"/>
      <c r="FU27" s="1166"/>
      <c r="FV27" s="1166"/>
      <c r="FW27" s="1166"/>
      <c r="FX27" s="1166"/>
      <c r="FY27" s="1166"/>
      <c r="FZ27" s="1166"/>
      <c r="GA27" s="1166"/>
      <c r="GB27" s="1166"/>
      <c r="GC27" s="1166"/>
      <c r="GD27" s="1166"/>
      <c r="GE27" s="1166"/>
      <c r="GF27" s="1166"/>
      <c r="GG27" s="1166"/>
      <c r="GH27" s="1166"/>
      <c r="GI27" s="1166"/>
      <c r="GJ27" s="1166"/>
      <c r="GK27" s="1166"/>
      <c r="GL27" s="1166"/>
      <c r="GM27" s="1166"/>
      <c r="GN27" s="1166"/>
      <c r="GO27" s="1166"/>
      <c r="GP27" s="1166"/>
      <c r="GQ27" s="1166"/>
      <c r="GR27" s="1166"/>
      <c r="GS27" s="1166"/>
      <c r="GT27" s="1166"/>
      <c r="GU27" s="1166"/>
      <c r="GV27" s="1166"/>
      <c r="GW27" s="1166"/>
      <c r="GX27" s="1166"/>
      <c r="GY27" s="1166"/>
      <c r="GZ27" s="1166"/>
      <c r="HA27" s="1166"/>
      <c r="HB27" s="1166"/>
      <c r="HC27" s="1166"/>
      <c r="HD27" s="1166"/>
      <c r="HE27" s="1166"/>
      <c r="HF27" s="1166"/>
      <c r="HG27" s="1166"/>
      <c r="HH27" s="1166"/>
      <c r="HI27" s="1166"/>
      <c r="HJ27" s="1166"/>
      <c r="HK27" s="1166"/>
      <c r="HL27" s="1166"/>
      <c r="HM27" s="1166"/>
      <c r="HN27" s="1166"/>
      <c r="HO27" s="1166"/>
      <c r="HP27" s="1166"/>
      <c r="HQ27" s="1166"/>
      <c r="HR27" s="1166"/>
      <c r="HS27" s="1166"/>
      <c r="HT27" s="1166"/>
      <c r="HU27" s="1166"/>
      <c r="HV27" s="1166"/>
      <c r="HW27" s="1166"/>
      <c r="HX27" s="1166"/>
      <c r="HY27" s="1166"/>
      <c r="HZ27" s="1166"/>
      <c r="IA27" s="1166"/>
      <c r="IB27" s="1166"/>
      <c r="IC27" s="1166"/>
      <c r="ID27" s="1166"/>
      <c r="IE27" s="1166"/>
      <c r="IF27" s="1166"/>
      <c r="IG27" s="1166"/>
      <c r="IH27" s="1166"/>
      <c r="II27" s="1166"/>
      <c r="IJ27" s="1166"/>
      <c r="IK27" s="1166"/>
      <c r="IL27" s="1166"/>
      <c r="IM27" s="1166"/>
      <c r="IN27" s="1166"/>
      <c r="IO27" s="1166"/>
      <c r="IP27" s="1166"/>
      <c r="IQ27" s="1166"/>
      <c r="IR27" s="1166"/>
      <c r="IS27" s="1166"/>
      <c r="IT27" s="1166"/>
      <c r="IU27" s="1166"/>
      <c r="IV27" s="1166"/>
    </row>
    <row r="28" spans="1:256" s="1464" customFormat="1" ht="18" customHeight="1" x14ac:dyDescent="0.35">
      <c r="A28" s="1452">
        <v>19</v>
      </c>
      <c r="B28" s="1465"/>
      <c r="C28" s="1187"/>
      <c r="D28" s="1481" t="s">
        <v>231</v>
      </c>
      <c r="E28" s="1468"/>
      <c r="F28" s="1490"/>
      <c r="G28" s="1478"/>
      <c r="H28" s="1479"/>
      <c r="I28" s="1494"/>
      <c r="J28" s="1491"/>
      <c r="K28" s="1491"/>
      <c r="L28" s="1491"/>
      <c r="M28" s="1491">
        <v>13798</v>
      </c>
      <c r="N28" s="1492"/>
      <c r="O28" s="1222">
        <f>SUM(I28:N28)</f>
        <v>13798</v>
      </c>
      <c r="P28" s="1475"/>
      <c r="Q28" s="1166"/>
      <c r="R28" s="1166"/>
      <c r="S28" s="1166"/>
      <c r="T28" s="1166"/>
      <c r="U28" s="1166"/>
      <c r="V28" s="1166"/>
      <c r="W28" s="1166"/>
      <c r="X28" s="1166"/>
      <c r="Y28" s="1166"/>
      <c r="Z28" s="1166"/>
      <c r="AA28" s="1166"/>
      <c r="AB28" s="1166"/>
      <c r="AC28" s="1166"/>
      <c r="AD28" s="1166"/>
      <c r="AE28" s="1166"/>
      <c r="AF28" s="1166"/>
      <c r="AG28" s="1166"/>
      <c r="AH28" s="1166"/>
      <c r="AI28" s="1166"/>
      <c r="AJ28" s="1166"/>
      <c r="AK28" s="1166"/>
      <c r="AL28" s="1166"/>
      <c r="AM28" s="1166"/>
      <c r="AN28" s="1166"/>
      <c r="AO28" s="1166"/>
      <c r="AP28" s="1166"/>
      <c r="AQ28" s="1166"/>
      <c r="AR28" s="1166"/>
      <c r="AS28" s="1166"/>
      <c r="AT28" s="1166"/>
      <c r="AU28" s="1166"/>
      <c r="AV28" s="1166"/>
      <c r="AW28" s="1166"/>
      <c r="AX28" s="1166"/>
      <c r="AY28" s="1166"/>
      <c r="AZ28" s="1166"/>
      <c r="BA28" s="1166"/>
      <c r="BB28" s="1166"/>
      <c r="BC28" s="1166"/>
      <c r="BD28" s="1166"/>
      <c r="BE28" s="1166"/>
      <c r="BF28" s="1166"/>
      <c r="BG28" s="1166"/>
      <c r="BH28" s="1166"/>
      <c r="BI28" s="1166"/>
      <c r="BJ28" s="1166"/>
      <c r="BK28" s="1166"/>
      <c r="BL28" s="1166"/>
      <c r="BM28" s="1166"/>
      <c r="BN28" s="1166"/>
      <c r="BO28" s="1166"/>
      <c r="BP28" s="1166"/>
      <c r="BQ28" s="1166"/>
      <c r="BR28" s="1166"/>
      <c r="BS28" s="1166"/>
      <c r="BT28" s="1166"/>
      <c r="BU28" s="1166"/>
      <c r="BV28" s="1166"/>
      <c r="BW28" s="1166"/>
      <c r="BX28" s="1166"/>
      <c r="BY28" s="1166"/>
      <c r="BZ28" s="1166"/>
      <c r="CA28" s="1166"/>
      <c r="CB28" s="1166"/>
      <c r="CC28" s="1166"/>
      <c r="CD28" s="1166"/>
      <c r="CE28" s="1166"/>
      <c r="CF28" s="1166"/>
      <c r="CG28" s="1166"/>
      <c r="CH28" s="1166"/>
      <c r="CI28" s="1166"/>
      <c r="CJ28" s="1166"/>
      <c r="CK28" s="1166"/>
      <c r="CL28" s="1166"/>
      <c r="CM28" s="1166"/>
      <c r="CN28" s="1166"/>
      <c r="CO28" s="1166"/>
      <c r="CP28" s="1166"/>
      <c r="CQ28" s="1166"/>
      <c r="CR28" s="1166"/>
      <c r="CS28" s="1166"/>
      <c r="CT28" s="1166"/>
      <c r="CU28" s="1166"/>
      <c r="CV28" s="1166"/>
      <c r="CW28" s="1166"/>
      <c r="CX28" s="1166"/>
      <c r="CY28" s="1166"/>
      <c r="CZ28" s="1166"/>
      <c r="DA28" s="1166"/>
      <c r="DB28" s="1166"/>
      <c r="DC28" s="1166"/>
      <c r="DD28" s="1166"/>
      <c r="DE28" s="1166"/>
      <c r="DF28" s="1166"/>
      <c r="DG28" s="1166"/>
      <c r="DH28" s="1166"/>
      <c r="DI28" s="1166"/>
      <c r="DJ28" s="1166"/>
      <c r="DK28" s="1166"/>
      <c r="DL28" s="1166"/>
      <c r="DM28" s="1166"/>
      <c r="DN28" s="1166"/>
      <c r="DO28" s="1166"/>
      <c r="DP28" s="1166"/>
      <c r="DQ28" s="1166"/>
      <c r="DR28" s="1166"/>
      <c r="DS28" s="1166"/>
      <c r="DT28" s="1166"/>
      <c r="DU28" s="1166"/>
      <c r="DV28" s="1166"/>
      <c r="DW28" s="1166"/>
      <c r="DX28" s="1166"/>
      <c r="DY28" s="1166"/>
      <c r="DZ28" s="1166"/>
      <c r="EA28" s="1166"/>
      <c r="EB28" s="1166"/>
      <c r="EC28" s="1166"/>
      <c r="ED28" s="1166"/>
      <c r="EE28" s="1166"/>
      <c r="EF28" s="1166"/>
      <c r="EG28" s="1166"/>
      <c r="EH28" s="1166"/>
      <c r="EI28" s="1166"/>
      <c r="EJ28" s="1166"/>
      <c r="EK28" s="1166"/>
      <c r="EL28" s="1166"/>
      <c r="EM28" s="1166"/>
      <c r="EN28" s="1166"/>
      <c r="EO28" s="1166"/>
      <c r="EP28" s="1166"/>
      <c r="EQ28" s="1166"/>
      <c r="ER28" s="1166"/>
      <c r="ES28" s="1166"/>
      <c r="ET28" s="1166"/>
      <c r="EU28" s="1166"/>
      <c r="EV28" s="1166"/>
      <c r="EW28" s="1166"/>
      <c r="EX28" s="1166"/>
      <c r="EY28" s="1166"/>
      <c r="EZ28" s="1166"/>
      <c r="FA28" s="1166"/>
      <c r="FB28" s="1166"/>
      <c r="FC28" s="1166"/>
      <c r="FD28" s="1166"/>
      <c r="FE28" s="1166"/>
      <c r="FF28" s="1166"/>
      <c r="FG28" s="1166"/>
      <c r="FH28" s="1166"/>
      <c r="FI28" s="1166"/>
      <c r="FJ28" s="1166"/>
      <c r="FK28" s="1166"/>
      <c r="FL28" s="1166"/>
      <c r="FM28" s="1166"/>
      <c r="FN28" s="1166"/>
      <c r="FO28" s="1166"/>
      <c r="FP28" s="1166"/>
      <c r="FQ28" s="1166"/>
      <c r="FR28" s="1166"/>
      <c r="FS28" s="1166"/>
      <c r="FT28" s="1166"/>
      <c r="FU28" s="1166"/>
      <c r="FV28" s="1166"/>
      <c r="FW28" s="1166"/>
      <c r="FX28" s="1166"/>
      <c r="FY28" s="1166"/>
      <c r="FZ28" s="1166"/>
      <c r="GA28" s="1166"/>
      <c r="GB28" s="1166"/>
      <c r="GC28" s="1166"/>
      <c r="GD28" s="1166"/>
      <c r="GE28" s="1166"/>
      <c r="GF28" s="1166"/>
      <c r="GG28" s="1166"/>
      <c r="GH28" s="1166"/>
      <c r="GI28" s="1166"/>
      <c r="GJ28" s="1166"/>
      <c r="GK28" s="1166"/>
      <c r="GL28" s="1166"/>
      <c r="GM28" s="1166"/>
      <c r="GN28" s="1166"/>
      <c r="GO28" s="1166"/>
      <c r="GP28" s="1166"/>
      <c r="GQ28" s="1166"/>
      <c r="GR28" s="1166"/>
      <c r="GS28" s="1166"/>
      <c r="GT28" s="1166"/>
      <c r="GU28" s="1166"/>
      <c r="GV28" s="1166"/>
      <c r="GW28" s="1166"/>
      <c r="GX28" s="1166"/>
      <c r="GY28" s="1166"/>
      <c r="GZ28" s="1166"/>
      <c r="HA28" s="1166"/>
      <c r="HB28" s="1166"/>
      <c r="HC28" s="1166"/>
      <c r="HD28" s="1166"/>
      <c r="HE28" s="1166"/>
      <c r="HF28" s="1166"/>
      <c r="HG28" s="1166"/>
      <c r="HH28" s="1166"/>
      <c r="HI28" s="1166"/>
      <c r="HJ28" s="1166"/>
      <c r="HK28" s="1166"/>
      <c r="HL28" s="1166"/>
      <c r="HM28" s="1166"/>
      <c r="HN28" s="1166"/>
      <c r="HO28" s="1166"/>
      <c r="HP28" s="1166"/>
      <c r="HQ28" s="1166"/>
      <c r="HR28" s="1166"/>
      <c r="HS28" s="1166"/>
      <c r="HT28" s="1166"/>
      <c r="HU28" s="1166"/>
      <c r="HV28" s="1166"/>
      <c r="HW28" s="1166"/>
      <c r="HX28" s="1166"/>
      <c r="HY28" s="1166"/>
      <c r="HZ28" s="1166"/>
      <c r="IA28" s="1166"/>
      <c r="IB28" s="1166"/>
      <c r="IC28" s="1166"/>
      <c r="ID28" s="1166"/>
      <c r="IE28" s="1166"/>
      <c r="IF28" s="1166"/>
      <c r="IG28" s="1166"/>
      <c r="IH28" s="1166"/>
      <c r="II28" s="1166"/>
      <c r="IJ28" s="1166"/>
      <c r="IK28" s="1166"/>
      <c r="IL28" s="1166"/>
      <c r="IM28" s="1166"/>
      <c r="IN28" s="1166"/>
      <c r="IO28" s="1166"/>
      <c r="IP28" s="1166"/>
      <c r="IQ28" s="1166"/>
      <c r="IR28" s="1166"/>
      <c r="IS28" s="1166"/>
      <c r="IT28" s="1166"/>
      <c r="IU28" s="1166"/>
      <c r="IV28" s="1166"/>
    </row>
    <row r="29" spans="1:256" s="1464" customFormat="1" ht="18" customHeight="1" x14ac:dyDescent="0.35">
      <c r="A29" s="1452">
        <v>20</v>
      </c>
      <c r="B29" s="1465"/>
      <c r="C29" s="1187"/>
      <c r="D29" s="1484" t="s">
        <v>245</v>
      </c>
      <c r="E29" s="1468"/>
      <c r="F29" s="1490"/>
      <c r="G29" s="1478"/>
      <c r="H29" s="1479"/>
      <c r="I29" s="1487"/>
      <c r="J29" s="1488"/>
      <c r="K29" s="1488"/>
      <c r="L29" s="1488"/>
      <c r="M29" s="1488"/>
      <c r="N29" s="1489"/>
      <c r="O29" s="1217">
        <f>SUM(I29:N29)</f>
        <v>0</v>
      </c>
      <c r="P29" s="1475"/>
      <c r="Q29" s="1166"/>
      <c r="R29" s="1166"/>
      <c r="S29" s="1166"/>
      <c r="T29" s="1166"/>
      <c r="U29" s="1166"/>
      <c r="V29" s="1166"/>
      <c r="W29" s="1166"/>
      <c r="X29" s="1166"/>
      <c r="Y29" s="1166"/>
      <c r="Z29" s="1166"/>
      <c r="AA29" s="1166"/>
      <c r="AB29" s="1166"/>
      <c r="AC29" s="1166"/>
      <c r="AD29" s="1166"/>
      <c r="AE29" s="1166"/>
      <c r="AF29" s="1166"/>
      <c r="AG29" s="1166"/>
      <c r="AH29" s="1166"/>
      <c r="AI29" s="1166"/>
      <c r="AJ29" s="1166"/>
      <c r="AK29" s="1166"/>
      <c r="AL29" s="1166"/>
      <c r="AM29" s="1166"/>
      <c r="AN29" s="1166"/>
      <c r="AO29" s="1166"/>
      <c r="AP29" s="1166"/>
      <c r="AQ29" s="1166"/>
      <c r="AR29" s="1166"/>
      <c r="AS29" s="1166"/>
      <c r="AT29" s="1166"/>
      <c r="AU29" s="1166"/>
      <c r="AV29" s="1166"/>
      <c r="AW29" s="1166"/>
      <c r="AX29" s="1166"/>
      <c r="AY29" s="1166"/>
      <c r="AZ29" s="1166"/>
      <c r="BA29" s="1166"/>
      <c r="BB29" s="1166"/>
      <c r="BC29" s="1166"/>
      <c r="BD29" s="1166"/>
      <c r="BE29" s="1166"/>
      <c r="BF29" s="1166"/>
      <c r="BG29" s="1166"/>
      <c r="BH29" s="1166"/>
      <c r="BI29" s="1166"/>
      <c r="BJ29" s="1166"/>
      <c r="BK29" s="1166"/>
      <c r="BL29" s="1166"/>
      <c r="BM29" s="1166"/>
      <c r="BN29" s="1166"/>
      <c r="BO29" s="1166"/>
      <c r="BP29" s="1166"/>
      <c r="BQ29" s="1166"/>
      <c r="BR29" s="1166"/>
      <c r="BS29" s="1166"/>
      <c r="BT29" s="1166"/>
      <c r="BU29" s="1166"/>
      <c r="BV29" s="1166"/>
      <c r="BW29" s="1166"/>
      <c r="BX29" s="1166"/>
      <c r="BY29" s="1166"/>
      <c r="BZ29" s="1166"/>
      <c r="CA29" s="1166"/>
      <c r="CB29" s="1166"/>
      <c r="CC29" s="1166"/>
      <c r="CD29" s="1166"/>
      <c r="CE29" s="1166"/>
      <c r="CF29" s="1166"/>
      <c r="CG29" s="1166"/>
      <c r="CH29" s="1166"/>
      <c r="CI29" s="1166"/>
      <c r="CJ29" s="1166"/>
      <c r="CK29" s="1166"/>
      <c r="CL29" s="1166"/>
      <c r="CM29" s="1166"/>
      <c r="CN29" s="1166"/>
      <c r="CO29" s="1166"/>
      <c r="CP29" s="1166"/>
      <c r="CQ29" s="1166"/>
      <c r="CR29" s="1166"/>
      <c r="CS29" s="1166"/>
      <c r="CT29" s="1166"/>
      <c r="CU29" s="1166"/>
      <c r="CV29" s="1166"/>
      <c r="CW29" s="1166"/>
      <c r="CX29" s="1166"/>
      <c r="CY29" s="1166"/>
      <c r="CZ29" s="1166"/>
      <c r="DA29" s="1166"/>
      <c r="DB29" s="1166"/>
      <c r="DC29" s="1166"/>
      <c r="DD29" s="1166"/>
      <c r="DE29" s="1166"/>
      <c r="DF29" s="1166"/>
      <c r="DG29" s="1166"/>
      <c r="DH29" s="1166"/>
      <c r="DI29" s="1166"/>
      <c r="DJ29" s="1166"/>
      <c r="DK29" s="1166"/>
      <c r="DL29" s="1166"/>
      <c r="DM29" s="1166"/>
      <c r="DN29" s="1166"/>
      <c r="DO29" s="1166"/>
      <c r="DP29" s="1166"/>
      <c r="DQ29" s="1166"/>
      <c r="DR29" s="1166"/>
      <c r="DS29" s="1166"/>
      <c r="DT29" s="1166"/>
      <c r="DU29" s="1166"/>
      <c r="DV29" s="1166"/>
      <c r="DW29" s="1166"/>
      <c r="DX29" s="1166"/>
      <c r="DY29" s="1166"/>
      <c r="DZ29" s="1166"/>
      <c r="EA29" s="1166"/>
      <c r="EB29" s="1166"/>
      <c r="EC29" s="1166"/>
      <c r="ED29" s="1166"/>
      <c r="EE29" s="1166"/>
      <c r="EF29" s="1166"/>
      <c r="EG29" s="1166"/>
      <c r="EH29" s="1166"/>
      <c r="EI29" s="1166"/>
      <c r="EJ29" s="1166"/>
      <c r="EK29" s="1166"/>
      <c r="EL29" s="1166"/>
      <c r="EM29" s="1166"/>
      <c r="EN29" s="1166"/>
      <c r="EO29" s="1166"/>
      <c r="EP29" s="1166"/>
      <c r="EQ29" s="1166"/>
      <c r="ER29" s="1166"/>
      <c r="ES29" s="1166"/>
      <c r="ET29" s="1166"/>
      <c r="EU29" s="1166"/>
      <c r="EV29" s="1166"/>
      <c r="EW29" s="1166"/>
      <c r="EX29" s="1166"/>
      <c r="EY29" s="1166"/>
      <c r="EZ29" s="1166"/>
      <c r="FA29" s="1166"/>
      <c r="FB29" s="1166"/>
      <c r="FC29" s="1166"/>
      <c r="FD29" s="1166"/>
      <c r="FE29" s="1166"/>
      <c r="FF29" s="1166"/>
      <c r="FG29" s="1166"/>
      <c r="FH29" s="1166"/>
      <c r="FI29" s="1166"/>
      <c r="FJ29" s="1166"/>
      <c r="FK29" s="1166"/>
      <c r="FL29" s="1166"/>
      <c r="FM29" s="1166"/>
      <c r="FN29" s="1166"/>
      <c r="FO29" s="1166"/>
      <c r="FP29" s="1166"/>
      <c r="FQ29" s="1166"/>
      <c r="FR29" s="1166"/>
      <c r="FS29" s="1166"/>
      <c r="FT29" s="1166"/>
      <c r="FU29" s="1166"/>
      <c r="FV29" s="1166"/>
      <c r="FW29" s="1166"/>
      <c r="FX29" s="1166"/>
      <c r="FY29" s="1166"/>
      <c r="FZ29" s="1166"/>
      <c r="GA29" s="1166"/>
      <c r="GB29" s="1166"/>
      <c r="GC29" s="1166"/>
      <c r="GD29" s="1166"/>
      <c r="GE29" s="1166"/>
      <c r="GF29" s="1166"/>
      <c r="GG29" s="1166"/>
      <c r="GH29" s="1166"/>
      <c r="GI29" s="1166"/>
      <c r="GJ29" s="1166"/>
      <c r="GK29" s="1166"/>
      <c r="GL29" s="1166"/>
      <c r="GM29" s="1166"/>
      <c r="GN29" s="1166"/>
      <c r="GO29" s="1166"/>
      <c r="GP29" s="1166"/>
      <c r="GQ29" s="1166"/>
      <c r="GR29" s="1166"/>
      <c r="GS29" s="1166"/>
      <c r="GT29" s="1166"/>
      <c r="GU29" s="1166"/>
      <c r="GV29" s="1166"/>
      <c r="GW29" s="1166"/>
      <c r="GX29" s="1166"/>
      <c r="GY29" s="1166"/>
      <c r="GZ29" s="1166"/>
      <c r="HA29" s="1166"/>
      <c r="HB29" s="1166"/>
      <c r="HC29" s="1166"/>
      <c r="HD29" s="1166"/>
      <c r="HE29" s="1166"/>
      <c r="HF29" s="1166"/>
      <c r="HG29" s="1166"/>
      <c r="HH29" s="1166"/>
      <c r="HI29" s="1166"/>
      <c r="HJ29" s="1166"/>
      <c r="HK29" s="1166"/>
      <c r="HL29" s="1166"/>
      <c r="HM29" s="1166"/>
      <c r="HN29" s="1166"/>
      <c r="HO29" s="1166"/>
      <c r="HP29" s="1166"/>
      <c r="HQ29" s="1166"/>
      <c r="HR29" s="1166"/>
      <c r="HS29" s="1166"/>
      <c r="HT29" s="1166"/>
      <c r="HU29" s="1166"/>
      <c r="HV29" s="1166"/>
      <c r="HW29" s="1166"/>
      <c r="HX29" s="1166"/>
      <c r="HY29" s="1166"/>
      <c r="HZ29" s="1166"/>
      <c r="IA29" s="1166"/>
      <c r="IB29" s="1166"/>
      <c r="IC29" s="1166"/>
      <c r="ID29" s="1166"/>
      <c r="IE29" s="1166"/>
      <c r="IF29" s="1166"/>
      <c r="IG29" s="1166"/>
      <c r="IH29" s="1166"/>
      <c r="II29" s="1166"/>
      <c r="IJ29" s="1166"/>
      <c r="IK29" s="1166"/>
      <c r="IL29" s="1166"/>
      <c r="IM29" s="1166"/>
      <c r="IN29" s="1166"/>
      <c r="IO29" s="1166"/>
      <c r="IP29" s="1166"/>
      <c r="IQ29" s="1166"/>
      <c r="IR29" s="1166"/>
      <c r="IS29" s="1166"/>
      <c r="IT29" s="1166"/>
      <c r="IU29" s="1166"/>
      <c r="IV29" s="1166"/>
    </row>
    <row r="30" spans="1:256" s="1464" customFormat="1" ht="18" customHeight="1" x14ac:dyDescent="0.35">
      <c r="A30" s="1452">
        <v>21</v>
      </c>
      <c r="B30" s="1465"/>
      <c r="C30" s="1187"/>
      <c r="D30" s="1481" t="s">
        <v>233</v>
      </c>
      <c r="E30" s="1468"/>
      <c r="F30" s="1490"/>
      <c r="G30" s="1478"/>
      <c r="H30" s="1479"/>
      <c r="I30" s="1487"/>
      <c r="J30" s="1488"/>
      <c r="K30" s="1488"/>
      <c r="L30" s="1488"/>
      <c r="M30" s="1491">
        <f>SUM(M28:M29)</f>
        <v>13798</v>
      </c>
      <c r="N30" s="1489"/>
      <c r="O30" s="1222">
        <f>SUM(I30:N30)</f>
        <v>13798</v>
      </c>
      <c r="P30" s="1475"/>
      <c r="Q30" s="1166"/>
      <c r="R30" s="1166"/>
      <c r="S30" s="1166"/>
      <c r="T30" s="1166"/>
      <c r="U30" s="1166"/>
      <c r="V30" s="1166"/>
      <c r="W30" s="1166"/>
      <c r="X30" s="1166"/>
      <c r="Y30" s="1166"/>
      <c r="Z30" s="1166"/>
      <c r="AA30" s="1166"/>
      <c r="AB30" s="1166"/>
      <c r="AC30" s="1166"/>
      <c r="AD30" s="1166"/>
      <c r="AE30" s="1166"/>
      <c r="AF30" s="1166"/>
      <c r="AG30" s="1166"/>
      <c r="AH30" s="1166"/>
      <c r="AI30" s="1166"/>
      <c r="AJ30" s="1166"/>
      <c r="AK30" s="1166"/>
      <c r="AL30" s="1166"/>
      <c r="AM30" s="1166"/>
      <c r="AN30" s="1166"/>
      <c r="AO30" s="1166"/>
      <c r="AP30" s="1166"/>
      <c r="AQ30" s="1166"/>
      <c r="AR30" s="1166"/>
      <c r="AS30" s="1166"/>
      <c r="AT30" s="1166"/>
      <c r="AU30" s="1166"/>
      <c r="AV30" s="1166"/>
      <c r="AW30" s="1166"/>
      <c r="AX30" s="1166"/>
      <c r="AY30" s="1166"/>
      <c r="AZ30" s="1166"/>
      <c r="BA30" s="1166"/>
      <c r="BB30" s="1166"/>
      <c r="BC30" s="1166"/>
      <c r="BD30" s="1166"/>
      <c r="BE30" s="1166"/>
      <c r="BF30" s="1166"/>
      <c r="BG30" s="1166"/>
      <c r="BH30" s="1166"/>
      <c r="BI30" s="1166"/>
      <c r="BJ30" s="1166"/>
      <c r="BK30" s="1166"/>
      <c r="BL30" s="1166"/>
      <c r="BM30" s="1166"/>
      <c r="BN30" s="1166"/>
      <c r="BO30" s="1166"/>
      <c r="BP30" s="1166"/>
      <c r="BQ30" s="1166"/>
      <c r="BR30" s="1166"/>
      <c r="BS30" s="1166"/>
      <c r="BT30" s="1166"/>
      <c r="BU30" s="1166"/>
      <c r="BV30" s="1166"/>
      <c r="BW30" s="1166"/>
      <c r="BX30" s="1166"/>
      <c r="BY30" s="1166"/>
      <c r="BZ30" s="1166"/>
      <c r="CA30" s="1166"/>
      <c r="CB30" s="1166"/>
      <c r="CC30" s="1166"/>
      <c r="CD30" s="1166"/>
      <c r="CE30" s="1166"/>
      <c r="CF30" s="1166"/>
      <c r="CG30" s="1166"/>
      <c r="CH30" s="1166"/>
      <c r="CI30" s="1166"/>
      <c r="CJ30" s="1166"/>
      <c r="CK30" s="1166"/>
      <c r="CL30" s="1166"/>
      <c r="CM30" s="1166"/>
      <c r="CN30" s="1166"/>
      <c r="CO30" s="1166"/>
      <c r="CP30" s="1166"/>
      <c r="CQ30" s="1166"/>
      <c r="CR30" s="1166"/>
      <c r="CS30" s="1166"/>
      <c r="CT30" s="1166"/>
      <c r="CU30" s="1166"/>
      <c r="CV30" s="1166"/>
      <c r="CW30" s="1166"/>
      <c r="CX30" s="1166"/>
      <c r="CY30" s="1166"/>
      <c r="CZ30" s="1166"/>
      <c r="DA30" s="1166"/>
      <c r="DB30" s="1166"/>
      <c r="DC30" s="1166"/>
      <c r="DD30" s="1166"/>
      <c r="DE30" s="1166"/>
      <c r="DF30" s="1166"/>
      <c r="DG30" s="1166"/>
      <c r="DH30" s="1166"/>
      <c r="DI30" s="1166"/>
      <c r="DJ30" s="1166"/>
      <c r="DK30" s="1166"/>
      <c r="DL30" s="1166"/>
      <c r="DM30" s="1166"/>
      <c r="DN30" s="1166"/>
      <c r="DO30" s="1166"/>
      <c r="DP30" s="1166"/>
      <c r="DQ30" s="1166"/>
      <c r="DR30" s="1166"/>
      <c r="DS30" s="1166"/>
      <c r="DT30" s="1166"/>
      <c r="DU30" s="1166"/>
      <c r="DV30" s="1166"/>
      <c r="DW30" s="1166"/>
      <c r="DX30" s="1166"/>
      <c r="DY30" s="1166"/>
      <c r="DZ30" s="1166"/>
      <c r="EA30" s="1166"/>
      <c r="EB30" s="1166"/>
      <c r="EC30" s="1166"/>
      <c r="ED30" s="1166"/>
      <c r="EE30" s="1166"/>
      <c r="EF30" s="1166"/>
      <c r="EG30" s="1166"/>
      <c r="EH30" s="1166"/>
      <c r="EI30" s="1166"/>
      <c r="EJ30" s="1166"/>
      <c r="EK30" s="1166"/>
      <c r="EL30" s="1166"/>
      <c r="EM30" s="1166"/>
      <c r="EN30" s="1166"/>
      <c r="EO30" s="1166"/>
      <c r="EP30" s="1166"/>
      <c r="EQ30" s="1166"/>
      <c r="ER30" s="1166"/>
      <c r="ES30" s="1166"/>
      <c r="ET30" s="1166"/>
      <c r="EU30" s="1166"/>
      <c r="EV30" s="1166"/>
      <c r="EW30" s="1166"/>
      <c r="EX30" s="1166"/>
      <c r="EY30" s="1166"/>
      <c r="EZ30" s="1166"/>
      <c r="FA30" s="1166"/>
      <c r="FB30" s="1166"/>
      <c r="FC30" s="1166"/>
      <c r="FD30" s="1166"/>
      <c r="FE30" s="1166"/>
      <c r="FF30" s="1166"/>
      <c r="FG30" s="1166"/>
      <c r="FH30" s="1166"/>
      <c r="FI30" s="1166"/>
      <c r="FJ30" s="1166"/>
      <c r="FK30" s="1166"/>
      <c r="FL30" s="1166"/>
      <c r="FM30" s="1166"/>
      <c r="FN30" s="1166"/>
      <c r="FO30" s="1166"/>
      <c r="FP30" s="1166"/>
      <c r="FQ30" s="1166"/>
      <c r="FR30" s="1166"/>
      <c r="FS30" s="1166"/>
      <c r="FT30" s="1166"/>
      <c r="FU30" s="1166"/>
      <c r="FV30" s="1166"/>
      <c r="FW30" s="1166"/>
      <c r="FX30" s="1166"/>
      <c r="FY30" s="1166"/>
      <c r="FZ30" s="1166"/>
      <c r="GA30" s="1166"/>
      <c r="GB30" s="1166"/>
      <c r="GC30" s="1166"/>
      <c r="GD30" s="1166"/>
      <c r="GE30" s="1166"/>
      <c r="GF30" s="1166"/>
      <c r="GG30" s="1166"/>
      <c r="GH30" s="1166"/>
      <c r="GI30" s="1166"/>
      <c r="GJ30" s="1166"/>
      <c r="GK30" s="1166"/>
      <c r="GL30" s="1166"/>
      <c r="GM30" s="1166"/>
      <c r="GN30" s="1166"/>
      <c r="GO30" s="1166"/>
      <c r="GP30" s="1166"/>
      <c r="GQ30" s="1166"/>
      <c r="GR30" s="1166"/>
      <c r="GS30" s="1166"/>
      <c r="GT30" s="1166"/>
      <c r="GU30" s="1166"/>
      <c r="GV30" s="1166"/>
      <c r="GW30" s="1166"/>
      <c r="GX30" s="1166"/>
      <c r="GY30" s="1166"/>
      <c r="GZ30" s="1166"/>
      <c r="HA30" s="1166"/>
      <c r="HB30" s="1166"/>
      <c r="HC30" s="1166"/>
      <c r="HD30" s="1166"/>
      <c r="HE30" s="1166"/>
      <c r="HF30" s="1166"/>
      <c r="HG30" s="1166"/>
      <c r="HH30" s="1166"/>
      <c r="HI30" s="1166"/>
      <c r="HJ30" s="1166"/>
      <c r="HK30" s="1166"/>
      <c r="HL30" s="1166"/>
      <c r="HM30" s="1166"/>
      <c r="HN30" s="1166"/>
      <c r="HO30" s="1166"/>
      <c r="HP30" s="1166"/>
      <c r="HQ30" s="1166"/>
      <c r="HR30" s="1166"/>
      <c r="HS30" s="1166"/>
      <c r="HT30" s="1166"/>
      <c r="HU30" s="1166"/>
      <c r="HV30" s="1166"/>
      <c r="HW30" s="1166"/>
      <c r="HX30" s="1166"/>
      <c r="HY30" s="1166"/>
      <c r="HZ30" s="1166"/>
      <c r="IA30" s="1166"/>
      <c r="IB30" s="1166"/>
      <c r="IC30" s="1166"/>
      <c r="ID30" s="1166"/>
      <c r="IE30" s="1166"/>
      <c r="IF30" s="1166"/>
      <c r="IG30" s="1166"/>
      <c r="IH30" s="1166"/>
      <c r="II30" s="1166"/>
      <c r="IJ30" s="1166"/>
      <c r="IK30" s="1166"/>
      <c r="IL30" s="1166"/>
      <c r="IM30" s="1166"/>
      <c r="IN30" s="1166"/>
      <c r="IO30" s="1166"/>
      <c r="IP30" s="1166"/>
      <c r="IQ30" s="1166"/>
      <c r="IR30" s="1166"/>
      <c r="IS30" s="1166"/>
      <c r="IT30" s="1166"/>
      <c r="IU30" s="1166"/>
      <c r="IV30" s="1166"/>
    </row>
    <row r="31" spans="1:256" ht="33" x14ac:dyDescent="0.35">
      <c r="A31" s="1452">
        <v>22</v>
      </c>
      <c r="B31" s="1476"/>
      <c r="C31" s="1187">
        <v>7</v>
      </c>
      <c r="D31" s="1485" t="s">
        <v>974</v>
      </c>
      <c r="E31" s="1467">
        <f>F31+G31+O35+P32</f>
        <v>2702387</v>
      </c>
      <c r="F31" s="1486">
        <f>28000+26441+46228+12816+60536</f>
        <v>174021</v>
      </c>
      <c r="G31" s="1469">
        <v>2512461</v>
      </c>
      <c r="H31" s="1479" t="s">
        <v>296</v>
      </c>
      <c r="I31" s="1487"/>
      <c r="J31" s="1488"/>
      <c r="K31" s="1488"/>
      <c r="L31" s="1488"/>
      <c r="M31" s="1488"/>
      <c r="N31" s="1489"/>
      <c r="O31" s="1480"/>
      <c r="P31" s="1475"/>
    </row>
    <row r="32" spans="1:256" s="1464" customFormat="1" ht="18" customHeight="1" x14ac:dyDescent="0.35">
      <c r="A32" s="1452">
        <v>23</v>
      </c>
      <c r="B32" s="1465"/>
      <c r="C32" s="1187"/>
      <c r="D32" s="1477" t="s">
        <v>230</v>
      </c>
      <c r="E32" s="1468"/>
      <c r="F32" s="1490"/>
      <c r="G32" s="1478"/>
      <c r="H32" s="1479"/>
      <c r="I32" s="1487"/>
      <c r="J32" s="1488"/>
      <c r="K32" s="1488"/>
      <c r="L32" s="1488"/>
      <c r="M32" s="1488"/>
      <c r="N32" s="1488">
        <v>18100</v>
      </c>
      <c r="O32" s="1480">
        <f>SUM(I32:N32)</f>
        <v>18100</v>
      </c>
      <c r="P32" s="1475"/>
      <c r="Q32" s="1166"/>
      <c r="R32" s="1166"/>
      <c r="S32" s="1166"/>
      <c r="T32" s="1166"/>
      <c r="U32" s="1166"/>
      <c r="V32" s="1166"/>
      <c r="W32" s="1166"/>
      <c r="X32" s="1166"/>
      <c r="Y32" s="1166"/>
      <c r="Z32" s="1166"/>
      <c r="AA32" s="1166"/>
      <c r="AB32" s="1166"/>
      <c r="AC32" s="1166"/>
      <c r="AD32" s="1166"/>
      <c r="AE32" s="1166"/>
      <c r="AF32" s="1166"/>
      <c r="AG32" s="1166"/>
      <c r="AH32" s="1166"/>
      <c r="AI32" s="1166"/>
      <c r="AJ32" s="1166"/>
      <c r="AK32" s="1166"/>
      <c r="AL32" s="1166"/>
      <c r="AM32" s="1166"/>
      <c r="AN32" s="1166"/>
      <c r="AO32" s="1166"/>
      <c r="AP32" s="1166"/>
      <c r="AQ32" s="1166"/>
      <c r="AR32" s="1166"/>
      <c r="AS32" s="1166"/>
      <c r="AT32" s="1166"/>
      <c r="AU32" s="1166"/>
      <c r="AV32" s="1166"/>
      <c r="AW32" s="1166"/>
      <c r="AX32" s="1166"/>
      <c r="AY32" s="1166"/>
      <c r="AZ32" s="1166"/>
      <c r="BA32" s="1166"/>
      <c r="BB32" s="1166"/>
      <c r="BC32" s="1166"/>
      <c r="BD32" s="1166"/>
      <c r="BE32" s="1166"/>
      <c r="BF32" s="1166"/>
      <c r="BG32" s="1166"/>
      <c r="BH32" s="1166"/>
      <c r="BI32" s="1166"/>
      <c r="BJ32" s="1166"/>
      <c r="BK32" s="1166"/>
      <c r="BL32" s="1166"/>
      <c r="BM32" s="1166"/>
      <c r="BN32" s="1166"/>
      <c r="BO32" s="1166"/>
      <c r="BP32" s="1166"/>
      <c r="BQ32" s="1166"/>
      <c r="BR32" s="1166"/>
      <c r="BS32" s="1166"/>
      <c r="BT32" s="1166"/>
      <c r="BU32" s="1166"/>
      <c r="BV32" s="1166"/>
      <c r="BW32" s="1166"/>
      <c r="BX32" s="1166"/>
      <c r="BY32" s="1166"/>
      <c r="BZ32" s="1166"/>
      <c r="CA32" s="1166"/>
      <c r="CB32" s="1166"/>
      <c r="CC32" s="1166"/>
      <c r="CD32" s="1166"/>
      <c r="CE32" s="1166"/>
      <c r="CF32" s="1166"/>
      <c r="CG32" s="1166"/>
      <c r="CH32" s="1166"/>
      <c r="CI32" s="1166"/>
      <c r="CJ32" s="1166"/>
      <c r="CK32" s="1166"/>
      <c r="CL32" s="1166"/>
      <c r="CM32" s="1166"/>
      <c r="CN32" s="1166"/>
      <c r="CO32" s="1166"/>
      <c r="CP32" s="1166"/>
      <c r="CQ32" s="1166"/>
      <c r="CR32" s="1166"/>
      <c r="CS32" s="1166"/>
      <c r="CT32" s="1166"/>
      <c r="CU32" s="1166"/>
      <c r="CV32" s="1166"/>
      <c r="CW32" s="1166"/>
      <c r="CX32" s="1166"/>
      <c r="CY32" s="1166"/>
      <c r="CZ32" s="1166"/>
      <c r="DA32" s="1166"/>
      <c r="DB32" s="1166"/>
      <c r="DC32" s="1166"/>
      <c r="DD32" s="1166"/>
      <c r="DE32" s="1166"/>
      <c r="DF32" s="1166"/>
      <c r="DG32" s="1166"/>
      <c r="DH32" s="1166"/>
      <c r="DI32" s="1166"/>
      <c r="DJ32" s="1166"/>
      <c r="DK32" s="1166"/>
      <c r="DL32" s="1166"/>
      <c r="DM32" s="1166"/>
      <c r="DN32" s="1166"/>
      <c r="DO32" s="1166"/>
      <c r="DP32" s="1166"/>
      <c r="DQ32" s="1166"/>
      <c r="DR32" s="1166"/>
      <c r="DS32" s="1166"/>
      <c r="DT32" s="1166"/>
      <c r="DU32" s="1166"/>
      <c r="DV32" s="1166"/>
      <c r="DW32" s="1166"/>
      <c r="DX32" s="1166"/>
      <c r="DY32" s="1166"/>
      <c r="DZ32" s="1166"/>
      <c r="EA32" s="1166"/>
      <c r="EB32" s="1166"/>
      <c r="EC32" s="1166"/>
      <c r="ED32" s="1166"/>
      <c r="EE32" s="1166"/>
      <c r="EF32" s="1166"/>
      <c r="EG32" s="1166"/>
      <c r="EH32" s="1166"/>
      <c r="EI32" s="1166"/>
      <c r="EJ32" s="1166"/>
      <c r="EK32" s="1166"/>
      <c r="EL32" s="1166"/>
      <c r="EM32" s="1166"/>
      <c r="EN32" s="1166"/>
      <c r="EO32" s="1166"/>
      <c r="EP32" s="1166"/>
      <c r="EQ32" s="1166"/>
      <c r="ER32" s="1166"/>
      <c r="ES32" s="1166"/>
      <c r="ET32" s="1166"/>
      <c r="EU32" s="1166"/>
      <c r="EV32" s="1166"/>
      <c r="EW32" s="1166"/>
      <c r="EX32" s="1166"/>
      <c r="EY32" s="1166"/>
      <c r="EZ32" s="1166"/>
      <c r="FA32" s="1166"/>
      <c r="FB32" s="1166"/>
      <c r="FC32" s="1166"/>
      <c r="FD32" s="1166"/>
      <c r="FE32" s="1166"/>
      <c r="FF32" s="1166"/>
      <c r="FG32" s="1166"/>
      <c r="FH32" s="1166"/>
      <c r="FI32" s="1166"/>
      <c r="FJ32" s="1166"/>
      <c r="FK32" s="1166"/>
      <c r="FL32" s="1166"/>
      <c r="FM32" s="1166"/>
      <c r="FN32" s="1166"/>
      <c r="FO32" s="1166"/>
      <c r="FP32" s="1166"/>
      <c r="FQ32" s="1166"/>
      <c r="FR32" s="1166"/>
      <c r="FS32" s="1166"/>
      <c r="FT32" s="1166"/>
      <c r="FU32" s="1166"/>
      <c r="FV32" s="1166"/>
      <c r="FW32" s="1166"/>
      <c r="FX32" s="1166"/>
      <c r="FY32" s="1166"/>
      <c r="FZ32" s="1166"/>
      <c r="GA32" s="1166"/>
      <c r="GB32" s="1166"/>
      <c r="GC32" s="1166"/>
      <c r="GD32" s="1166"/>
      <c r="GE32" s="1166"/>
      <c r="GF32" s="1166"/>
      <c r="GG32" s="1166"/>
      <c r="GH32" s="1166"/>
      <c r="GI32" s="1166"/>
      <c r="GJ32" s="1166"/>
      <c r="GK32" s="1166"/>
      <c r="GL32" s="1166"/>
      <c r="GM32" s="1166"/>
      <c r="GN32" s="1166"/>
      <c r="GO32" s="1166"/>
      <c r="GP32" s="1166"/>
      <c r="GQ32" s="1166"/>
      <c r="GR32" s="1166"/>
      <c r="GS32" s="1166"/>
      <c r="GT32" s="1166"/>
      <c r="GU32" s="1166"/>
      <c r="GV32" s="1166"/>
      <c r="GW32" s="1166"/>
      <c r="GX32" s="1166"/>
      <c r="GY32" s="1166"/>
      <c r="GZ32" s="1166"/>
      <c r="HA32" s="1166"/>
      <c r="HB32" s="1166"/>
      <c r="HC32" s="1166"/>
      <c r="HD32" s="1166"/>
      <c r="HE32" s="1166"/>
      <c r="HF32" s="1166"/>
      <c r="HG32" s="1166"/>
      <c r="HH32" s="1166"/>
      <c r="HI32" s="1166"/>
      <c r="HJ32" s="1166"/>
      <c r="HK32" s="1166"/>
      <c r="HL32" s="1166"/>
      <c r="HM32" s="1166"/>
      <c r="HN32" s="1166"/>
      <c r="HO32" s="1166"/>
      <c r="HP32" s="1166"/>
      <c r="HQ32" s="1166"/>
      <c r="HR32" s="1166"/>
      <c r="HS32" s="1166"/>
      <c r="HT32" s="1166"/>
      <c r="HU32" s="1166"/>
      <c r="HV32" s="1166"/>
      <c r="HW32" s="1166"/>
      <c r="HX32" s="1166"/>
      <c r="HY32" s="1166"/>
      <c r="HZ32" s="1166"/>
      <c r="IA32" s="1166"/>
      <c r="IB32" s="1166"/>
      <c r="IC32" s="1166"/>
      <c r="ID32" s="1166"/>
      <c r="IE32" s="1166"/>
      <c r="IF32" s="1166"/>
      <c r="IG32" s="1166"/>
      <c r="IH32" s="1166"/>
      <c r="II32" s="1166"/>
      <c r="IJ32" s="1166"/>
      <c r="IK32" s="1166"/>
      <c r="IL32" s="1166"/>
      <c r="IM32" s="1166"/>
      <c r="IN32" s="1166"/>
      <c r="IO32" s="1166"/>
      <c r="IP32" s="1166"/>
      <c r="IQ32" s="1166"/>
      <c r="IR32" s="1166"/>
      <c r="IS32" s="1166"/>
      <c r="IT32" s="1166"/>
      <c r="IU32" s="1166"/>
      <c r="IV32" s="1166"/>
    </row>
    <row r="33" spans="1:256" s="1464" customFormat="1" ht="18" customHeight="1" x14ac:dyDescent="0.35">
      <c r="A33" s="1452">
        <v>24</v>
      </c>
      <c r="B33" s="1465"/>
      <c r="C33" s="1187"/>
      <c r="D33" s="1481" t="s">
        <v>231</v>
      </c>
      <c r="E33" s="1468"/>
      <c r="F33" s="1490"/>
      <c r="G33" s="1478"/>
      <c r="H33" s="1479"/>
      <c r="I33" s="1494"/>
      <c r="J33" s="1491"/>
      <c r="K33" s="1491"/>
      <c r="L33" s="1491"/>
      <c r="M33" s="1491"/>
      <c r="N33" s="1491">
        <v>15905</v>
      </c>
      <c r="O33" s="1222">
        <f>SUM(I33:N33)</f>
        <v>15905</v>
      </c>
      <c r="P33" s="1475"/>
      <c r="Q33" s="1166"/>
      <c r="R33" s="1166"/>
      <c r="S33" s="1166"/>
      <c r="T33" s="1166"/>
      <c r="U33" s="1166"/>
      <c r="V33" s="1166"/>
      <c r="W33" s="1166"/>
      <c r="X33" s="1166"/>
      <c r="Y33" s="1166"/>
      <c r="Z33" s="1166"/>
      <c r="AA33" s="1166"/>
      <c r="AB33" s="1166"/>
      <c r="AC33" s="1166"/>
      <c r="AD33" s="1166"/>
      <c r="AE33" s="1166"/>
      <c r="AF33" s="1166"/>
      <c r="AG33" s="1166"/>
      <c r="AH33" s="1166"/>
      <c r="AI33" s="1166"/>
      <c r="AJ33" s="1166"/>
      <c r="AK33" s="1166"/>
      <c r="AL33" s="1166"/>
      <c r="AM33" s="1166"/>
      <c r="AN33" s="1166"/>
      <c r="AO33" s="1166"/>
      <c r="AP33" s="1166"/>
      <c r="AQ33" s="1166"/>
      <c r="AR33" s="1166"/>
      <c r="AS33" s="1166"/>
      <c r="AT33" s="1166"/>
      <c r="AU33" s="1166"/>
      <c r="AV33" s="1166"/>
      <c r="AW33" s="1166"/>
      <c r="AX33" s="1166"/>
      <c r="AY33" s="1166"/>
      <c r="AZ33" s="1166"/>
      <c r="BA33" s="1166"/>
      <c r="BB33" s="1166"/>
      <c r="BC33" s="1166"/>
      <c r="BD33" s="1166"/>
      <c r="BE33" s="1166"/>
      <c r="BF33" s="1166"/>
      <c r="BG33" s="1166"/>
      <c r="BH33" s="1166"/>
      <c r="BI33" s="1166"/>
      <c r="BJ33" s="1166"/>
      <c r="BK33" s="1166"/>
      <c r="BL33" s="1166"/>
      <c r="BM33" s="1166"/>
      <c r="BN33" s="1166"/>
      <c r="BO33" s="1166"/>
      <c r="BP33" s="1166"/>
      <c r="BQ33" s="1166"/>
      <c r="BR33" s="1166"/>
      <c r="BS33" s="1166"/>
      <c r="BT33" s="1166"/>
      <c r="BU33" s="1166"/>
      <c r="BV33" s="1166"/>
      <c r="BW33" s="1166"/>
      <c r="BX33" s="1166"/>
      <c r="BY33" s="1166"/>
      <c r="BZ33" s="1166"/>
      <c r="CA33" s="1166"/>
      <c r="CB33" s="1166"/>
      <c r="CC33" s="1166"/>
      <c r="CD33" s="1166"/>
      <c r="CE33" s="1166"/>
      <c r="CF33" s="1166"/>
      <c r="CG33" s="1166"/>
      <c r="CH33" s="1166"/>
      <c r="CI33" s="1166"/>
      <c r="CJ33" s="1166"/>
      <c r="CK33" s="1166"/>
      <c r="CL33" s="1166"/>
      <c r="CM33" s="1166"/>
      <c r="CN33" s="1166"/>
      <c r="CO33" s="1166"/>
      <c r="CP33" s="1166"/>
      <c r="CQ33" s="1166"/>
      <c r="CR33" s="1166"/>
      <c r="CS33" s="1166"/>
      <c r="CT33" s="1166"/>
      <c r="CU33" s="1166"/>
      <c r="CV33" s="1166"/>
      <c r="CW33" s="1166"/>
      <c r="CX33" s="1166"/>
      <c r="CY33" s="1166"/>
      <c r="CZ33" s="1166"/>
      <c r="DA33" s="1166"/>
      <c r="DB33" s="1166"/>
      <c r="DC33" s="1166"/>
      <c r="DD33" s="1166"/>
      <c r="DE33" s="1166"/>
      <c r="DF33" s="1166"/>
      <c r="DG33" s="1166"/>
      <c r="DH33" s="1166"/>
      <c r="DI33" s="1166"/>
      <c r="DJ33" s="1166"/>
      <c r="DK33" s="1166"/>
      <c r="DL33" s="1166"/>
      <c r="DM33" s="1166"/>
      <c r="DN33" s="1166"/>
      <c r="DO33" s="1166"/>
      <c r="DP33" s="1166"/>
      <c r="DQ33" s="1166"/>
      <c r="DR33" s="1166"/>
      <c r="DS33" s="1166"/>
      <c r="DT33" s="1166"/>
      <c r="DU33" s="1166"/>
      <c r="DV33" s="1166"/>
      <c r="DW33" s="1166"/>
      <c r="DX33" s="1166"/>
      <c r="DY33" s="1166"/>
      <c r="DZ33" s="1166"/>
      <c r="EA33" s="1166"/>
      <c r="EB33" s="1166"/>
      <c r="EC33" s="1166"/>
      <c r="ED33" s="1166"/>
      <c r="EE33" s="1166"/>
      <c r="EF33" s="1166"/>
      <c r="EG33" s="1166"/>
      <c r="EH33" s="1166"/>
      <c r="EI33" s="1166"/>
      <c r="EJ33" s="1166"/>
      <c r="EK33" s="1166"/>
      <c r="EL33" s="1166"/>
      <c r="EM33" s="1166"/>
      <c r="EN33" s="1166"/>
      <c r="EO33" s="1166"/>
      <c r="EP33" s="1166"/>
      <c r="EQ33" s="1166"/>
      <c r="ER33" s="1166"/>
      <c r="ES33" s="1166"/>
      <c r="ET33" s="1166"/>
      <c r="EU33" s="1166"/>
      <c r="EV33" s="1166"/>
      <c r="EW33" s="1166"/>
      <c r="EX33" s="1166"/>
      <c r="EY33" s="1166"/>
      <c r="EZ33" s="1166"/>
      <c r="FA33" s="1166"/>
      <c r="FB33" s="1166"/>
      <c r="FC33" s="1166"/>
      <c r="FD33" s="1166"/>
      <c r="FE33" s="1166"/>
      <c r="FF33" s="1166"/>
      <c r="FG33" s="1166"/>
      <c r="FH33" s="1166"/>
      <c r="FI33" s="1166"/>
      <c r="FJ33" s="1166"/>
      <c r="FK33" s="1166"/>
      <c r="FL33" s="1166"/>
      <c r="FM33" s="1166"/>
      <c r="FN33" s="1166"/>
      <c r="FO33" s="1166"/>
      <c r="FP33" s="1166"/>
      <c r="FQ33" s="1166"/>
      <c r="FR33" s="1166"/>
      <c r="FS33" s="1166"/>
      <c r="FT33" s="1166"/>
      <c r="FU33" s="1166"/>
      <c r="FV33" s="1166"/>
      <c r="FW33" s="1166"/>
      <c r="FX33" s="1166"/>
      <c r="FY33" s="1166"/>
      <c r="FZ33" s="1166"/>
      <c r="GA33" s="1166"/>
      <c r="GB33" s="1166"/>
      <c r="GC33" s="1166"/>
      <c r="GD33" s="1166"/>
      <c r="GE33" s="1166"/>
      <c r="GF33" s="1166"/>
      <c r="GG33" s="1166"/>
      <c r="GH33" s="1166"/>
      <c r="GI33" s="1166"/>
      <c r="GJ33" s="1166"/>
      <c r="GK33" s="1166"/>
      <c r="GL33" s="1166"/>
      <c r="GM33" s="1166"/>
      <c r="GN33" s="1166"/>
      <c r="GO33" s="1166"/>
      <c r="GP33" s="1166"/>
      <c r="GQ33" s="1166"/>
      <c r="GR33" s="1166"/>
      <c r="GS33" s="1166"/>
      <c r="GT33" s="1166"/>
      <c r="GU33" s="1166"/>
      <c r="GV33" s="1166"/>
      <c r="GW33" s="1166"/>
      <c r="GX33" s="1166"/>
      <c r="GY33" s="1166"/>
      <c r="GZ33" s="1166"/>
      <c r="HA33" s="1166"/>
      <c r="HB33" s="1166"/>
      <c r="HC33" s="1166"/>
      <c r="HD33" s="1166"/>
      <c r="HE33" s="1166"/>
      <c r="HF33" s="1166"/>
      <c r="HG33" s="1166"/>
      <c r="HH33" s="1166"/>
      <c r="HI33" s="1166"/>
      <c r="HJ33" s="1166"/>
      <c r="HK33" s="1166"/>
      <c r="HL33" s="1166"/>
      <c r="HM33" s="1166"/>
      <c r="HN33" s="1166"/>
      <c r="HO33" s="1166"/>
      <c r="HP33" s="1166"/>
      <c r="HQ33" s="1166"/>
      <c r="HR33" s="1166"/>
      <c r="HS33" s="1166"/>
      <c r="HT33" s="1166"/>
      <c r="HU33" s="1166"/>
      <c r="HV33" s="1166"/>
      <c r="HW33" s="1166"/>
      <c r="HX33" s="1166"/>
      <c r="HY33" s="1166"/>
      <c r="HZ33" s="1166"/>
      <c r="IA33" s="1166"/>
      <c r="IB33" s="1166"/>
      <c r="IC33" s="1166"/>
      <c r="ID33" s="1166"/>
      <c r="IE33" s="1166"/>
      <c r="IF33" s="1166"/>
      <c r="IG33" s="1166"/>
      <c r="IH33" s="1166"/>
      <c r="II33" s="1166"/>
      <c r="IJ33" s="1166"/>
      <c r="IK33" s="1166"/>
      <c r="IL33" s="1166"/>
      <c r="IM33" s="1166"/>
      <c r="IN33" s="1166"/>
      <c r="IO33" s="1166"/>
      <c r="IP33" s="1166"/>
      <c r="IQ33" s="1166"/>
      <c r="IR33" s="1166"/>
      <c r="IS33" s="1166"/>
      <c r="IT33" s="1166"/>
      <c r="IU33" s="1166"/>
      <c r="IV33" s="1166"/>
    </row>
    <row r="34" spans="1:256" s="1464" customFormat="1" ht="18" customHeight="1" x14ac:dyDescent="0.35">
      <c r="A34" s="1452">
        <v>25</v>
      </c>
      <c r="B34" s="1465"/>
      <c r="C34" s="1187"/>
      <c r="D34" s="1484" t="s">
        <v>232</v>
      </c>
      <c r="E34" s="1468"/>
      <c r="F34" s="1490"/>
      <c r="G34" s="1478"/>
      <c r="H34" s="1479"/>
      <c r="I34" s="1487"/>
      <c r="J34" s="1488"/>
      <c r="K34" s="1488"/>
      <c r="L34" s="1488"/>
      <c r="M34" s="1488"/>
      <c r="N34" s="1493"/>
      <c r="O34" s="1217">
        <f>SUM(I34:N34)</f>
        <v>0</v>
      </c>
      <c r="P34" s="1475"/>
      <c r="Q34" s="1166"/>
      <c r="R34" s="1166"/>
      <c r="S34" s="1166"/>
      <c r="T34" s="1166"/>
      <c r="U34" s="1166"/>
      <c r="V34" s="1166"/>
      <c r="W34" s="1166"/>
      <c r="X34" s="1166"/>
      <c r="Y34" s="1166"/>
      <c r="Z34" s="1166"/>
      <c r="AA34" s="1166"/>
      <c r="AB34" s="1166"/>
      <c r="AC34" s="1166"/>
      <c r="AD34" s="1166"/>
      <c r="AE34" s="1166"/>
      <c r="AF34" s="1166"/>
      <c r="AG34" s="1166"/>
      <c r="AH34" s="1166"/>
      <c r="AI34" s="1166"/>
      <c r="AJ34" s="1166"/>
      <c r="AK34" s="1166"/>
      <c r="AL34" s="1166"/>
      <c r="AM34" s="1166"/>
      <c r="AN34" s="1166"/>
      <c r="AO34" s="1166"/>
      <c r="AP34" s="1166"/>
      <c r="AQ34" s="1166"/>
      <c r="AR34" s="1166"/>
      <c r="AS34" s="1166"/>
      <c r="AT34" s="1166"/>
      <c r="AU34" s="1166"/>
      <c r="AV34" s="1166"/>
      <c r="AW34" s="1166"/>
      <c r="AX34" s="1166"/>
      <c r="AY34" s="1166"/>
      <c r="AZ34" s="1166"/>
      <c r="BA34" s="1166"/>
      <c r="BB34" s="1166"/>
      <c r="BC34" s="1166"/>
      <c r="BD34" s="1166"/>
      <c r="BE34" s="1166"/>
      <c r="BF34" s="1166"/>
      <c r="BG34" s="1166"/>
      <c r="BH34" s="1166"/>
      <c r="BI34" s="1166"/>
      <c r="BJ34" s="1166"/>
      <c r="BK34" s="1166"/>
      <c r="BL34" s="1166"/>
      <c r="BM34" s="1166"/>
      <c r="BN34" s="1166"/>
      <c r="BO34" s="1166"/>
      <c r="BP34" s="1166"/>
      <c r="BQ34" s="1166"/>
      <c r="BR34" s="1166"/>
      <c r="BS34" s="1166"/>
      <c r="BT34" s="1166"/>
      <c r="BU34" s="1166"/>
      <c r="BV34" s="1166"/>
      <c r="BW34" s="1166"/>
      <c r="BX34" s="1166"/>
      <c r="BY34" s="1166"/>
      <c r="BZ34" s="1166"/>
      <c r="CA34" s="1166"/>
      <c r="CB34" s="1166"/>
      <c r="CC34" s="1166"/>
      <c r="CD34" s="1166"/>
      <c r="CE34" s="1166"/>
      <c r="CF34" s="1166"/>
      <c r="CG34" s="1166"/>
      <c r="CH34" s="1166"/>
      <c r="CI34" s="1166"/>
      <c r="CJ34" s="1166"/>
      <c r="CK34" s="1166"/>
      <c r="CL34" s="1166"/>
      <c r="CM34" s="1166"/>
      <c r="CN34" s="1166"/>
      <c r="CO34" s="1166"/>
      <c r="CP34" s="1166"/>
      <c r="CQ34" s="1166"/>
      <c r="CR34" s="1166"/>
      <c r="CS34" s="1166"/>
      <c r="CT34" s="1166"/>
      <c r="CU34" s="1166"/>
      <c r="CV34" s="1166"/>
      <c r="CW34" s="1166"/>
      <c r="CX34" s="1166"/>
      <c r="CY34" s="1166"/>
      <c r="CZ34" s="1166"/>
      <c r="DA34" s="1166"/>
      <c r="DB34" s="1166"/>
      <c r="DC34" s="1166"/>
      <c r="DD34" s="1166"/>
      <c r="DE34" s="1166"/>
      <c r="DF34" s="1166"/>
      <c r="DG34" s="1166"/>
      <c r="DH34" s="1166"/>
      <c r="DI34" s="1166"/>
      <c r="DJ34" s="1166"/>
      <c r="DK34" s="1166"/>
      <c r="DL34" s="1166"/>
      <c r="DM34" s="1166"/>
      <c r="DN34" s="1166"/>
      <c r="DO34" s="1166"/>
      <c r="DP34" s="1166"/>
      <c r="DQ34" s="1166"/>
      <c r="DR34" s="1166"/>
      <c r="DS34" s="1166"/>
      <c r="DT34" s="1166"/>
      <c r="DU34" s="1166"/>
      <c r="DV34" s="1166"/>
      <c r="DW34" s="1166"/>
      <c r="DX34" s="1166"/>
      <c r="DY34" s="1166"/>
      <c r="DZ34" s="1166"/>
      <c r="EA34" s="1166"/>
      <c r="EB34" s="1166"/>
      <c r="EC34" s="1166"/>
      <c r="ED34" s="1166"/>
      <c r="EE34" s="1166"/>
      <c r="EF34" s="1166"/>
      <c r="EG34" s="1166"/>
      <c r="EH34" s="1166"/>
      <c r="EI34" s="1166"/>
      <c r="EJ34" s="1166"/>
      <c r="EK34" s="1166"/>
      <c r="EL34" s="1166"/>
      <c r="EM34" s="1166"/>
      <c r="EN34" s="1166"/>
      <c r="EO34" s="1166"/>
      <c r="EP34" s="1166"/>
      <c r="EQ34" s="1166"/>
      <c r="ER34" s="1166"/>
      <c r="ES34" s="1166"/>
      <c r="ET34" s="1166"/>
      <c r="EU34" s="1166"/>
      <c r="EV34" s="1166"/>
      <c r="EW34" s="1166"/>
      <c r="EX34" s="1166"/>
      <c r="EY34" s="1166"/>
      <c r="EZ34" s="1166"/>
      <c r="FA34" s="1166"/>
      <c r="FB34" s="1166"/>
      <c r="FC34" s="1166"/>
      <c r="FD34" s="1166"/>
      <c r="FE34" s="1166"/>
      <c r="FF34" s="1166"/>
      <c r="FG34" s="1166"/>
      <c r="FH34" s="1166"/>
      <c r="FI34" s="1166"/>
      <c r="FJ34" s="1166"/>
      <c r="FK34" s="1166"/>
      <c r="FL34" s="1166"/>
      <c r="FM34" s="1166"/>
      <c r="FN34" s="1166"/>
      <c r="FO34" s="1166"/>
      <c r="FP34" s="1166"/>
      <c r="FQ34" s="1166"/>
      <c r="FR34" s="1166"/>
      <c r="FS34" s="1166"/>
      <c r="FT34" s="1166"/>
      <c r="FU34" s="1166"/>
      <c r="FV34" s="1166"/>
      <c r="FW34" s="1166"/>
      <c r="FX34" s="1166"/>
      <c r="FY34" s="1166"/>
      <c r="FZ34" s="1166"/>
      <c r="GA34" s="1166"/>
      <c r="GB34" s="1166"/>
      <c r="GC34" s="1166"/>
      <c r="GD34" s="1166"/>
      <c r="GE34" s="1166"/>
      <c r="GF34" s="1166"/>
      <c r="GG34" s="1166"/>
      <c r="GH34" s="1166"/>
      <c r="GI34" s="1166"/>
      <c r="GJ34" s="1166"/>
      <c r="GK34" s="1166"/>
      <c r="GL34" s="1166"/>
      <c r="GM34" s="1166"/>
      <c r="GN34" s="1166"/>
      <c r="GO34" s="1166"/>
      <c r="GP34" s="1166"/>
      <c r="GQ34" s="1166"/>
      <c r="GR34" s="1166"/>
      <c r="GS34" s="1166"/>
      <c r="GT34" s="1166"/>
      <c r="GU34" s="1166"/>
      <c r="GV34" s="1166"/>
      <c r="GW34" s="1166"/>
      <c r="GX34" s="1166"/>
      <c r="GY34" s="1166"/>
      <c r="GZ34" s="1166"/>
      <c r="HA34" s="1166"/>
      <c r="HB34" s="1166"/>
      <c r="HC34" s="1166"/>
      <c r="HD34" s="1166"/>
      <c r="HE34" s="1166"/>
      <c r="HF34" s="1166"/>
      <c r="HG34" s="1166"/>
      <c r="HH34" s="1166"/>
      <c r="HI34" s="1166"/>
      <c r="HJ34" s="1166"/>
      <c r="HK34" s="1166"/>
      <c r="HL34" s="1166"/>
      <c r="HM34" s="1166"/>
      <c r="HN34" s="1166"/>
      <c r="HO34" s="1166"/>
      <c r="HP34" s="1166"/>
      <c r="HQ34" s="1166"/>
      <c r="HR34" s="1166"/>
      <c r="HS34" s="1166"/>
      <c r="HT34" s="1166"/>
      <c r="HU34" s="1166"/>
      <c r="HV34" s="1166"/>
      <c r="HW34" s="1166"/>
      <c r="HX34" s="1166"/>
      <c r="HY34" s="1166"/>
      <c r="HZ34" s="1166"/>
      <c r="IA34" s="1166"/>
      <c r="IB34" s="1166"/>
      <c r="IC34" s="1166"/>
      <c r="ID34" s="1166"/>
      <c r="IE34" s="1166"/>
      <c r="IF34" s="1166"/>
      <c r="IG34" s="1166"/>
      <c r="IH34" s="1166"/>
      <c r="II34" s="1166"/>
      <c r="IJ34" s="1166"/>
      <c r="IK34" s="1166"/>
      <c r="IL34" s="1166"/>
      <c r="IM34" s="1166"/>
      <c r="IN34" s="1166"/>
      <c r="IO34" s="1166"/>
      <c r="IP34" s="1166"/>
      <c r="IQ34" s="1166"/>
      <c r="IR34" s="1166"/>
      <c r="IS34" s="1166"/>
      <c r="IT34" s="1166"/>
      <c r="IU34" s="1166"/>
      <c r="IV34" s="1166"/>
    </row>
    <row r="35" spans="1:256" s="1464" customFormat="1" ht="18" customHeight="1" x14ac:dyDescent="0.35">
      <c r="A35" s="1452">
        <v>26</v>
      </c>
      <c r="B35" s="1465"/>
      <c r="C35" s="1187"/>
      <c r="D35" s="1481" t="s">
        <v>233</v>
      </c>
      <c r="E35" s="1468"/>
      <c r="F35" s="1490"/>
      <c r="G35" s="1478"/>
      <c r="H35" s="1479"/>
      <c r="I35" s="1487"/>
      <c r="J35" s="1488"/>
      <c r="K35" s="1488"/>
      <c r="L35" s="1488"/>
      <c r="M35" s="1488"/>
      <c r="N35" s="1491">
        <f>SUM(N33:N34)</f>
        <v>15905</v>
      </c>
      <c r="O35" s="1222">
        <f>SUM(I35:N35)</f>
        <v>15905</v>
      </c>
      <c r="P35" s="1475"/>
      <c r="Q35" s="1166"/>
      <c r="R35" s="1166"/>
      <c r="S35" s="1166"/>
      <c r="T35" s="1166"/>
      <c r="U35" s="1166"/>
      <c r="V35" s="1166"/>
      <c r="W35" s="1166"/>
      <c r="X35" s="1166"/>
      <c r="Y35" s="1166"/>
      <c r="Z35" s="1166"/>
      <c r="AA35" s="1166"/>
      <c r="AB35" s="1166"/>
      <c r="AC35" s="1166"/>
      <c r="AD35" s="1166"/>
      <c r="AE35" s="1166"/>
      <c r="AF35" s="1166"/>
      <c r="AG35" s="1166"/>
      <c r="AH35" s="1166"/>
      <c r="AI35" s="1166"/>
      <c r="AJ35" s="1166"/>
      <c r="AK35" s="1166"/>
      <c r="AL35" s="1166"/>
      <c r="AM35" s="1166"/>
      <c r="AN35" s="1166"/>
      <c r="AO35" s="1166"/>
      <c r="AP35" s="1166"/>
      <c r="AQ35" s="1166"/>
      <c r="AR35" s="1166"/>
      <c r="AS35" s="1166"/>
      <c r="AT35" s="1166"/>
      <c r="AU35" s="1166"/>
      <c r="AV35" s="1166"/>
      <c r="AW35" s="1166"/>
      <c r="AX35" s="1166"/>
      <c r="AY35" s="1166"/>
      <c r="AZ35" s="1166"/>
      <c r="BA35" s="1166"/>
      <c r="BB35" s="1166"/>
      <c r="BC35" s="1166"/>
      <c r="BD35" s="1166"/>
      <c r="BE35" s="1166"/>
      <c r="BF35" s="1166"/>
      <c r="BG35" s="1166"/>
      <c r="BH35" s="1166"/>
      <c r="BI35" s="1166"/>
      <c r="BJ35" s="1166"/>
      <c r="BK35" s="1166"/>
      <c r="BL35" s="1166"/>
      <c r="BM35" s="1166"/>
      <c r="BN35" s="1166"/>
      <c r="BO35" s="1166"/>
      <c r="BP35" s="1166"/>
      <c r="BQ35" s="1166"/>
      <c r="BR35" s="1166"/>
      <c r="BS35" s="1166"/>
      <c r="BT35" s="1166"/>
      <c r="BU35" s="1166"/>
      <c r="BV35" s="1166"/>
      <c r="BW35" s="1166"/>
      <c r="BX35" s="1166"/>
      <c r="BY35" s="1166"/>
      <c r="BZ35" s="1166"/>
      <c r="CA35" s="1166"/>
      <c r="CB35" s="1166"/>
      <c r="CC35" s="1166"/>
      <c r="CD35" s="1166"/>
      <c r="CE35" s="1166"/>
      <c r="CF35" s="1166"/>
      <c r="CG35" s="1166"/>
      <c r="CH35" s="1166"/>
      <c r="CI35" s="1166"/>
      <c r="CJ35" s="1166"/>
      <c r="CK35" s="1166"/>
      <c r="CL35" s="1166"/>
      <c r="CM35" s="1166"/>
      <c r="CN35" s="1166"/>
      <c r="CO35" s="1166"/>
      <c r="CP35" s="1166"/>
      <c r="CQ35" s="1166"/>
      <c r="CR35" s="1166"/>
      <c r="CS35" s="1166"/>
      <c r="CT35" s="1166"/>
      <c r="CU35" s="1166"/>
      <c r="CV35" s="1166"/>
      <c r="CW35" s="1166"/>
      <c r="CX35" s="1166"/>
      <c r="CY35" s="1166"/>
      <c r="CZ35" s="1166"/>
      <c r="DA35" s="1166"/>
      <c r="DB35" s="1166"/>
      <c r="DC35" s="1166"/>
      <c r="DD35" s="1166"/>
      <c r="DE35" s="1166"/>
      <c r="DF35" s="1166"/>
      <c r="DG35" s="1166"/>
      <c r="DH35" s="1166"/>
      <c r="DI35" s="1166"/>
      <c r="DJ35" s="1166"/>
      <c r="DK35" s="1166"/>
      <c r="DL35" s="1166"/>
      <c r="DM35" s="1166"/>
      <c r="DN35" s="1166"/>
      <c r="DO35" s="1166"/>
      <c r="DP35" s="1166"/>
      <c r="DQ35" s="1166"/>
      <c r="DR35" s="1166"/>
      <c r="DS35" s="1166"/>
      <c r="DT35" s="1166"/>
      <c r="DU35" s="1166"/>
      <c r="DV35" s="1166"/>
      <c r="DW35" s="1166"/>
      <c r="DX35" s="1166"/>
      <c r="DY35" s="1166"/>
      <c r="DZ35" s="1166"/>
      <c r="EA35" s="1166"/>
      <c r="EB35" s="1166"/>
      <c r="EC35" s="1166"/>
      <c r="ED35" s="1166"/>
      <c r="EE35" s="1166"/>
      <c r="EF35" s="1166"/>
      <c r="EG35" s="1166"/>
      <c r="EH35" s="1166"/>
      <c r="EI35" s="1166"/>
      <c r="EJ35" s="1166"/>
      <c r="EK35" s="1166"/>
      <c r="EL35" s="1166"/>
      <c r="EM35" s="1166"/>
      <c r="EN35" s="1166"/>
      <c r="EO35" s="1166"/>
      <c r="EP35" s="1166"/>
      <c r="EQ35" s="1166"/>
      <c r="ER35" s="1166"/>
      <c r="ES35" s="1166"/>
      <c r="ET35" s="1166"/>
      <c r="EU35" s="1166"/>
      <c r="EV35" s="1166"/>
      <c r="EW35" s="1166"/>
      <c r="EX35" s="1166"/>
      <c r="EY35" s="1166"/>
      <c r="EZ35" s="1166"/>
      <c r="FA35" s="1166"/>
      <c r="FB35" s="1166"/>
      <c r="FC35" s="1166"/>
      <c r="FD35" s="1166"/>
      <c r="FE35" s="1166"/>
      <c r="FF35" s="1166"/>
      <c r="FG35" s="1166"/>
      <c r="FH35" s="1166"/>
      <c r="FI35" s="1166"/>
      <c r="FJ35" s="1166"/>
      <c r="FK35" s="1166"/>
      <c r="FL35" s="1166"/>
      <c r="FM35" s="1166"/>
      <c r="FN35" s="1166"/>
      <c r="FO35" s="1166"/>
      <c r="FP35" s="1166"/>
      <c r="FQ35" s="1166"/>
      <c r="FR35" s="1166"/>
      <c r="FS35" s="1166"/>
      <c r="FT35" s="1166"/>
      <c r="FU35" s="1166"/>
      <c r="FV35" s="1166"/>
      <c r="FW35" s="1166"/>
      <c r="FX35" s="1166"/>
      <c r="FY35" s="1166"/>
      <c r="FZ35" s="1166"/>
      <c r="GA35" s="1166"/>
      <c r="GB35" s="1166"/>
      <c r="GC35" s="1166"/>
      <c r="GD35" s="1166"/>
      <c r="GE35" s="1166"/>
      <c r="GF35" s="1166"/>
      <c r="GG35" s="1166"/>
      <c r="GH35" s="1166"/>
      <c r="GI35" s="1166"/>
      <c r="GJ35" s="1166"/>
      <c r="GK35" s="1166"/>
      <c r="GL35" s="1166"/>
      <c r="GM35" s="1166"/>
      <c r="GN35" s="1166"/>
      <c r="GO35" s="1166"/>
      <c r="GP35" s="1166"/>
      <c r="GQ35" s="1166"/>
      <c r="GR35" s="1166"/>
      <c r="GS35" s="1166"/>
      <c r="GT35" s="1166"/>
      <c r="GU35" s="1166"/>
      <c r="GV35" s="1166"/>
      <c r="GW35" s="1166"/>
      <c r="GX35" s="1166"/>
      <c r="GY35" s="1166"/>
      <c r="GZ35" s="1166"/>
      <c r="HA35" s="1166"/>
      <c r="HB35" s="1166"/>
      <c r="HC35" s="1166"/>
      <c r="HD35" s="1166"/>
      <c r="HE35" s="1166"/>
      <c r="HF35" s="1166"/>
      <c r="HG35" s="1166"/>
      <c r="HH35" s="1166"/>
      <c r="HI35" s="1166"/>
      <c r="HJ35" s="1166"/>
      <c r="HK35" s="1166"/>
      <c r="HL35" s="1166"/>
      <c r="HM35" s="1166"/>
      <c r="HN35" s="1166"/>
      <c r="HO35" s="1166"/>
      <c r="HP35" s="1166"/>
      <c r="HQ35" s="1166"/>
      <c r="HR35" s="1166"/>
      <c r="HS35" s="1166"/>
      <c r="HT35" s="1166"/>
      <c r="HU35" s="1166"/>
      <c r="HV35" s="1166"/>
      <c r="HW35" s="1166"/>
      <c r="HX35" s="1166"/>
      <c r="HY35" s="1166"/>
      <c r="HZ35" s="1166"/>
      <c r="IA35" s="1166"/>
      <c r="IB35" s="1166"/>
      <c r="IC35" s="1166"/>
      <c r="ID35" s="1166"/>
      <c r="IE35" s="1166"/>
      <c r="IF35" s="1166"/>
      <c r="IG35" s="1166"/>
      <c r="IH35" s="1166"/>
      <c r="II35" s="1166"/>
      <c r="IJ35" s="1166"/>
      <c r="IK35" s="1166"/>
      <c r="IL35" s="1166"/>
      <c r="IM35" s="1166"/>
      <c r="IN35" s="1166"/>
      <c r="IO35" s="1166"/>
      <c r="IP35" s="1166"/>
      <c r="IQ35" s="1166"/>
      <c r="IR35" s="1166"/>
      <c r="IS35" s="1166"/>
      <c r="IT35" s="1166"/>
      <c r="IU35" s="1166"/>
      <c r="IV35" s="1166"/>
    </row>
    <row r="36" spans="1:256" ht="36" customHeight="1" x14ac:dyDescent="0.35">
      <c r="A36" s="1452">
        <v>27</v>
      </c>
      <c r="B36" s="1476"/>
      <c r="C36" s="1187">
        <v>10</v>
      </c>
      <c r="D36" s="1485" t="s">
        <v>975</v>
      </c>
      <c r="E36" s="1467">
        <f>F36+G36+O40+P37</f>
        <v>50405</v>
      </c>
      <c r="F36" s="1486">
        <f>1176+23808+8922+11615</f>
        <v>45521</v>
      </c>
      <c r="G36" s="1469">
        <v>3272</v>
      </c>
      <c r="H36" s="1479" t="s">
        <v>296</v>
      </c>
      <c r="I36" s="1487"/>
      <c r="J36" s="1488"/>
      <c r="K36" s="1488"/>
      <c r="L36" s="1488"/>
      <c r="M36" s="1488"/>
      <c r="N36" s="1489"/>
      <c r="O36" s="1480"/>
      <c r="P36" s="1475"/>
    </row>
    <row r="37" spans="1:256" s="1464" customFormat="1" ht="18" customHeight="1" x14ac:dyDescent="0.35">
      <c r="A37" s="1452">
        <v>28</v>
      </c>
      <c r="B37" s="1465"/>
      <c r="C37" s="1187"/>
      <c r="D37" s="1477" t="s">
        <v>230</v>
      </c>
      <c r="E37" s="1468"/>
      <c r="F37" s="1490"/>
      <c r="G37" s="1478"/>
      <c r="H37" s="1479"/>
      <c r="I37" s="1487"/>
      <c r="J37" s="1488"/>
      <c r="K37" s="1488"/>
      <c r="L37" s="1488">
        <v>1612</v>
      </c>
      <c r="M37" s="1488"/>
      <c r="N37" s="1489"/>
      <c r="O37" s="1480">
        <f>SUM(I37:N37)</f>
        <v>1612</v>
      </c>
      <c r="P37" s="1475"/>
      <c r="Q37" s="1166"/>
      <c r="R37" s="1166"/>
      <c r="S37" s="1166"/>
      <c r="T37" s="1166"/>
      <c r="U37" s="1166"/>
      <c r="V37" s="1166"/>
      <c r="W37" s="1166"/>
      <c r="X37" s="1166"/>
      <c r="Y37" s="1166"/>
      <c r="Z37" s="1166"/>
      <c r="AA37" s="1166"/>
      <c r="AB37" s="1166"/>
      <c r="AC37" s="1166"/>
      <c r="AD37" s="1166"/>
      <c r="AE37" s="1166"/>
      <c r="AF37" s="1166"/>
      <c r="AG37" s="1166"/>
      <c r="AH37" s="1166"/>
      <c r="AI37" s="1166"/>
      <c r="AJ37" s="1166"/>
      <c r="AK37" s="1166"/>
      <c r="AL37" s="1166"/>
      <c r="AM37" s="1166"/>
      <c r="AN37" s="1166"/>
      <c r="AO37" s="1166"/>
      <c r="AP37" s="1166"/>
      <c r="AQ37" s="1166"/>
      <c r="AR37" s="1166"/>
      <c r="AS37" s="1166"/>
      <c r="AT37" s="1166"/>
      <c r="AU37" s="1166"/>
      <c r="AV37" s="1166"/>
      <c r="AW37" s="1166"/>
      <c r="AX37" s="1166"/>
      <c r="AY37" s="1166"/>
      <c r="AZ37" s="1166"/>
      <c r="BA37" s="1166"/>
      <c r="BB37" s="1166"/>
      <c r="BC37" s="1166"/>
      <c r="BD37" s="1166"/>
      <c r="BE37" s="1166"/>
      <c r="BF37" s="1166"/>
      <c r="BG37" s="1166"/>
      <c r="BH37" s="1166"/>
      <c r="BI37" s="1166"/>
      <c r="BJ37" s="1166"/>
      <c r="BK37" s="1166"/>
      <c r="BL37" s="1166"/>
      <c r="BM37" s="1166"/>
      <c r="BN37" s="1166"/>
      <c r="BO37" s="1166"/>
      <c r="BP37" s="1166"/>
      <c r="BQ37" s="1166"/>
      <c r="BR37" s="1166"/>
      <c r="BS37" s="1166"/>
      <c r="BT37" s="1166"/>
      <c r="BU37" s="1166"/>
      <c r="BV37" s="1166"/>
      <c r="BW37" s="1166"/>
      <c r="BX37" s="1166"/>
      <c r="BY37" s="1166"/>
      <c r="BZ37" s="1166"/>
      <c r="CA37" s="1166"/>
      <c r="CB37" s="1166"/>
      <c r="CC37" s="1166"/>
      <c r="CD37" s="1166"/>
      <c r="CE37" s="1166"/>
      <c r="CF37" s="1166"/>
      <c r="CG37" s="1166"/>
      <c r="CH37" s="1166"/>
      <c r="CI37" s="1166"/>
      <c r="CJ37" s="1166"/>
      <c r="CK37" s="1166"/>
      <c r="CL37" s="1166"/>
      <c r="CM37" s="1166"/>
      <c r="CN37" s="1166"/>
      <c r="CO37" s="1166"/>
      <c r="CP37" s="1166"/>
      <c r="CQ37" s="1166"/>
      <c r="CR37" s="1166"/>
      <c r="CS37" s="1166"/>
      <c r="CT37" s="1166"/>
      <c r="CU37" s="1166"/>
      <c r="CV37" s="1166"/>
      <c r="CW37" s="1166"/>
      <c r="CX37" s="1166"/>
      <c r="CY37" s="1166"/>
      <c r="CZ37" s="1166"/>
      <c r="DA37" s="1166"/>
      <c r="DB37" s="1166"/>
      <c r="DC37" s="1166"/>
      <c r="DD37" s="1166"/>
      <c r="DE37" s="1166"/>
      <c r="DF37" s="1166"/>
      <c r="DG37" s="1166"/>
      <c r="DH37" s="1166"/>
      <c r="DI37" s="1166"/>
      <c r="DJ37" s="1166"/>
      <c r="DK37" s="1166"/>
      <c r="DL37" s="1166"/>
      <c r="DM37" s="1166"/>
      <c r="DN37" s="1166"/>
      <c r="DO37" s="1166"/>
      <c r="DP37" s="1166"/>
      <c r="DQ37" s="1166"/>
      <c r="DR37" s="1166"/>
      <c r="DS37" s="1166"/>
      <c r="DT37" s="1166"/>
      <c r="DU37" s="1166"/>
      <c r="DV37" s="1166"/>
      <c r="DW37" s="1166"/>
      <c r="DX37" s="1166"/>
      <c r="DY37" s="1166"/>
      <c r="DZ37" s="1166"/>
      <c r="EA37" s="1166"/>
      <c r="EB37" s="1166"/>
      <c r="EC37" s="1166"/>
      <c r="ED37" s="1166"/>
      <c r="EE37" s="1166"/>
      <c r="EF37" s="1166"/>
      <c r="EG37" s="1166"/>
      <c r="EH37" s="1166"/>
      <c r="EI37" s="1166"/>
      <c r="EJ37" s="1166"/>
      <c r="EK37" s="1166"/>
      <c r="EL37" s="1166"/>
      <c r="EM37" s="1166"/>
      <c r="EN37" s="1166"/>
      <c r="EO37" s="1166"/>
      <c r="EP37" s="1166"/>
      <c r="EQ37" s="1166"/>
      <c r="ER37" s="1166"/>
      <c r="ES37" s="1166"/>
      <c r="ET37" s="1166"/>
      <c r="EU37" s="1166"/>
      <c r="EV37" s="1166"/>
      <c r="EW37" s="1166"/>
      <c r="EX37" s="1166"/>
      <c r="EY37" s="1166"/>
      <c r="EZ37" s="1166"/>
      <c r="FA37" s="1166"/>
      <c r="FB37" s="1166"/>
      <c r="FC37" s="1166"/>
      <c r="FD37" s="1166"/>
      <c r="FE37" s="1166"/>
      <c r="FF37" s="1166"/>
      <c r="FG37" s="1166"/>
      <c r="FH37" s="1166"/>
      <c r="FI37" s="1166"/>
      <c r="FJ37" s="1166"/>
      <c r="FK37" s="1166"/>
      <c r="FL37" s="1166"/>
      <c r="FM37" s="1166"/>
      <c r="FN37" s="1166"/>
      <c r="FO37" s="1166"/>
      <c r="FP37" s="1166"/>
      <c r="FQ37" s="1166"/>
      <c r="FR37" s="1166"/>
      <c r="FS37" s="1166"/>
      <c r="FT37" s="1166"/>
      <c r="FU37" s="1166"/>
      <c r="FV37" s="1166"/>
      <c r="FW37" s="1166"/>
      <c r="FX37" s="1166"/>
      <c r="FY37" s="1166"/>
      <c r="FZ37" s="1166"/>
      <c r="GA37" s="1166"/>
      <c r="GB37" s="1166"/>
      <c r="GC37" s="1166"/>
      <c r="GD37" s="1166"/>
      <c r="GE37" s="1166"/>
      <c r="GF37" s="1166"/>
      <c r="GG37" s="1166"/>
      <c r="GH37" s="1166"/>
      <c r="GI37" s="1166"/>
      <c r="GJ37" s="1166"/>
      <c r="GK37" s="1166"/>
      <c r="GL37" s="1166"/>
      <c r="GM37" s="1166"/>
      <c r="GN37" s="1166"/>
      <c r="GO37" s="1166"/>
      <c r="GP37" s="1166"/>
      <c r="GQ37" s="1166"/>
      <c r="GR37" s="1166"/>
      <c r="GS37" s="1166"/>
      <c r="GT37" s="1166"/>
      <c r="GU37" s="1166"/>
      <c r="GV37" s="1166"/>
      <c r="GW37" s="1166"/>
      <c r="GX37" s="1166"/>
      <c r="GY37" s="1166"/>
      <c r="GZ37" s="1166"/>
      <c r="HA37" s="1166"/>
      <c r="HB37" s="1166"/>
      <c r="HC37" s="1166"/>
      <c r="HD37" s="1166"/>
      <c r="HE37" s="1166"/>
      <c r="HF37" s="1166"/>
      <c r="HG37" s="1166"/>
      <c r="HH37" s="1166"/>
      <c r="HI37" s="1166"/>
      <c r="HJ37" s="1166"/>
      <c r="HK37" s="1166"/>
      <c r="HL37" s="1166"/>
      <c r="HM37" s="1166"/>
      <c r="HN37" s="1166"/>
      <c r="HO37" s="1166"/>
      <c r="HP37" s="1166"/>
      <c r="HQ37" s="1166"/>
      <c r="HR37" s="1166"/>
      <c r="HS37" s="1166"/>
      <c r="HT37" s="1166"/>
      <c r="HU37" s="1166"/>
      <c r="HV37" s="1166"/>
      <c r="HW37" s="1166"/>
      <c r="HX37" s="1166"/>
      <c r="HY37" s="1166"/>
      <c r="HZ37" s="1166"/>
      <c r="IA37" s="1166"/>
      <c r="IB37" s="1166"/>
      <c r="IC37" s="1166"/>
      <c r="ID37" s="1166"/>
      <c r="IE37" s="1166"/>
      <c r="IF37" s="1166"/>
      <c r="IG37" s="1166"/>
      <c r="IH37" s="1166"/>
      <c r="II37" s="1166"/>
      <c r="IJ37" s="1166"/>
      <c r="IK37" s="1166"/>
      <c r="IL37" s="1166"/>
      <c r="IM37" s="1166"/>
      <c r="IN37" s="1166"/>
      <c r="IO37" s="1166"/>
      <c r="IP37" s="1166"/>
      <c r="IQ37" s="1166"/>
      <c r="IR37" s="1166"/>
      <c r="IS37" s="1166"/>
      <c r="IT37" s="1166"/>
      <c r="IU37" s="1166"/>
      <c r="IV37" s="1166"/>
    </row>
    <row r="38" spans="1:256" s="1464" customFormat="1" ht="18" customHeight="1" x14ac:dyDescent="0.35">
      <c r="A38" s="1452">
        <v>29</v>
      </c>
      <c r="B38" s="1465"/>
      <c r="C38" s="1187"/>
      <c r="D38" s="1481" t="s">
        <v>231</v>
      </c>
      <c r="E38" s="1468"/>
      <c r="F38" s="1490"/>
      <c r="G38" s="1478"/>
      <c r="H38" s="1479"/>
      <c r="I38" s="1494"/>
      <c r="J38" s="1491"/>
      <c r="K38" s="1491"/>
      <c r="L38" s="1491">
        <v>1612</v>
      </c>
      <c r="M38" s="1491"/>
      <c r="N38" s="1492"/>
      <c r="O38" s="1222">
        <f>SUM(I38:N38)</f>
        <v>1612</v>
      </c>
      <c r="P38" s="1475"/>
      <c r="Q38" s="1166"/>
      <c r="R38" s="1166"/>
      <c r="S38" s="1166"/>
      <c r="T38" s="1166"/>
      <c r="U38" s="1166"/>
      <c r="V38" s="1166"/>
      <c r="W38" s="1166"/>
      <c r="X38" s="1166"/>
      <c r="Y38" s="1166"/>
      <c r="Z38" s="1166"/>
      <c r="AA38" s="1166"/>
      <c r="AB38" s="1166"/>
      <c r="AC38" s="1166"/>
      <c r="AD38" s="1166"/>
      <c r="AE38" s="1166"/>
      <c r="AF38" s="1166"/>
      <c r="AG38" s="1166"/>
      <c r="AH38" s="1166"/>
      <c r="AI38" s="1166"/>
      <c r="AJ38" s="1166"/>
      <c r="AK38" s="1166"/>
      <c r="AL38" s="1166"/>
      <c r="AM38" s="1166"/>
      <c r="AN38" s="1166"/>
      <c r="AO38" s="1166"/>
      <c r="AP38" s="1166"/>
      <c r="AQ38" s="1166"/>
      <c r="AR38" s="1166"/>
      <c r="AS38" s="1166"/>
      <c r="AT38" s="1166"/>
      <c r="AU38" s="1166"/>
      <c r="AV38" s="1166"/>
      <c r="AW38" s="1166"/>
      <c r="AX38" s="1166"/>
      <c r="AY38" s="1166"/>
      <c r="AZ38" s="1166"/>
      <c r="BA38" s="1166"/>
      <c r="BB38" s="1166"/>
      <c r="BC38" s="1166"/>
      <c r="BD38" s="1166"/>
      <c r="BE38" s="1166"/>
      <c r="BF38" s="1166"/>
      <c r="BG38" s="1166"/>
      <c r="BH38" s="1166"/>
      <c r="BI38" s="1166"/>
      <c r="BJ38" s="1166"/>
      <c r="BK38" s="1166"/>
      <c r="BL38" s="1166"/>
      <c r="BM38" s="1166"/>
      <c r="BN38" s="1166"/>
      <c r="BO38" s="1166"/>
      <c r="BP38" s="1166"/>
      <c r="BQ38" s="1166"/>
      <c r="BR38" s="1166"/>
      <c r="BS38" s="1166"/>
      <c r="BT38" s="1166"/>
      <c r="BU38" s="1166"/>
      <c r="BV38" s="1166"/>
      <c r="BW38" s="1166"/>
      <c r="BX38" s="1166"/>
      <c r="BY38" s="1166"/>
      <c r="BZ38" s="1166"/>
      <c r="CA38" s="1166"/>
      <c r="CB38" s="1166"/>
      <c r="CC38" s="1166"/>
      <c r="CD38" s="1166"/>
      <c r="CE38" s="1166"/>
      <c r="CF38" s="1166"/>
      <c r="CG38" s="1166"/>
      <c r="CH38" s="1166"/>
      <c r="CI38" s="1166"/>
      <c r="CJ38" s="1166"/>
      <c r="CK38" s="1166"/>
      <c r="CL38" s="1166"/>
      <c r="CM38" s="1166"/>
      <c r="CN38" s="1166"/>
      <c r="CO38" s="1166"/>
      <c r="CP38" s="1166"/>
      <c r="CQ38" s="1166"/>
      <c r="CR38" s="1166"/>
      <c r="CS38" s="1166"/>
      <c r="CT38" s="1166"/>
      <c r="CU38" s="1166"/>
      <c r="CV38" s="1166"/>
      <c r="CW38" s="1166"/>
      <c r="CX38" s="1166"/>
      <c r="CY38" s="1166"/>
      <c r="CZ38" s="1166"/>
      <c r="DA38" s="1166"/>
      <c r="DB38" s="1166"/>
      <c r="DC38" s="1166"/>
      <c r="DD38" s="1166"/>
      <c r="DE38" s="1166"/>
      <c r="DF38" s="1166"/>
      <c r="DG38" s="1166"/>
      <c r="DH38" s="1166"/>
      <c r="DI38" s="1166"/>
      <c r="DJ38" s="1166"/>
      <c r="DK38" s="1166"/>
      <c r="DL38" s="1166"/>
      <c r="DM38" s="1166"/>
      <c r="DN38" s="1166"/>
      <c r="DO38" s="1166"/>
      <c r="DP38" s="1166"/>
      <c r="DQ38" s="1166"/>
      <c r="DR38" s="1166"/>
      <c r="DS38" s="1166"/>
      <c r="DT38" s="1166"/>
      <c r="DU38" s="1166"/>
      <c r="DV38" s="1166"/>
      <c r="DW38" s="1166"/>
      <c r="DX38" s="1166"/>
      <c r="DY38" s="1166"/>
      <c r="DZ38" s="1166"/>
      <c r="EA38" s="1166"/>
      <c r="EB38" s="1166"/>
      <c r="EC38" s="1166"/>
      <c r="ED38" s="1166"/>
      <c r="EE38" s="1166"/>
      <c r="EF38" s="1166"/>
      <c r="EG38" s="1166"/>
      <c r="EH38" s="1166"/>
      <c r="EI38" s="1166"/>
      <c r="EJ38" s="1166"/>
      <c r="EK38" s="1166"/>
      <c r="EL38" s="1166"/>
      <c r="EM38" s="1166"/>
      <c r="EN38" s="1166"/>
      <c r="EO38" s="1166"/>
      <c r="EP38" s="1166"/>
      <c r="EQ38" s="1166"/>
      <c r="ER38" s="1166"/>
      <c r="ES38" s="1166"/>
      <c r="ET38" s="1166"/>
      <c r="EU38" s="1166"/>
      <c r="EV38" s="1166"/>
      <c r="EW38" s="1166"/>
      <c r="EX38" s="1166"/>
      <c r="EY38" s="1166"/>
      <c r="EZ38" s="1166"/>
      <c r="FA38" s="1166"/>
      <c r="FB38" s="1166"/>
      <c r="FC38" s="1166"/>
      <c r="FD38" s="1166"/>
      <c r="FE38" s="1166"/>
      <c r="FF38" s="1166"/>
      <c r="FG38" s="1166"/>
      <c r="FH38" s="1166"/>
      <c r="FI38" s="1166"/>
      <c r="FJ38" s="1166"/>
      <c r="FK38" s="1166"/>
      <c r="FL38" s="1166"/>
      <c r="FM38" s="1166"/>
      <c r="FN38" s="1166"/>
      <c r="FO38" s="1166"/>
      <c r="FP38" s="1166"/>
      <c r="FQ38" s="1166"/>
      <c r="FR38" s="1166"/>
      <c r="FS38" s="1166"/>
      <c r="FT38" s="1166"/>
      <c r="FU38" s="1166"/>
      <c r="FV38" s="1166"/>
      <c r="FW38" s="1166"/>
      <c r="FX38" s="1166"/>
      <c r="FY38" s="1166"/>
      <c r="FZ38" s="1166"/>
      <c r="GA38" s="1166"/>
      <c r="GB38" s="1166"/>
      <c r="GC38" s="1166"/>
      <c r="GD38" s="1166"/>
      <c r="GE38" s="1166"/>
      <c r="GF38" s="1166"/>
      <c r="GG38" s="1166"/>
      <c r="GH38" s="1166"/>
      <c r="GI38" s="1166"/>
      <c r="GJ38" s="1166"/>
      <c r="GK38" s="1166"/>
      <c r="GL38" s="1166"/>
      <c r="GM38" s="1166"/>
      <c r="GN38" s="1166"/>
      <c r="GO38" s="1166"/>
      <c r="GP38" s="1166"/>
      <c r="GQ38" s="1166"/>
      <c r="GR38" s="1166"/>
      <c r="GS38" s="1166"/>
      <c r="GT38" s="1166"/>
      <c r="GU38" s="1166"/>
      <c r="GV38" s="1166"/>
      <c r="GW38" s="1166"/>
      <c r="GX38" s="1166"/>
      <c r="GY38" s="1166"/>
      <c r="GZ38" s="1166"/>
      <c r="HA38" s="1166"/>
      <c r="HB38" s="1166"/>
      <c r="HC38" s="1166"/>
      <c r="HD38" s="1166"/>
      <c r="HE38" s="1166"/>
      <c r="HF38" s="1166"/>
      <c r="HG38" s="1166"/>
      <c r="HH38" s="1166"/>
      <c r="HI38" s="1166"/>
      <c r="HJ38" s="1166"/>
      <c r="HK38" s="1166"/>
      <c r="HL38" s="1166"/>
      <c r="HM38" s="1166"/>
      <c r="HN38" s="1166"/>
      <c r="HO38" s="1166"/>
      <c r="HP38" s="1166"/>
      <c r="HQ38" s="1166"/>
      <c r="HR38" s="1166"/>
      <c r="HS38" s="1166"/>
      <c r="HT38" s="1166"/>
      <c r="HU38" s="1166"/>
      <c r="HV38" s="1166"/>
      <c r="HW38" s="1166"/>
      <c r="HX38" s="1166"/>
      <c r="HY38" s="1166"/>
      <c r="HZ38" s="1166"/>
      <c r="IA38" s="1166"/>
      <c r="IB38" s="1166"/>
      <c r="IC38" s="1166"/>
      <c r="ID38" s="1166"/>
      <c r="IE38" s="1166"/>
      <c r="IF38" s="1166"/>
      <c r="IG38" s="1166"/>
      <c r="IH38" s="1166"/>
      <c r="II38" s="1166"/>
      <c r="IJ38" s="1166"/>
      <c r="IK38" s="1166"/>
      <c r="IL38" s="1166"/>
      <c r="IM38" s="1166"/>
      <c r="IN38" s="1166"/>
      <c r="IO38" s="1166"/>
      <c r="IP38" s="1166"/>
      <c r="IQ38" s="1166"/>
      <c r="IR38" s="1166"/>
      <c r="IS38" s="1166"/>
      <c r="IT38" s="1166"/>
      <c r="IU38" s="1166"/>
      <c r="IV38" s="1166"/>
    </row>
    <row r="39" spans="1:256" s="1464" customFormat="1" ht="18" customHeight="1" x14ac:dyDescent="0.35">
      <c r="A39" s="1452">
        <v>30</v>
      </c>
      <c r="B39" s="1465"/>
      <c r="C39" s="1187"/>
      <c r="D39" s="1484" t="s">
        <v>245</v>
      </c>
      <c r="E39" s="1468"/>
      <c r="F39" s="1490"/>
      <c r="G39" s="1478"/>
      <c r="H39" s="1479"/>
      <c r="I39" s="1487"/>
      <c r="J39" s="1488"/>
      <c r="K39" s="1488"/>
      <c r="L39" s="1488"/>
      <c r="M39" s="1488"/>
      <c r="N39" s="1489"/>
      <c r="O39" s="1217">
        <f>SUM(I39:N39)</f>
        <v>0</v>
      </c>
      <c r="P39" s="1475"/>
      <c r="Q39" s="1166"/>
      <c r="R39" s="1166"/>
      <c r="S39" s="1166"/>
      <c r="T39" s="1166"/>
      <c r="U39" s="1166"/>
      <c r="V39" s="1166"/>
      <c r="W39" s="1166"/>
      <c r="X39" s="1166"/>
      <c r="Y39" s="1166"/>
      <c r="Z39" s="1166"/>
      <c r="AA39" s="1166"/>
      <c r="AB39" s="1166"/>
      <c r="AC39" s="1166"/>
      <c r="AD39" s="1166"/>
      <c r="AE39" s="1166"/>
      <c r="AF39" s="1166"/>
      <c r="AG39" s="1166"/>
      <c r="AH39" s="1166"/>
      <c r="AI39" s="1166"/>
      <c r="AJ39" s="1166"/>
      <c r="AK39" s="1166"/>
      <c r="AL39" s="1166"/>
      <c r="AM39" s="1166"/>
      <c r="AN39" s="1166"/>
      <c r="AO39" s="1166"/>
      <c r="AP39" s="1166"/>
      <c r="AQ39" s="1166"/>
      <c r="AR39" s="1166"/>
      <c r="AS39" s="1166"/>
      <c r="AT39" s="1166"/>
      <c r="AU39" s="1166"/>
      <c r="AV39" s="1166"/>
      <c r="AW39" s="1166"/>
      <c r="AX39" s="1166"/>
      <c r="AY39" s="1166"/>
      <c r="AZ39" s="1166"/>
      <c r="BA39" s="1166"/>
      <c r="BB39" s="1166"/>
      <c r="BC39" s="1166"/>
      <c r="BD39" s="1166"/>
      <c r="BE39" s="1166"/>
      <c r="BF39" s="1166"/>
      <c r="BG39" s="1166"/>
      <c r="BH39" s="1166"/>
      <c r="BI39" s="1166"/>
      <c r="BJ39" s="1166"/>
      <c r="BK39" s="1166"/>
      <c r="BL39" s="1166"/>
      <c r="BM39" s="1166"/>
      <c r="BN39" s="1166"/>
      <c r="BO39" s="1166"/>
      <c r="BP39" s="1166"/>
      <c r="BQ39" s="1166"/>
      <c r="BR39" s="1166"/>
      <c r="BS39" s="1166"/>
      <c r="BT39" s="1166"/>
      <c r="BU39" s="1166"/>
      <c r="BV39" s="1166"/>
      <c r="BW39" s="1166"/>
      <c r="BX39" s="1166"/>
      <c r="BY39" s="1166"/>
      <c r="BZ39" s="1166"/>
      <c r="CA39" s="1166"/>
      <c r="CB39" s="1166"/>
      <c r="CC39" s="1166"/>
      <c r="CD39" s="1166"/>
      <c r="CE39" s="1166"/>
      <c r="CF39" s="1166"/>
      <c r="CG39" s="1166"/>
      <c r="CH39" s="1166"/>
      <c r="CI39" s="1166"/>
      <c r="CJ39" s="1166"/>
      <c r="CK39" s="1166"/>
      <c r="CL39" s="1166"/>
      <c r="CM39" s="1166"/>
      <c r="CN39" s="1166"/>
      <c r="CO39" s="1166"/>
      <c r="CP39" s="1166"/>
      <c r="CQ39" s="1166"/>
      <c r="CR39" s="1166"/>
      <c r="CS39" s="1166"/>
      <c r="CT39" s="1166"/>
      <c r="CU39" s="1166"/>
      <c r="CV39" s="1166"/>
      <c r="CW39" s="1166"/>
      <c r="CX39" s="1166"/>
      <c r="CY39" s="1166"/>
      <c r="CZ39" s="1166"/>
      <c r="DA39" s="1166"/>
      <c r="DB39" s="1166"/>
      <c r="DC39" s="1166"/>
      <c r="DD39" s="1166"/>
      <c r="DE39" s="1166"/>
      <c r="DF39" s="1166"/>
      <c r="DG39" s="1166"/>
      <c r="DH39" s="1166"/>
      <c r="DI39" s="1166"/>
      <c r="DJ39" s="1166"/>
      <c r="DK39" s="1166"/>
      <c r="DL39" s="1166"/>
      <c r="DM39" s="1166"/>
      <c r="DN39" s="1166"/>
      <c r="DO39" s="1166"/>
      <c r="DP39" s="1166"/>
      <c r="DQ39" s="1166"/>
      <c r="DR39" s="1166"/>
      <c r="DS39" s="1166"/>
      <c r="DT39" s="1166"/>
      <c r="DU39" s="1166"/>
      <c r="DV39" s="1166"/>
      <c r="DW39" s="1166"/>
      <c r="DX39" s="1166"/>
      <c r="DY39" s="1166"/>
      <c r="DZ39" s="1166"/>
      <c r="EA39" s="1166"/>
      <c r="EB39" s="1166"/>
      <c r="EC39" s="1166"/>
      <c r="ED39" s="1166"/>
      <c r="EE39" s="1166"/>
      <c r="EF39" s="1166"/>
      <c r="EG39" s="1166"/>
      <c r="EH39" s="1166"/>
      <c r="EI39" s="1166"/>
      <c r="EJ39" s="1166"/>
      <c r="EK39" s="1166"/>
      <c r="EL39" s="1166"/>
      <c r="EM39" s="1166"/>
      <c r="EN39" s="1166"/>
      <c r="EO39" s="1166"/>
      <c r="EP39" s="1166"/>
      <c r="EQ39" s="1166"/>
      <c r="ER39" s="1166"/>
      <c r="ES39" s="1166"/>
      <c r="ET39" s="1166"/>
      <c r="EU39" s="1166"/>
      <c r="EV39" s="1166"/>
      <c r="EW39" s="1166"/>
      <c r="EX39" s="1166"/>
      <c r="EY39" s="1166"/>
      <c r="EZ39" s="1166"/>
      <c r="FA39" s="1166"/>
      <c r="FB39" s="1166"/>
      <c r="FC39" s="1166"/>
      <c r="FD39" s="1166"/>
      <c r="FE39" s="1166"/>
      <c r="FF39" s="1166"/>
      <c r="FG39" s="1166"/>
      <c r="FH39" s="1166"/>
      <c r="FI39" s="1166"/>
      <c r="FJ39" s="1166"/>
      <c r="FK39" s="1166"/>
      <c r="FL39" s="1166"/>
      <c r="FM39" s="1166"/>
      <c r="FN39" s="1166"/>
      <c r="FO39" s="1166"/>
      <c r="FP39" s="1166"/>
      <c r="FQ39" s="1166"/>
      <c r="FR39" s="1166"/>
      <c r="FS39" s="1166"/>
      <c r="FT39" s="1166"/>
      <c r="FU39" s="1166"/>
      <c r="FV39" s="1166"/>
      <c r="FW39" s="1166"/>
      <c r="FX39" s="1166"/>
      <c r="FY39" s="1166"/>
      <c r="FZ39" s="1166"/>
      <c r="GA39" s="1166"/>
      <c r="GB39" s="1166"/>
      <c r="GC39" s="1166"/>
      <c r="GD39" s="1166"/>
      <c r="GE39" s="1166"/>
      <c r="GF39" s="1166"/>
      <c r="GG39" s="1166"/>
      <c r="GH39" s="1166"/>
      <c r="GI39" s="1166"/>
      <c r="GJ39" s="1166"/>
      <c r="GK39" s="1166"/>
      <c r="GL39" s="1166"/>
      <c r="GM39" s="1166"/>
      <c r="GN39" s="1166"/>
      <c r="GO39" s="1166"/>
      <c r="GP39" s="1166"/>
      <c r="GQ39" s="1166"/>
      <c r="GR39" s="1166"/>
      <c r="GS39" s="1166"/>
      <c r="GT39" s="1166"/>
      <c r="GU39" s="1166"/>
      <c r="GV39" s="1166"/>
      <c r="GW39" s="1166"/>
      <c r="GX39" s="1166"/>
      <c r="GY39" s="1166"/>
      <c r="GZ39" s="1166"/>
      <c r="HA39" s="1166"/>
      <c r="HB39" s="1166"/>
      <c r="HC39" s="1166"/>
      <c r="HD39" s="1166"/>
      <c r="HE39" s="1166"/>
      <c r="HF39" s="1166"/>
      <c r="HG39" s="1166"/>
      <c r="HH39" s="1166"/>
      <c r="HI39" s="1166"/>
      <c r="HJ39" s="1166"/>
      <c r="HK39" s="1166"/>
      <c r="HL39" s="1166"/>
      <c r="HM39" s="1166"/>
      <c r="HN39" s="1166"/>
      <c r="HO39" s="1166"/>
      <c r="HP39" s="1166"/>
      <c r="HQ39" s="1166"/>
      <c r="HR39" s="1166"/>
      <c r="HS39" s="1166"/>
      <c r="HT39" s="1166"/>
      <c r="HU39" s="1166"/>
      <c r="HV39" s="1166"/>
      <c r="HW39" s="1166"/>
      <c r="HX39" s="1166"/>
      <c r="HY39" s="1166"/>
      <c r="HZ39" s="1166"/>
      <c r="IA39" s="1166"/>
      <c r="IB39" s="1166"/>
      <c r="IC39" s="1166"/>
      <c r="ID39" s="1166"/>
      <c r="IE39" s="1166"/>
      <c r="IF39" s="1166"/>
      <c r="IG39" s="1166"/>
      <c r="IH39" s="1166"/>
      <c r="II39" s="1166"/>
      <c r="IJ39" s="1166"/>
      <c r="IK39" s="1166"/>
      <c r="IL39" s="1166"/>
      <c r="IM39" s="1166"/>
      <c r="IN39" s="1166"/>
      <c r="IO39" s="1166"/>
      <c r="IP39" s="1166"/>
      <c r="IQ39" s="1166"/>
      <c r="IR39" s="1166"/>
      <c r="IS39" s="1166"/>
      <c r="IT39" s="1166"/>
      <c r="IU39" s="1166"/>
      <c r="IV39" s="1166"/>
    </row>
    <row r="40" spans="1:256" s="1464" customFormat="1" ht="18" customHeight="1" x14ac:dyDescent="0.35">
      <c r="A40" s="1452">
        <v>31</v>
      </c>
      <c r="B40" s="1465"/>
      <c r="C40" s="1187"/>
      <c r="D40" s="1481" t="s">
        <v>233</v>
      </c>
      <c r="E40" s="1468"/>
      <c r="F40" s="1490"/>
      <c r="G40" s="1478"/>
      <c r="H40" s="1479"/>
      <c r="I40" s="1487"/>
      <c r="J40" s="1488"/>
      <c r="K40" s="1488"/>
      <c r="L40" s="1491">
        <f>SUM(L38:L39)</f>
        <v>1612</v>
      </c>
      <c r="M40" s="1488"/>
      <c r="N40" s="1489"/>
      <c r="O40" s="1222">
        <f>SUM(I40:N40)</f>
        <v>1612</v>
      </c>
      <c r="P40" s="1475"/>
      <c r="Q40" s="1166"/>
      <c r="R40" s="1166"/>
      <c r="S40" s="1166"/>
      <c r="T40" s="1166"/>
      <c r="U40" s="1166"/>
      <c r="V40" s="1166"/>
      <c r="W40" s="1166"/>
      <c r="X40" s="1166"/>
      <c r="Y40" s="1166"/>
      <c r="Z40" s="1166"/>
      <c r="AA40" s="1166"/>
      <c r="AB40" s="1166"/>
      <c r="AC40" s="1166"/>
      <c r="AD40" s="1166"/>
      <c r="AE40" s="1166"/>
      <c r="AF40" s="1166"/>
      <c r="AG40" s="1166"/>
      <c r="AH40" s="1166"/>
      <c r="AI40" s="1166"/>
      <c r="AJ40" s="1166"/>
      <c r="AK40" s="1166"/>
      <c r="AL40" s="1166"/>
      <c r="AM40" s="1166"/>
      <c r="AN40" s="1166"/>
      <c r="AO40" s="1166"/>
      <c r="AP40" s="1166"/>
      <c r="AQ40" s="1166"/>
      <c r="AR40" s="1166"/>
      <c r="AS40" s="1166"/>
      <c r="AT40" s="1166"/>
      <c r="AU40" s="1166"/>
      <c r="AV40" s="1166"/>
      <c r="AW40" s="1166"/>
      <c r="AX40" s="1166"/>
      <c r="AY40" s="1166"/>
      <c r="AZ40" s="1166"/>
      <c r="BA40" s="1166"/>
      <c r="BB40" s="1166"/>
      <c r="BC40" s="1166"/>
      <c r="BD40" s="1166"/>
      <c r="BE40" s="1166"/>
      <c r="BF40" s="1166"/>
      <c r="BG40" s="1166"/>
      <c r="BH40" s="1166"/>
      <c r="BI40" s="1166"/>
      <c r="BJ40" s="1166"/>
      <c r="BK40" s="1166"/>
      <c r="BL40" s="1166"/>
      <c r="BM40" s="1166"/>
      <c r="BN40" s="1166"/>
      <c r="BO40" s="1166"/>
      <c r="BP40" s="1166"/>
      <c r="BQ40" s="1166"/>
      <c r="BR40" s="1166"/>
      <c r="BS40" s="1166"/>
      <c r="BT40" s="1166"/>
      <c r="BU40" s="1166"/>
      <c r="BV40" s="1166"/>
      <c r="BW40" s="1166"/>
      <c r="BX40" s="1166"/>
      <c r="BY40" s="1166"/>
      <c r="BZ40" s="1166"/>
      <c r="CA40" s="1166"/>
      <c r="CB40" s="1166"/>
      <c r="CC40" s="1166"/>
      <c r="CD40" s="1166"/>
      <c r="CE40" s="1166"/>
      <c r="CF40" s="1166"/>
      <c r="CG40" s="1166"/>
      <c r="CH40" s="1166"/>
      <c r="CI40" s="1166"/>
      <c r="CJ40" s="1166"/>
      <c r="CK40" s="1166"/>
      <c r="CL40" s="1166"/>
      <c r="CM40" s="1166"/>
      <c r="CN40" s="1166"/>
      <c r="CO40" s="1166"/>
      <c r="CP40" s="1166"/>
      <c r="CQ40" s="1166"/>
      <c r="CR40" s="1166"/>
      <c r="CS40" s="1166"/>
      <c r="CT40" s="1166"/>
      <c r="CU40" s="1166"/>
      <c r="CV40" s="1166"/>
      <c r="CW40" s="1166"/>
      <c r="CX40" s="1166"/>
      <c r="CY40" s="1166"/>
      <c r="CZ40" s="1166"/>
      <c r="DA40" s="1166"/>
      <c r="DB40" s="1166"/>
      <c r="DC40" s="1166"/>
      <c r="DD40" s="1166"/>
      <c r="DE40" s="1166"/>
      <c r="DF40" s="1166"/>
      <c r="DG40" s="1166"/>
      <c r="DH40" s="1166"/>
      <c r="DI40" s="1166"/>
      <c r="DJ40" s="1166"/>
      <c r="DK40" s="1166"/>
      <c r="DL40" s="1166"/>
      <c r="DM40" s="1166"/>
      <c r="DN40" s="1166"/>
      <c r="DO40" s="1166"/>
      <c r="DP40" s="1166"/>
      <c r="DQ40" s="1166"/>
      <c r="DR40" s="1166"/>
      <c r="DS40" s="1166"/>
      <c r="DT40" s="1166"/>
      <c r="DU40" s="1166"/>
      <c r="DV40" s="1166"/>
      <c r="DW40" s="1166"/>
      <c r="DX40" s="1166"/>
      <c r="DY40" s="1166"/>
      <c r="DZ40" s="1166"/>
      <c r="EA40" s="1166"/>
      <c r="EB40" s="1166"/>
      <c r="EC40" s="1166"/>
      <c r="ED40" s="1166"/>
      <c r="EE40" s="1166"/>
      <c r="EF40" s="1166"/>
      <c r="EG40" s="1166"/>
      <c r="EH40" s="1166"/>
      <c r="EI40" s="1166"/>
      <c r="EJ40" s="1166"/>
      <c r="EK40" s="1166"/>
      <c r="EL40" s="1166"/>
      <c r="EM40" s="1166"/>
      <c r="EN40" s="1166"/>
      <c r="EO40" s="1166"/>
      <c r="EP40" s="1166"/>
      <c r="EQ40" s="1166"/>
      <c r="ER40" s="1166"/>
      <c r="ES40" s="1166"/>
      <c r="ET40" s="1166"/>
      <c r="EU40" s="1166"/>
      <c r="EV40" s="1166"/>
      <c r="EW40" s="1166"/>
      <c r="EX40" s="1166"/>
      <c r="EY40" s="1166"/>
      <c r="EZ40" s="1166"/>
      <c r="FA40" s="1166"/>
      <c r="FB40" s="1166"/>
      <c r="FC40" s="1166"/>
      <c r="FD40" s="1166"/>
      <c r="FE40" s="1166"/>
      <c r="FF40" s="1166"/>
      <c r="FG40" s="1166"/>
      <c r="FH40" s="1166"/>
      <c r="FI40" s="1166"/>
      <c r="FJ40" s="1166"/>
      <c r="FK40" s="1166"/>
      <c r="FL40" s="1166"/>
      <c r="FM40" s="1166"/>
      <c r="FN40" s="1166"/>
      <c r="FO40" s="1166"/>
      <c r="FP40" s="1166"/>
      <c r="FQ40" s="1166"/>
      <c r="FR40" s="1166"/>
      <c r="FS40" s="1166"/>
      <c r="FT40" s="1166"/>
      <c r="FU40" s="1166"/>
      <c r="FV40" s="1166"/>
      <c r="FW40" s="1166"/>
      <c r="FX40" s="1166"/>
      <c r="FY40" s="1166"/>
      <c r="FZ40" s="1166"/>
      <c r="GA40" s="1166"/>
      <c r="GB40" s="1166"/>
      <c r="GC40" s="1166"/>
      <c r="GD40" s="1166"/>
      <c r="GE40" s="1166"/>
      <c r="GF40" s="1166"/>
      <c r="GG40" s="1166"/>
      <c r="GH40" s="1166"/>
      <c r="GI40" s="1166"/>
      <c r="GJ40" s="1166"/>
      <c r="GK40" s="1166"/>
      <c r="GL40" s="1166"/>
      <c r="GM40" s="1166"/>
      <c r="GN40" s="1166"/>
      <c r="GO40" s="1166"/>
      <c r="GP40" s="1166"/>
      <c r="GQ40" s="1166"/>
      <c r="GR40" s="1166"/>
      <c r="GS40" s="1166"/>
      <c r="GT40" s="1166"/>
      <c r="GU40" s="1166"/>
      <c r="GV40" s="1166"/>
      <c r="GW40" s="1166"/>
      <c r="GX40" s="1166"/>
      <c r="GY40" s="1166"/>
      <c r="GZ40" s="1166"/>
      <c r="HA40" s="1166"/>
      <c r="HB40" s="1166"/>
      <c r="HC40" s="1166"/>
      <c r="HD40" s="1166"/>
      <c r="HE40" s="1166"/>
      <c r="HF40" s="1166"/>
      <c r="HG40" s="1166"/>
      <c r="HH40" s="1166"/>
      <c r="HI40" s="1166"/>
      <c r="HJ40" s="1166"/>
      <c r="HK40" s="1166"/>
      <c r="HL40" s="1166"/>
      <c r="HM40" s="1166"/>
      <c r="HN40" s="1166"/>
      <c r="HO40" s="1166"/>
      <c r="HP40" s="1166"/>
      <c r="HQ40" s="1166"/>
      <c r="HR40" s="1166"/>
      <c r="HS40" s="1166"/>
      <c r="HT40" s="1166"/>
      <c r="HU40" s="1166"/>
      <c r="HV40" s="1166"/>
      <c r="HW40" s="1166"/>
      <c r="HX40" s="1166"/>
      <c r="HY40" s="1166"/>
      <c r="HZ40" s="1166"/>
      <c r="IA40" s="1166"/>
      <c r="IB40" s="1166"/>
      <c r="IC40" s="1166"/>
      <c r="ID40" s="1166"/>
      <c r="IE40" s="1166"/>
      <c r="IF40" s="1166"/>
      <c r="IG40" s="1166"/>
      <c r="IH40" s="1166"/>
      <c r="II40" s="1166"/>
      <c r="IJ40" s="1166"/>
      <c r="IK40" s="1166"/>
      <c r="IL40" s="1166"/>
      <c r="IM40" s="1166"/>
      <c r="IN40" s="1166"/>
      <c r="IO40" s="1166"/>
      <c r="IP40" s="1166"/>
      <c r="IQ40" s="1166"/>
      <c r="IR40" s="1166"/>
      <c r="IS40" s="1166"/>
      <c r="IT40" s="1166"/>
      <c r="IU40" s="1166"/>
      <c r="IV40" s="1166"/>
    </row>
    <row r="41" spans="1:256" ht="36" customHeight="1" x14ac:dyDescent="0.35">
      <c r="A41" s="1452">
        <v>32</v>
      </c>
      <c r="B41" s="1476"/>
      <c r="C41" s="1187">
        <v>11</v>
      </c>
      <c r="D41" s="1495" t="s">
        <v>324</v>
      </c>
      <c r="E41" s="1467">
        <f>F41+G41+O45+P42</f>
        <v>25565</v>
      </c>
      <c r="F41" s="1467">
        <f>4452+19279</f>
        <v>23731</v>
      </c>
      <c r="G41" s="1469">
        <v>1334</v>
      </c>
      <c r="H41" s="1479" t="s">
        <v>296</v>
      </c>
      <c r="I41" s="1471"/>
      <c r="J41" s="1472"/>
      <c r="K41" s="1472"/>
      <c r="L41" s="1472"/>
      <c r="M41" s="1472"/>
      <c r="N41" s="1473"/>
      <c r="O41" s="1474"/>
      <c r="P41" s="1475"/>
    </row>
    <row r="42" spans="1:256" ht="18" customHeight="1" x14ac:dyDescent="0.35">
      <c r="A42" s="1452">
        <v>33</v>
      </c>
      <c r="B42" s="1476"/>
      <c r="C42" s="1197"/>
      <c r="D42" s="1477" t="s">
        <v>230</v>
      </c>
      <c r="E42" s="1468"/>
      <c r="F42" s="1468"/>
      <c r="G42" s="1478"/>
      <c r="H42" s="1479"/>
      <c r="I42" s="1471"/>
      <c r="J42" s="1472"/>
      <c r="K42" s="1472">
        <v>1000</v>
      </c>
      <c r="L42" s="1472"/>
      <c r="M42" s="1472"/>
      <c r="N42" s="1473"/>
      <c r="O42" s="1480">
        <f>SUM(I42:N42)</f>
        <v>1000</v>
      </c>
      <c r="P42" s="1475"/>
    </row>
    <row r="43" spans="1:256" ht="18" customHeight="1" x14ac:dyDescent="0.35">
      <c r="A43" s="1452">
        <v>34</v>
      </c>
      <c r="B43" s="1476"/>
      <c r="C43" s="1197"/>
      <c r="D43" s="1481" t="s">
        <v>231</v>
      </c>
      <c r="E43" s="1468"/>
      <c r="F43" s="1468"/>
      <c r="G43" s="1478"/>
      <c r="H43" s="1479"/>
      <c r="I43" s="1482"/>
      <c r="J43" s="1483"/>
      <c r="K43" s="1483">
        <v>500</v>
      </c>
      <c r="L43" s="1483"/>
      <c r="M43" s="1483"/>
      <c r="N43" s="1468"/>
      <c r="O43" s="1222">
        <f>SUM(I43:N43)</f>
        <v>500</v>
      </c>
      <c r="P43" s="1475"/>
    </row>
    <row r="44" spans="1:256" ht="18" customHeight="1" x14ac:dyDescent="0.35">
      <c r="A44" s="1452">
        <v>35</v>
      </c>
      <c r="B44" s="1476"/>
      <c r="C44" s="1197"/>
      <c r="D44" s="1484" t="s">
        <v>232</v>
      </c>
      <c r="E44" s="1468"/>
      <c r="F44" s="1468"/>
      <c r="G44" s="1478"/>
      <c r="H44" s="1479"/>
      <c r="I44" s="1471"/>
      <c r="J44" s="1472"/>
      <c r="K44" s="1496"/>
      <c r="L44" s="1472"/>
      <c r="M44" s="1472"/>
      <c r="N44" s="1473"/>
      <c r="O44" s="1217">
        <f>SUM(I44:N44)</f>
        <v>0</v>
      </c>
      <c r="P44" s="1475"/>
    </row>
    <row r="45" spans="1:256" ht="18" customHeight="1" x14ac:dyDescent="0.35">
      <c r="A45" s="1452">
        <v>36</v>
      </c>
      <c r="B45" s="1476"/>
      <c r="C45" s="1197"/>
      <c r="D45" s="1481" t="s">
        <v>233</v>
      </c>
      <c r="E45" s="1468"/>
      <c r="F45" s="1468"/>
      <c r="G45" s="1478"/>
      <c r="H45" s="1479"/>
      <c r="I45" s="1471"/>
      <c r="J45" s="1472"/>
      <c r="K45" s="1483">
        <f>SUM(K43:K44)</f>
        <v>500</v>
      </c>
      <c r="L45" s="1472"/>
      <c r="M45" s="1472"/>
      <c r="N45" s="1473"/>
      <c r="O45" s="1222">
        <f>SUM(I45:N45)</f>
        <v>500</v>
      </c>
      <c r="P45" s="1475"/>
    </row>
    <row r="46" spans="1:256" ht="22.5" customHeight="1" x14ac:dyDescent="0.35">
      <c r="A46" s="1452">
        <v>37</v>
      </c>
      <c r="B46" s="1476"/>
      <c r="C46" s="1197">
        <v>12</v>
      </c>
      <c r="D46" s="1497" t="s">
        <v>322</v>
      </c>
      <c r="E46" s="1467">
        <f>F46+G46+O50+P47</f>
        <v>35208</v>
      </c>
      <c r="F46" s="1467">
        <f>2593+7749+22269</f>
        <v>32611</v>
      </c>
      <c r="G46" s="1469">
        <v>1597</v>
      </c>
      <c r="H46" s="1479" t="s">
        <v>296</v>
      </c>
      <c r="I46" s="1471"/>
      <c r="J46" s="1472"/>
      <c r="K46" s="1472"/>
      <c r="L46" s="1472"/>
      <c r="M46" s="1472"/>
      <c r="N46" s="1473"/>
      <c r="O46" s="1474"/>
      <c r="P46" s="1475"/>
    </row>
    <row r="47" spans="1:256" ht="18" customHeight="1" x14ac:dyDescent="0.35">
      <c r="A47" s="1452">
        <v>38</v>
      </c>
      <c r="B47" s="1476"/>
      <c r="C47" s="1197"/>
      <c r="D47" s="1477" t="s">
        <v>230</v>
      </c>
      <c r="E47" s="1468"/>
      <c r="F47" s="1468"/>
      <c r="G47" s="1478"/>
      <c r="H47" s="1479"/>
      <c r="I47" s="1482"/>
      <c r="J47" s="1483"/>
      <c r="K47" s="1472">
        <v>1000</v>
      </c>
      <c r="L47" s="1472"/>
      <c r="M47" s="1472"/>
      <c r="N47" s="1473"/>
      <c r="O47" s="1480">
        <f>SUM(I47:N47)</f>
        <v>1000</v>
      </c>
      <c r="P47" s="1475"/>
    </row>
    <row r="48" spans="1:256" ht="18" customHeight="1" x14ac:dyDescent="0.35">
      <c r="A48" s="1452">
        <v>39</v>
      </c>
      <c r="B48" s="1476"/>
      <c r="C48" s="1197"/>
      <c r="D48" s="1481" t="s">
        <v>231</v>
      </c>
      <c r="E48" s="1468"/>
      <c r="F48" s="1468"/>
      <c r="G48" s="1478"/>
      <c r="H48" s="1479"/>
      <c r="I48" s="1482"/>
      <c r="J48" s="1483"/>
      <c r="K48" s="1483">
        <v>1000</v>
      </c>
      <c r="L48" s="1483"/>
      <c r="M48" s="1483"/>
      <c r="N48" s="1468"/>
      <c r="O48" s="1222">
        <f>SUM(I48:N48)</f>
        <v>1000</v>
      </c>
      <c r="P48" s="1475"/>
    </row>
    <row r="49" spans="1:256" ht="18" customHeight="1" x14ac:dyDescent="0.35">
      <c r="A49" s="1452">
        <v>40</v>
      </c>
      <c r="B49" s="1476"/>
      <c r="C49" s="1197"/>
      <c r="D49" s="1484" t="s">
        <v>245</v>
      </c>
      <c r="E49" s="1468"/>
      <c r="F49" s="1468"/>
      <c r="G49" s="1478"/>
      <c r="H49" s="1479"/>
      <c r="I49" s="1482"/>
      <c r="J49" s="1483"/>
      <c r="K49" s="1472"/>
      <c r="L49" s="1472"/>
      <c r="M49" s="1472"/>
      <c r="N49" s="1473"/>
      <c r="O49" s="1217">
        <f>SUM(I49:N49)</f>
        <v>0</v>
      </c>
      <c r="P49" s="1475"/>
    </row>
    <row r="50" spans="1:256" ht="18" customHeight="1" x14ac:dyDescent="0.35">
      <c r="A50" s="1452">
        <v>41</v>
      </c>
      <c r="B50" s="1476"/>
      <c r="C50" s="1197"/>
      <c r="D50" s="1481" t="s">
        <v>233</v>
      </c>
      <c r="E50" s="1468"/>
      <c r="F50" s="1468"/>
      <c r="G50" s="1478"/>
      <c r="H50" s="1479"/>
      <c r="I50" s="1482"/>
      <c r="J50" s="1483"/>
      <c r="K50" s="1483">
        <f>SUM(K48:K49)</f>
        <v>1000</v>
      </c>
      <c r="L50" s="1472"/>
      <c r="M50" s="1472"/>
      <c r="N50" s="1473"/>
      <c r="O50" s="1222">
        <f>SUM(I50:N50)</f>
        <v>1000</v>
      </c>
      <c r="P50" s="1475"/>
    </row>
    <row r="51" spans="1:256" ht="22.5" customHeight="1" x14ac:dyDescent="0.35">
      <c r="A51" s="1452">
        <v>42</v>
      </c>
      <c r="B51" s="1476"/>
      <c r="C51" s="1197">
        <v>13</v>
      </c>
      <c r="D51" s="1497" t="s">
        <v>976</v>
      </c>
      <c r="E51" s="1467">
        <f>F51+G51+O55+P52</f>
        <v>72226</v>
      </c>
      <c r="F51" s="1467">
        <f>1680+1+60644</f>
        <v>62325</v>
      </c>
      <c r="G51" s="1469"/>
      <c r="H51" s="1479" t="s">
        <v>296</v>
      </c>
      <c r="I51" s="1471"/>
      <c r="J51" s="1472"/>
      <c r="K51" s="1472"/>
      <c r="L51" s="1472"/>
      <c r="M51" s="1472"/>
      <c r="N51" s="1473"/>
      <c r="O51" s="1474"/>
      <c r="P51" s="1475"/>
    </row>
    <row r="52" spans="1:256" ht="18" customHeight="1" x14ac:dyDescent="0.35">
      <c r="A52" s="1452">
        <v>43</v>
      </c>
      <c r="B52" s="1476"/>
      <c r="C52" s="1197"/>
      <c r="D52" s="1477" t="s">
        <v>230</v>
      </c>
      <c r="E52" s="1468"/>
      <c r="F52" s="1468"/>
      <c r="G52" s="1478"/>
      <c r="H52" s="1479"/>
      <c r="I52" s="1471"/>
      <c r="J52" s="1472"/>
      <c r="K52" s="1472"/>
      <c r="L52" s="1472"/>
      <c r="M52" s="1472"/>
      <c r="N52" s="1472">
        <v>9823</v>
      </c>
      <c r="O52" s="1480">
        <f>SUM(I52:N52)</f>
        <v>9823</v>
      </c>
      <c r="P52" s="1475"/>
    </row>
    <row r="53" spans="1:256" ht="18" customHeight="1" x14ac:dyDescent="0.35">
      <c r="A53" s="1452">
        <v>44</v>
      </c>
      <c r="B53" s="1476"/>
      <c r="C53" s="1197"/>
      <c r="D53" s="1481" t="s">
        <v>231</v>
      </c>
      <c r="E53" s="1468"/>
      <c r="F53" s="1468"/>
      <c r="G53" s="1478"/>
      <c r="H53" s="1479"/>
      <c r="I53" s="1482"/>
      <c r="J53" s="1483"/>
      <c r="K53" s="1483"/>
      <c r="L53" s="1483"/>
      <c r="M53" s="1483"/>
      <c r="N53" s="1483">
        <v>9901</v>
      </c>
      <c r="O53" s="1222">
        <f>SUM(I53:N53)</f>
        <v>9901</v>
      </c>
      <c r="P53" s="1475"/>
    </row>
    <row r="54" spans="1:256" ht="18" customHeight="1" x14ac:dyDescent="0.35">
      <c r="A54" s="1452">
        <v>45</v>
      </c>
      <c r="B54" s="1476"/>
      <c r="C54" s="1197"/>
      <c r="D54" s="1484" t="s">
        <v>232</v>
      </c>
      <c r="E54" s="1468"/>
      <c r="F54" s="1468"/>
      <c r="G54" s="1478"/>
      <c r="H54" s="1479"/>
      <c r="I54" s="1471"/>
      <c r="J54" s="1472"/>
      <c r="K54" s="1472"/>
      <c r="L54" s="1472"/>
      <c r="M54" s="1472"/>
      <c r="N54" s="1496"/>
      <c r="O54" s="1217">
        <f>SUM(I54:N54)</f>
        <v>0</v>
      </c>
      <c r="P54" s="1475"/>
    </row>
    <row r="55" spans="1:256" ht="18" customHeight="1" x14ac:dyDescent="0.35">
      <c r="A55" s="1452">
        <v>46</v>
      </c>
      <c r="B55" s="1476"/>
      <c r="C55" s="1197"/>
      <c r="D55" s="1481" t="s">
        <v>233</v>
      </c>
      <c r="E55" s="1468"/>
      <c r="F55" s="1468"/>
      <c r="G55" s="1478"/>
      <c r="H55" s="1479"/>
      <c r="I55" s="1471"/>
      <c r="J55" s="1472"/>
      <c r="K55" s="1472"/>
      <c r="L55" s="1472"/>
      <c r="M55" s="1472"/>
      <c r="N55" s="1483">
        <f>SUM(N53:N54)</f>
        <v>9901</v>
      </c>
      <c r="O55" s="1222">
        <f>SUM(I55:N55)</f>
        <v>9901</v>
      </c>
      <c r="P55" s="1475"/>
    </row>
    <row r="56" spans="1:256" ht="36" customHeight="1" x14ac:dyDescent="0.35">
      <c r="A56" s="1452">
        <v>47</v>
      </c>
      <c r="B56" s="1476"/>
      <c r="C56" s="1187">
        <v>15</v>
      </c>
      <c r="D56" s="1223" t="s">
        <v>977</v>
      </c>
      <c r="E56" s="1467">
        <f>F56+G56+O60+P57</f>
        <v>16781</v>
      </c>
      <c r="F56" s="1467">
        <v>3998</v>
      </c>
      <c r="G56" s="1469">
        <v>10094</v>
      </c>
      <c r="H56" s="1470" t="s">
        <v>296</v>
      </c>
      <c r="I56" s="1471"/>
      <c r="J56" s="1472"/>
      <c r="K56" s="1472"/>
      <c r="L56" s="1472"/>
      <c r="M56" s="1472"/>
      <c r="N56" s="1473"/>
      <c r="O56" s="1474"/>
      <c r="P56" s="1475"/>
    </row>
    <row r="57" spans="1:256" s="1464" customFormat="1" ht="18" customHeight="1" x14ac:dyDescent="0.35">
      <c r="A57" s="1452">
        <v>48</v>
      </c>
      <c r="B57" s="1498"/>
      <c r="C57" s="1499"/>
      <c r="D57" s="1500" t="s">
        <v>230</v>
      </c>
      <c r="E57" s="1501"/>
      <c r="F57" s="1501"/>
      <c r="G57" s="1502"/>
      <c r="H57" s="1503"/>
      <c r="I57" s="1504">
        <v>621</v>
      </c>
      <c r="J57" s="1505">
        <v>193</v>
      </c>
      <c r="K57" s="1505">
        <v>5758</v>
      </c>
      <c r="L57" s="1505"/>
      <c r="M57" s="1505"/>
      <c r="N57" s="1506"/>
      <c r="O57" s="1507">
        <f>SUM(I57:N57)</f>
        <v>6572</v>
      </c>
      <c r="P57" s="1508"/>
      <c r="Q57" s="1166"/>
      <c r="R57" s="1166"/>
      <c r="S57" s="1166"/>
      <c r="T57" s="1166"/>
      <c r="U57" s="1166"/>
      <c r="V57" s="1166"/>
      <c r="W57" s="1166"/>
      <c r="X57" s="1166"/>
      <c r="Y57" s="1166"/>
      <c r="Z57" s="1166"/>
      <c r="AA57" s="1166"/>
      <c r="AB57" s="1166"/>
      <c r="AC57" s="1166"/>
      <c r="AD57" s="1166"/>
      <c r="AE57" s="1166"/>
      <c r="AF57" s="1166"/>
      <c r="AG57" s="1166"/>
      <c r="AH57" s="1166"/>
      <c r="AI57" s="1166"/>
      <c r="AJ57" s="1166"/>
      <c r="AK57" s="1166"/>
      <c r="AL57" s="1166"/>
      <c r="AM57" s="1166"/>
      <c r="AN57" s="1166"/>
      <c r="AO57" s="1166"/>
      <c r="AP57" s="1166"/>
      <c r="AQ57" s="1166"/>
      <c r="AR57" s="1166"/>
      <c r="AS57" s="1166"/>
      <c r="AT57" s="1166"/>
      <c r="AU57" s="1166"/>
      <c r="AV57" s="1166"/>
      <c r="AW57" s="1166"/>
      <c r="AX57" s="1166"/>
      <c r="AY57" s="1166"/>
      <c r="AZ57" s="1166"/>
      <c r="BA57" s="1166"/>
      <c r="BB57" s="1166"/>
      <c r="BC57" s="1166"/>
      <c r="BD57" s="1166"/>
      <c r="BE57" s="1166"/>
      <c r="BF57" s="1166"/>
      <c r="BG57" s="1166"/>
      <c r="BH57" s="1166"/>
      <c r="BI57" s="1166"/>
      <c r="BJ57" s="1166"/>
      <c r="BK57" s="1166"/>
      <c r="BL57" s="1166"/>
      <c r="BM57" s="1166"/>
      <c r="BN57" s="1166"/>
      <c r="BO57" s="1166"/>
      <c r="BP57" s="1166"/>
      <c r="BQ57" s="1166"/>
      <c r="BR57" s="1166"/>
      <c r="BS57" s="1166"/>
      <c r="BT57" s="1166"/>
      <c r="BU57" s="1166"/>
      <c r="BV57" s="1166"/>
      <c r="BW57" s="1166"/>
      <c r="BX57" s="1166"/>
      <c r="BY57" s="1166"/>
      <c r="BZ57" s="1166"/>
      <c r="CA57" s="1166"/>
      <c r="CB57" s="1166"/>
      <c r="CC57" s="1166"/>
      <c r="CD57" s="1166"/>
      <c r="CE57" s="1166"/>
      <c r="CF57" s="1166"/>
      <c r="CG57" s="1166"/>
      <c r="CH57" s="1166"/>
      <c r="CI57" s="1166"/>
      <c r="CJ57" s="1166"/>
      <c r="CK57" s="1166"/>
      <c r="CL57" s="1166"/>
      <c r="CM57" s="1166"/>
      <c r="CN57" s="1166"/>
      <c r="CO57" s="1166"/>
      <c r="CP57" s="1166"/>
      <c r="CQ57" s="1166"/>
      <c r="CR57" s="1166"/>
      <c r="CS57" s="1166"/>
      <c r="CT57" s="1166"/>
      <c r="CU57" s="1166"/>
      <c r="CV57" s="1166"/>
      <c r="CW57" s="1166"/>
      <c r="CX57" s="1166"/>
      <c r="CY57" s="1166"/>
      <c r="CZ57" s="1166"/>
      <c r="DA57" s="1166"/>
      <c r="DB57" s="1166"/>
      <c r="DC57" s="1166"/>
      <c r="DD57" s="1166"/>
      <c r="DE57" s="1166"/>
      <c r="DF57" s="1166"/>
      <c r="DG57" s="1166"/>
      <c r="DH57" s="1166"/>
      <c r="DI57" s="1166"/>
      <c r="DJ57" s="1166"/>
      <c r="DK57" s="1166"/>
      <c r="DL57" s="1166"/>
      <c r="DM57" s="1166"/>
      <c r="DN57" s="1166"/>
      <c r="DO57" s="1166"/>
      <c r="DP57" s="1166"/>
      <c r="DQ57" s="1166"/>
      <c r="DR57" s="1166"/>
      <c r="DS57" s="1166"/>
      <c r="DT57" s="1166"/>
      <c r="DU57" s="1166"/>
      <c r="DV57" s="1166"/>
      <c r="DW57" s="1166"/>
      <c r="DX57" s="1166"/>
      <c r="DY57" s="1166"/>
      <c r="DZ57" s="1166"/>
      <c r="EA57" s="1166"/>
      <c r="EB57" s="1166"/>
      <c r="EC57" s="1166"/>
      <c r="ED57" s="1166"/>
      <c r="EE57" s="1166"/>
      <c r="EF57" s="1166"/>
      <c r="EG57" s="1166"/>
      <c r="EH57" s="1166"/>
      <c r="EI57" s="1166"/>
      <c r="EJ57" s="1166"/>
      <c r="EK57" s="1166"/>
      <c r="EL57" s="1166"/>
      <c r="EM57" s="1166"/>
      <c r="EN57" s="1166"/>
      <c r="EO57" s="1166"/>
      <c r="EP57" s="1166"/>
      <c r="EQ57" s="1166"/>
      <c r="ER57" s="1166"/>
      <c r="ES57" s="1166"/>
      <c r="ET57" s="1166"/>
      <c r="EU57" s="1166"/>
      <c r="EV57" s="1166"/>
      <c r="EW57" s="1166"/>
      <c r="EX57" s="1166"/>
      <c r="EY57" s="1166"/>
      <c r="EZ57" s="1166"/>
      <c r="FA57" s="1166"/>
      <c r="FB57" s="1166"/>
      <c r="FC57" s="1166"/>
      <c r="FD57" s="1166"/>
      <c r="FE57" s="1166"/>
      <c r="FF57" s="1166"/>
      <c r="FG57" s="1166"/>
      <c r="FH57" s="1166"/>
      <c r="FI57" s="1166"/>
      <c r="FJ57" s="1166"/>
      <c r="FK57" s="1166"/>
      <c r="FL57" s="1166"/>
      <c r="FM57" s="1166"/>
      <c r="FN57" s="1166"/>
      <c r="FO57" s="1166"/>
      <c r="FP57" s="1166"/>
      <c r="FQ57" s="1166"/>
      <c r="FR57" s="1166"/>
      <c r="FS57" s="1166"/>
      <c r="FT57" s="1166"/>
      <c r="FU57" s="1166"/>
      <c r="FV57" s="1166"/>
      <c r="FW57" s="1166"/>
      <c r="FX57" s="1166"/>
      <c r="FY57" s="1166"/>
      <c r="FZ57" s="1166"/>
      <c r="GA57" s="1166"/>
      <c r="GB57" s="1166"/>
      <c r="GC57" s="1166"/>
      <c r="GD57" s="1166"/>
      <c r="GE57" s="1166"/>
      <c r="GF57" s="1166"/>
      <c r="GG57" s="1166"/>
      <c r="GH57" s="1166"/>
      <c r="GI57" s="1166"/>
      <c r="GJ57" s="1166"/>
      <c r="GK57" s="1166"/>
      <c r="GL57" s="1166"/>
      <c r="GM57" s="1166"/>
      <c r="GN57" s="1166"/>
      <c r="GO57" s="1166"/>
      <c r="GP57" s="1166"/>
      <c r="GQ57" s="1166"/>
      <c r="GR57" s="1166"/>
      <c r="GS57" s="1166"/>
      <c r="GT57" s="1166"/>
      <c r="GU57" s="1166"/>
      <c r="GV57" s="1166"/>
      <c r="GW57" s="1166"/>
      <c r="GX57" s="1166"/>
      <c r="GY57" s="1166"/>
      <c r="GZ57" s="1166"/>
      <c r="HA57" s="1166"/>
      <c r="HB57" s="1166"/>
      <c r="HC57" s="1166"/>
      <c r="HD57" s="1166"/>
      <c r="HE57" s="1166"/>
      <c r="HF57" s="1166"/>
      <c r="HG57" s="1166"/>
      <c r="HH57" s="1166"/>
      <c r="HI57" s="1166"/>
      <c r="HJ57" s="1166"/>
      <c r="HK57" s="1166"/>
      <c r="HL57" s="1166"/>
      <c r="HM57" s="1166"/>
      <c r="HN57" s="1166"/>
      <c r="HO57" s="1166"/>
      <c r="HP57" s="1166"/>
      <c r="HQ57" s="1166"/>
      <c r="HR57" s="1166"/>
      <c r="HS57" s="1166"/>
      <c r="HT57" s="1166"/>
      <c r="HU57" s="1166"/>
      <c r="HV57" s="1166"/>
      <c r="HW57" s="1166"/>
      <c r="HX57" s="1166"/>
      <c r="HY57" s="1166"/>
      <c r="HZ57" s="1166"/>
      <c r="IA57" s="1166"/>
      <c r="IB57" s="1166"/>
      <c r="IC57" s="1166"/>
      <c r="ID57" s="1166"/>
      <c r="IE57" s="1166"/>
      <c r="IF57" s="1166"/>
      <c r="IG57" s="1166"/>
      <c r="IH57" s="1166"/>
      <c r="II57" s="1166"/>
      <c r="IJ57" s="1166"/>
      <c r="IK57" s="1166"/>
      <c r="IL57" s="1166"/>
      <c r="IM57" s="1166"/>
      <c r="IN57" s="1166"/>
      <c r="IO57" s="1166"/>
      <c r="IP57" s="1166"/>
      <c r="IQ57" s="1166"/>
      <c r="IR57" s="1166"/>
      <c r="IS57" s="1166"/>
      <c r="IT57" s="1166"/>
      <c r="IU57" s="1166"/>
      <c r="IV57" s="1166"/>
    </row>
    <row r="58" spans="1:256" s="1464" customFormat="1" ht="18" customHeight="1" x14ac:dyDescent="0.35">
      <c r="A58" s="1452">
        <v>49</v>
      </c>
      <c r="B58" s="1509"/>
      <c r="C58" s="1499"/>
      <c r="D58" s="1481" t="s">
        <v>231</v>
      </c>
      <c r="E58" s="1501"/>
      <c r="F58" s="1501"/>
      <c r="G58" s="1510"/>
      <c r="H58" s="1503"/>
      <c r="I58" s="1511">
        <v>621</v>
      </c>
      <c r="J58" s="1511">
        <v>193</v>
      </c>
      <c r="K58" s="1511">
        <v>1875</v>
      </c>
      <c r="L58" s="1511"/>
      <c r="M58" s="1511"/>
      <c r="N58" s="1512"/>
      <c r="O58" s="1289">
        <f>SUM(I58:N58)</f>
        <v>2689</v>
      </c>
      <c r="P58" s="1508"/>
      <c r="Q58" s="1166"/>
      <c r="R58" s="1166"/>
      <c r="S58" s="1166"/>
      <c r="T58" s="1166"/>
      <c r="U58" s="1166"/>
      <c r="V58" s="1166"/>
      <c r="W58" s="1166"/>
      <c r="X58" s="1166"/>
      <c r="Y58" s="1166"/>
      <c r="Z58" s="1166"/>
      <c r="AA58" s="1166"/>
      <c r="AB58" s="1166"/>
      <c r="AC58" s="1166"/>
      <c r="AD58" s="1166"/>
      <c r="AE58" s="1166"/>
      <c r="AF58" s="1166"/>
      <c r="AG58" s="1166"/>
      <c r="AH58" s="1166"/>
      <c r="AI58" s="1166"/>
      <c r="AJ58" s="1166"/>
      <c r="AK58" s="1166"/>
      <c r="AL58" s="1166"/>
      <c r="AM58" s="1166"/>
      <c r="AN58" s="1166"/>
      <c r="AO58" s="1166"/>
      <c r="AP58" s="1166"/>
      <c r="AQ58" s="1166"/>
      <c r="AR58" s="1166"/>
      <c r="AS58" s="1166"/>
      <c r="AT58" s="1166"/>
      <c r="AU58" s="1166"/>
      <c r="AV58" s="1166"/>
      <c r="AW58" s="1166"/>
      <c r="AX58" s="1166"/>
      <c r="AY58" s="1166"/>
      <c r="AZ58" s="1166"/>
      <c r="BA58" s="1166"/>
      <c r="BB58" s="1166"/>
      <c r="BC58" s="1166"/>
      <c r="BD58" s="1166"/>
      <c r="BE58" s="1166"/>
      <c r="BF58" s="1166"/>
      <c r="BG58" s="1166"/>
      <c r="BH58" s="1166"/>
      <c r="BI58" s="1166"/>
      <c r="BJ58" s="1166"/>
      <c r="BK58" s="1166"/>
      <c r="BL58" s="1166"/>
      <c r="BM58" s="1166"/>
      <c r="BN58" s="1166"/>
      <c r="BO58" s="1166"/>
      <c r="BP58" s="1166"/>
      <c r="BQ58" s="1166"/>
      <c r="BR58" s="1166"/>
      <c r="BS58" s="1166"/>
      <c r="BT58" s="1166"/>
      <c r="BU58" s="1166"/>
      <c r="BV58" s="1166"/>
      <c r="BW58" s="1166"/>
      <c r="BX58" s="1166"/>
      <c r="BY58" s="1166"/>
      <c r="BZ58" s="1166"/>
      <c r="CA58" s="1166"/>
      <c r="CB58" s="1166"/>
      <c r="CC58" s="1166"/>
      <c r="CD58" s="1166"/>
      <c r="CE58" s="1166"/>
      <c r="CF58" s="1166"/>
      <c r="CG58" s="1166"/>
      <c r="CH58" s="1166"/>
      <c r="CI58" s="1166"/>
      <c r="CJ58" s="1166"/>
      <c r="CK58" s="1166"/>
      <c r="CL58" s="1166"/>
      <c r="CM58" s="1166"/>
      <c r="CN58" s="1166"/>
      <c r="CO58" s="1166"/>
      <c r="CP58" s="1166"/>
      <c r="CQ58" s="1166"/>
      <c r="CR58" s="1166"/>
      <c r="CS58" s="1166"/>
      <c r="CT58" s="1166"/>
      <c r="CU58" s="1166"/>
      <c r="CV58" s="1166"/>
      <c r="CW58" s="1166"/>
      <c r="CX58" s="1166"/>
      <c r="CY58" s="1166"/>
      <c r="CZ58" s="1166"/>
      <c r="DA58" s="1166"/>
      <c r="DB58" s="1166"/>
      <c r="DC58" s="1166"/>
      <c r="DD58" s="1166"/>
      <c r="DE58" s="1166"/>
      <c r="DF58" s="1166"/>
      <c r="DG58" s="1166"/>
      <c r="DH58" s="1166"/>
      <c r="DI58" s="1166"/>
      <c r="DJ58" s="1166"/>
      <c r="DK58" s="1166"/>
      <c r="DL58" s="1166"/>
      <c r="DM58" s="1166"/>
      <c r="DN58" s="1166"/>
      <c r="DO58" s="1166"/>
      <c r="DP58" s="1166"/>
      <c r="DQ58" s="1166"/>
      <c r="DR58" s="1166"/>
      <c r="DS58" s="1166"/>
      <c r="DT58" s="1166"/>
      <c r="DU58" s="1166"/>
      <c r="DV58" s="1166"/>
      <c r="DW58" s="1166"/>
      <c r="DX58" s="1166"/>
      <c r="DY58" s="1166"/>
      <c r="DZ58" s="1166"/>
      <c r="EA58" s="1166"/>
      <c r="EB58" s="1166"/>
      <c r="EC58" s="1166"/>
      <c r="ED58" s="1166"/>
      <c r="EE58" s="1166"/>
      <c r="EF58" s="1166"/>
      <c r="EG58" s="1166"/>
      <c r="EH58" s="1166"/>
      <c r="EI58" s="1166"/>
      <c r="EJ58" s="1166"/>
      <c r="EK58" s="1166"/>
      <c r="EL58" s="1166"/>
      <c r="EM58" s="1166"/>
      <c r="EN58" s="1166"/>
      <c r="EO58" s="1166"/>
      <c r="EP58" s="1166"/>
      <c r="EQ58" s="1166"/>
      <c r="ER58" s="1166"/>
      <c r="ES58" s="1166"/>
      <c r="ET58" s="1166"/>
      <c r="EU58" s="1166"/>
      <c r="EV58" s="1166"/>
      <c r="EW58" s="1166"/>
      <c r="EX58" s="1166"/>
      <c r="EY58" s="1166"/>
      <c r="EZ58" s="1166"/>
      <c r="FA58" s="1166"/>
      <c r="FB58" s="1166"/>
      <c r="FC58" s="1166"/>
      <c r="FD58" s="1166"/>
      <c r="FE58" s="1166"/>
      <c r="FF58" s="1166"/>
      <c r="FG58" s="1166"/>
      <c r="FH58" s="1166"/>
      <c r="FI58" s="1166"/>
      <c r="FJ58" s="1166"/>
      <c r="FK58" s="1166"/>
      <c r="FL58" s="1166"/>
      <c r="FM58" s="1166"/>
      <c r="FN58" s="1166"/>
      <c r="FO58" s="1166"/>
      <c r="FP58" s="1166"/>
      <c r="FQ58" s="1166"/>
      <c r="FR58" s="1166"/>
      <c r="FS58" s="1166"/>
      <c r="FT58" s="1166"/>
      <c r="FU58" s="1166"/>
      <c r="FV58" s="1166"/>
      <c r="FW58" s="1166"/>
      <c r="FX58" s="1166"/>
      <c r="FY58" s="1166"/>
      <c r="FZ58" s="1166"/>
      <c r="GA58" s="1166"/>
      <c r="GB58" s="1166"/>
      <c r="GC58" s="1166"/>
      <c r="GD58" s="1166"/>
      <c r="GE58" s="1166"/>
      <c r="GF58" s="1166"/>
      <c r="GG58" s="1166"/>
      <c r="GH58" s="1166"/>
      <c r="GI58" s="1166"/>
      <c r="GJ58" s="1166"/>
      <c r="GK58" s="1166"/>
      <c r="GL58" s="1166"/>
      <c r="GM58" s="1166"/>
      <c r="GN58" s="1166"/>
      <c r="GO58" s="1166"/>
      <c r="GP58" s="1166"/>
      <c r="GQ58" s="1166"/>
      <c r="GR58" s="1166"/>
      <c r="GS58" s="1166"/>
      <c r="GT58" s="1166"/>
      <c r="GU58" s="1166"/>
      <c r="GV58" s="1166"/>
      <c r="GW58" s="1166"/>
      <c r="GX58" s="1166"/>
      <c r="GY58" s="1166"/>
      <c r="GZ58" s="1166"/>
      <c r="HA58" s="1166"/>
      <c r="HB58" s="1166"/>
      <c r="HC58" s="1166"/>
      <c r="HD58" s="1166"/>
      <c r="HE58" s="1166"/>
      <c r="HF58" s="1166"/>
      <c r="HG58" s="1166"/>
      <c r="HH58" s="1166"/>
      <c r="HI58" s="1166"/>
      <c r="HJ58" s="1166"/>
      <c r="HK58" s="1166"/>
      <c r="HL58" s="1166"/>
      <c r="HM58" s="1166"/>
      <c r="HN58" s="1166"/>
      <c r="HO58" s="1166"/>
      <c r="HP58" s="1166"/>
      <c r="HQ58" s="1166"/>
      <c r="HR58" s="1166"/>
      <c r="HS58" s="1166"/>
      <c r="HT58" s="1166"/>
      <c r="HU58" s="1166"/>
      <c r="HV58" s="1166"/>
      <c r="HW58" s="1166"/>
      <c r="HX58" s="1166"/>
      <c r="HY58" s="1166"/>
      <c r="HZ58" s="1166"/>
      <c r="IA58" s="1166"/>
      <c r="IB58" s="1166"/>
      <c r="IC58" s="1166"/>
      <c r="ID58" s="1166"/>
      <c r="IE58" s="1166"/>
      <c r="IF58" s="1166"/>
      <c r="IG58" s="1166"/>
      <c r="IH58" s="1166"/>
      <c r="II58" s="1166"/>
      <c r="IJ58" s="1166"/>
      <c r="IK58" s="1166"/>
      <c r="IL58" s="1166"/>
      <c r="IM58" s="1166"/>
      <c r="IN58" s="1166"/>
      <c r="IO58" s="1166"/>
      <c r="IP58" s="1166"/>
      <c r="IQ58" s="1166"/>
      <c r="IR58" s="1166"/>
      <c r="IS58" s="1166"/>
      <c r="IT58" s="1166"/>
      <c r="IU58" s="1166"/>
      <c r="IV58" s="1166"/>
    </row>
    <row r="59" spans="1:256" s="1464" customFormat="1" ht="18" customHeight="1" x14ac:dyDescent="0.35">
      <c r="A59" s="1452">
        <v>50</v>
      </c>
      <c r="B59" s="1509"/>
      <c r="C59" s="1499"/>
      <c r="D59" s="1484" t="s">
        <v>232</v>
      </c>
      <c r="E59" s="1501"/>
      <c r="F59" s="1501"/>
      <c r="G59" s="1510"/>
      <c r="H59" s="1503"/>
      <c r="I59" s="1504"/>
      <c r="J59" s="1504"/>
      <c r="K59" s="1513"/>
      <c r="L59" s="1504"/>
      <c r="M59" s="1504"/>
      <c r="N59" s="1514"/>
      <c r="O59" s="1217">
        <f>SUM(I59:N59)</f>
        <v>0</v>
      </c>
      <c r="P59" s="1508"/>
      <c r="Q59" s="1166"/>
      <c r="R59" s="1166"/>
      <c r="S59" s="1166"/>
      <c r="T59" s="1166"/>
      <c r="U59" s="1166"/>
      <c r="V59" s="1166"/>
      <c r="W59" s="1166"/>
      <c r="X59" s="1166"/>
      <c r="Y59" s="1166"/>
      <c r="Z59" s="1166"/>
      <c r="AA59" s="1166"/>
      <c r="AB59" s="1166"/>
      <c r="AC59" s="1166"/>
      <c r="AD59" s="1166"/>
      <c r="AE59" s="1166"/>
      <c r="AF59" s="1166"/>
      <c r="AG59" s="1166"/>
      <c r="AH59" s="1166"/>
      <c r="AI59" s="1166"/>
      <c r="AJ59" s="1166"/>
      <c r="AK59" s="1166"/>
      <c r="AL59" s="1166"/>
      <c r="AM59" s="1166"/>
      <c r="AN59" s="1166"/>
      <c r="AO59" s="1166"/>
      <c r="AP59" s="1166"/>
      <c r="AQ59" s="1166"/>
      <c r="AR59" s="1166"/>
      <c r="AS59" s="1166"/>
      <c r="AT59" s="1166"/>
      <c r="AU59" s="1166"/>
      <c r="AV59" s="1166"/>
      <c r="AW59" s="1166"/>
      <c r="AX59" s="1166"/>
      <c r="AY59" s="1166"/>
      <c r="AZ59" s="1166"/>
      <c r="BA59" s="1166"/>
      <c r="BB59" s="1166"/>
      <c r="BC59" s="1166"/>
      <c r="BD59" s="1166"/>
      <c r="BE59" s="1166"/>
      <c r="BF59" s="1166"/>
      <c r="BG59" s="1166"/>
      <c r="BH59" s="1166"/>
      <c r="BI59" s="1166"/>
      <c r="BJ59" s="1166"/>
      <c r="BK59" s="1166"/>
      <c r="BL59" s="1166"/>
      <c r="BM59" s="1166"/>
      <c r="BN59" s="1166"/>
      <c r="BO59" s="1166"/>
      <c r="BP59" s="1166"/>
      <c r="BQ59" s="1166"/>
      <c r="BR59" s="1166"/>
      <c r="BS59" s="1166"/>
      <c r="BT59" s="1166"/>
      <c r="BU59" s="1166"/>
      <c r="BV59" s="1166"/>
      <c r="BW59" s="1166"/>
      <c r="BX59" s="1166"/>
      <c r="BY59" s="1166"/>
      <c r="BZ59" s="1166"/>
      <c r="CA59" s="1166"/>
      <c r="CB59" s="1166"/>
      <c r="CC59" s="1166"/>
      <c r="CD59" s="1166"/>
      <c r="CE59" s="1166"/>
      <c r="CF59" s="1166"/>
      <c r="CG59" s="1166"/>
      <c r="CH59" s="1166"/>
      <c r="CI59" s="1166"/>
      <c r="CJ59" s="1166"/>
      <c r="CK59" s="1166"/>
      <c r="CL59" s="1166"/>
      <c r="CM59" s="1166"/>
      <c r="CN59" s="1166"/>
      <c r="CO59" s="1166"/>
      <c r="CP59" s="1166"/>
      <c r="CQ59" s="1166"/>
      <c r="CR59" s="1166"/>
      <c r="CS59" s="1166"/>
      <c r="CT59" s="1166"/>
      <c r="CU59" s="1166"/>
      <c r="CV59" s="1166"/>
      <c r="CW59" s="1166"/>
      <c r="CX59" s="1166"/>
      <c r="CY59" s="1166"/>
      <c r="CZ59" s="1166"/>
      <c r="DA59" s="1166"/>
      <c r="DB59" s="1166"/>
      <c r="DC59" s="1166"/>
      <c r="DD59" s="1166"/>
      <c r="DE59" s="1166"/>
      <c r="DF59" s="1166"/>
      <c r="DG59" s="1166"/>
      <c r="DH59" s="1166"/>
      <c r="DI59" s="1166"/>
      <c r="DJ59" s="1166"/>
      <c r="DK59" s="1166"/>
      <c r="DL59" s="1166"/>
      <c r="DM59" s="1166"/>
      <c r="DN59" s="1166"/>
      <c r="DO59" s="1166"/>
      <c r="DP59" s="1166"/>
      <c r="DQ59" s="1166"/>
      <c r="DR59" s="1166"/>
      <c r="DS59" s="1166"/>
      <c r="DT59" s="1166"/>
      <c r="DU59" s="1166"/>
      <c r="DV59" s="1166"/>
      <c r="DW59" s="1166"/>
      <c r="DX59" s="1166"/>
      <c r="DY59" s="1166"/>
      <c r="DZ59" s="1166"/>
      <c r="EA59" s="1166"/>
      <c r="EB59" s="1166"/>
      <c r="EC59" s="1166"/>
      <c r="ED59" s="1166"/>
      <c r="EE59" s="1166"/>
      <c r="EF59" s="1166"/>
      <c r="EG59" s="1166"/>
      <c r="EH59" s="1166"/>
      <c r="EI59" s="1166"/>
      <c r="EJ59" s="1166"/>
      <c r="EK59" s="1166"/>
      <c r="EL59" s="1166"/>
      <c r="EM59" s="1166"/>
      <c r="EN59" s="1166"/>
      <c r="EO59" s="1166"/>
      <c r="EP59" s="1166"/>
      <c r="EQ59" s="1166"/>
      <c r="ER59" s="1166"/>
      <c r="ES59" s="1166"/>
      <c r="ET59" s="1166"/>
      <c r="EU59" s="1166"/>
      <c r="EV59" s="1166"/>
      <c r="EW59" s="1166"/>
      <c r="EX59" s="1166"/>
      <c r="EY59" s="1166"/>
      <c r="EZ59" s="1166"/>
      <c r="FA59" s="1166"/>
      <c r="FB59" s="1166"/>
      <c r="FC59" s="1166"/>
      <c r="FD59" s="1166"/>
      <c r="FE59" s="1166"/>
      <c r="FF59" s="1166"/>
      <c r="FG59" s="1166"/>
      <c r="FH59" s="1166"/>
      <c r="FI59" s="1166"/>
      <c r="FJ59" s="1166"/>
      <c r="FK59" s="1166"/>
      <c r="FL59" s="1166"/>
      <c r="FM59" s="1166"/>
      <c r="FN59" s="1166"/>
      <c r="FO59" s="1166"/>
      <c r="FP59" s="1166"/>
      <c r="FQ59" s="1166"/>
      <c r="FR59" s="1166"/>
      <c r="FS59" s="1166"/>
      <c r="FT59" s="1166"/>
      <c r="FU59" s="1166"/>
      <c r="FV59" s="1166"/>
      <c r="FW59" s="1166"/>
      <c r="FX59" s="1166"/>
      <c r="FY59" s="1166"/>
      <c r="FZ59" s="1166"/>
      <c r="GA59" s="1166"/>
      <c r="GB59" s="1166"/>
      <c r="GC59" s="1166"/>
      <c r="GD59" s="1166"/>
      <c r="GE59" s="1166"/>
      <c r="GF59" s="1166"/>
      <c r="GG59" s="1166"/>
      <c r="GH59" s="1166"/>
      <c r="GI59" s="1166"/>
      <c r="GJ59" s="1166"/>
      <c r="GK59" s="1166"/>
      <c r="GL59" s="1166"/>
      <c r="GM59" s="1166"/>
      <c r="GN59" s="1166"/>
      <c r="GO59" s="1166"/>
      <c r="GP59" s="1166"/>
      <c r="GQ59" s="1166"/>
      <c r="GR59" s="1166"/>
      <c r="GS59" s="1166"/>
      <c r="GT59" s="1166"/>
      <c r="GU59" s="1166"/>
      <c r="GV59" s="1166"/>
      <c r="GW59" s="1166"/>
      <c r="GX59" s="1166"/>
      <c r="GY59" s="1166"/>
      <c r="GZ59" s="1166"/>
      <c r="HA59" s="1166"/>
      <c r="HB59" s="1166"/>
      <c r="HC59" s="1166"/>
      <c r="HD59" s="1166"/>
      <c r="HE59" s="1166"/>
      <c r="HF59" s="1166"/>
      <c r="HG59" s="1166"/>
      <c r="HH59" s="1166"/>
      <c r="HI59" s="1166"/>
      <c r="HJ59" s="1166"/>
      <c r="HK59" s="1166"/>
      <c r="HL59" s="1166"/>
      <c r="HM59" s="1166"/>
      <c r="HN59" s="1166"/>
      <c r="HO59" s="1166"/>
      <c r="HP59" s="1166"/>
      <c r="HQ59" s="1166"/>
      <c r="HR59" s="1166"/>
      <c r="HS59" s="1166"/>
      <c r="HT59" s="1166"/>
      <c r="HU59" s="1166"/>
      <c r="HV59" s="1166"/>
      <c r="HW59" s="1166"/>
      <c r="HX59" s="1166"/>
      <c r="HY59" s="1166"/>
      <c r="HZ59" s="1166"/>
      <c r="IA59" s="1166"/>
      <c r="IB59" s="1166"/>
      <c r="IC59" s="1166"/>
      <c r="ID59" s="1166"/>
      <c r="IE59" s="1166"/>
      <c r="IF59" s="1166"/>
      <c r="IG59" s="1166"/>
      <c r="IH59" s="1166"/>
      <c r="II59" s="1166"/>
      <c r="IJ59" s="1166"/>
      <c r="IK59" s="1166"/>
      <c r="IL59" s="1166"/>
      <c r="IM59" s="1166"/>
      <c r="IN59" s="1166"/>
      <c r="IO59" s="1166"/>
      <c r="IP59" s="1166"/>
      <c r="IQ59" s="1166"/>
      <c r="IR59" s="1166"/>
      <c r="IS59" s="1166"/>
      <c r="IT59" s="1166"/>
      <c r="IU59" s="1166"/>
      <c r="IV59" s="1166"/>
    </row>
    <row r="60" spans="1:256" s="1464" customFormat="1" ht="18" customHeight="1" x14ac:dyDescent="0.35">
      <c r="A60" s="1452">
        <v>51</v>
      </c>
      <c r="B60" s="1509"/>
      <c r="C60" s="1499"/>
      <c r="D60" s="1481" t="s">
        <v>233</v>
      </c>
      <c r="E60" s="1501"/>
      <c r="F60" s="1501"/>
      <c r="G60" s="1510"/>
      <c r="H60" s="1503"/>
      <c r="I60" s="1511">
        <f>SUM(I58:I59)</f>
        <v>621</v>
      </c>
      <c r="J60" s="1511">
        <f>SUM(J58:J59)</f>
        <v>193</v>
      </c>
      <c r="K60" s="1511">
        <f>SUM(K58:K59)</f>
        <v>1875</v>
      </c>
      <c r="L60" s="1504"/>
      <c r="M60" s="1504"/>
      <c r="N60" s="1514"/>
      <c r="O60" s="1222">
        <f>SUM(I60:N60)</f>
        <v>2689</v>
      </c>
      <c r="P60" s="1508"/>
      <c r="Q60" s="1166"/>
      <c r="R60" s="1166"/>
      <c r="S60" s="1166"/>
      <c r="T60" s="1166"/>
      <c r="U60" s="1166"/>
      <c r="V60" s="1166"/>
      <c r="W60" s="1166"/>
      <c r="X60" s="1166"/>
      <c r="Y60" s="1166"/>
      <c r="Z60" s="1166"/>
      <c r="AA60" s="1166"/>
      <c r="AB60" s="1166"/>
      <c r="AC60" s="1166"/>
      <c r="AD60" s="1166"/>
      <c r="AE60" s="1166"/>
      <c r="AF60" s="1166"/>
      <c r="AG60" s="1166"/>
      <c r="AH60" s="1166"/>
      <c r="AI60" s="1166"/>
      <c r="AJ60" s="1166"/>
      <c r="AK60" s="1166"/>
      <c r="AL60" s="1166"/>
      <c r="AM60" s="1166"/>
      <c r="AN60" s="1166"/>
      <c r="AO60" s="1166"/>
      <c r="AP60" s="1166"/>
      <c r="AQ60" s="1166"/>
      <c r="AR60" s="1166"/>
      <c r="AS60" s="1166"/>
      <c r="AT60" s="1166"/>
      <c r="AU60" s="1166"/>
      <c r="AV60" s="1166"/>
      <c r="AW60" s="1166"/>
      <c r="AX60" s="1166"/>
      <c r="AY60" s="1166"/>
      <c r="AZ60" s="1166"/>
      <c r="BA60" s="1166"/>
      <c r="BB60" s="1166"/>
      <c r="BC60" s="1166"/>
      <c r="BD60" s="1166"/>
      <c r="BE60" s="1166"/>
      <c r="BF60" s="1166"/>
      <c r="BG60" s="1166"/>
      <c r="BH60" s="1166"/>
      <c r="BI60" s="1166"/>
      <c r="BJ60" s="1166"/>
      <c r="BK60" s="1166"/>
      <c r="BL60" s="1166"/>
      <c r="BM60" s="1166"/>
      <c r="BN60" s="1166"/>
      <c r="BO60" s="1166"/>
      <c r="BP60" s="1166"/>
      <c r="BQ60" s="1166"/>
      <c r="BR60" s="1166"/>
      <c r="BS60" s="1166"/>
      <c r="BT60" s="1166"/>
      <c r="BU60" s="1166"/>
      <c r="BV60" s="1166"/>
      <c r="BW60" s="1166"/>
      <c r="BX60" s="1166"/>
      <c r="BY60" s="1166"/>
      <c r="BZ60" s="1166"/>
      <c r="CA60" s="1166"/>
      <c r="CB60" s="1166"/>
      <c r="CC60" s="1166"/>
      <c r="CD60" s="1166"/>
      <c r="CE60" s="1166"/>
      <c r="CF60" s="1166"/>
      <c r="CG60" s="1166"/>
      <c r="CH60" s="1166"/>
      <c r="CI60" s="1166"/>
      <c r="CJ60" s="1166"/>
      <c r="CK60" s="1166"/>
      <c r="CL60" s="1166"/>
      <c r="CM60" s="1166"/>
      <c r="CN60" s="1166"/>
      <c r="CO60" s="1166"/>
      <c r="CP60" s="1166"/>
      <c r="CQ60" s="1166"/>
      <c r="CR60" s="1166"/>
      <c r="CS60" s="1166"/>
      <c r="CT60" s="1166"/>
      <c r="CU60" s="1166"/>
      <c r="CV60" s="1166"/>
      <c r="CW60" s="1166"/>
      <c r="CX60" s="1166"/>
      <c r="CY60" s="1166"/>
      <c r="CZ60" s="1166"/>
      <c r="DA60" s="1166"/>
      <c r="DB60" s="1166"/>
      <c r="DC60" s="1166"/>
      <c r="DD60" s="1166"/>
      <c r="DE60" s="1166"/>
      <c r="DF60" s="1166"/>
      <c r="DG60" s="1166"/>
      <c r="DH60" s="1166"/>
      <c r="DI60" s="1166"/>
      <c r="DJ60" s="1166"/>
      <c r="DK60" s="1166"/>
      <c r="DL60" s="1166"/>
      <c r="DM60" s="1166"/>
      <c r="DN60" s="1166"/>
      <c r="DO60" s="1166"/>
      <c r="DP60" s="1166"/>
      <c r="DQ60" s="1166"/>
      <c r="DR60" s="1166"/>
      <c r="DS60" s="1166"/>
      <c r="DT60" s="1166"/>
      <c r="DU60" s="1166"/>
      <c r="DV60" s="1166"/>
      <c r="DW60" s="1166"/>
      <c r="DX60" s="1166"/>
      <c r="DY60" s="1166"/>
      <c r="DZ60" s="1166"/>
      <c r="EA60" s="1166"/>
      <c r="EB60" s="1166"/>
      <c r="EC60" s="1166"/>
      <c r="ED60" s="1166"/>
      <c r="EE60" s="1166"/>
      <c r="EF60" s="1166"/>
      <c r="EG60" s="1166"/>
      <c r="EH60" s="1166"/>
      <c r="EI60" s="1166"/>
      <c r="EJ60" s="1166"/>
      <c r="EK60" s="1166"/>
      <c r="EL60" s="1166"/>
      <c r="EM60" s="1166"/>
      <c r="EN60" s="1166"/>
      <c r="EO60" s="1166"/>
      <c r="EP60" s="1166"/>
      <c r="EQ60" s="1166"/>
      <c r="ER60" s="1166"/>
      <c r="ES60" s="1166"/>
      <c r="ET60" s="1166"/>
      <c r="EU60" s="1166"/>
      <c r="EV60" s="1166"/>
      <c r="EW60" s="1166"/>
      <c r="EX60" s="1166"/>
      <c r="EY60" s="1166"/>
      <c r="EZ60" s="1166"/>
      <c r="FA60" s="1166"/>
      <c r="FB60" s="1166"/>
      <c r="FC60" s="1166"/>
      <c r="FD60" s="1166"/>
      <c r="FE60" s="1166"/>
      <c r="FF60" s="1166"/>
      <c r="FG60" s="1166"/>
      <c r="FH60" s="1166"/>
      <c r="FI60" s="1166"/>
      <c r="FJ60" s="1166"/>
      <c r="FK60" s="1166"/>
      <c r="FL60" s="1166"/>
      <c r="FM60" s="1166"/>
      <c r="FN60" s="1166"/>
      <c r="FO60" s="1166"/>
      <c r="FP60" s="1166"/>
      <c r="FQ60" s="1166"/>
      <c r="FR60" s="1166"/>
      <c r="FS60" s="1166"/>
      <c r="FT60" s="1166"/>
      <c r="FU60" s="1166"/>
      <c r="FV60" s="1166"/>
      <c r="FW60" s="1166"/>
      <c r="FX60" s="1166"/>
      <c r="FY60" s="1166"/>
      <c r="FZ60" s="1166"/>
      <c r="GA60" s="1166"/>
      <c r="GB60" s="1166"/>
      <c r="GC60" s="1166"/>
      <c r="GD60" s="1166"/>
      <c r="GE60" s="1166"/>
      <c r="GF60" s="1166"/>
      <c r="GG60" s="1166"/>
      <c r="GH60" s="1166"/>
      <c r="GI60" s="1166"/>
      <c r="GJ60" s="1166"/>
      <c r="GK60" s="1166"/>
      <c r="GL60" s="1166"/>
      <c r="GM60" s="1166"/>
      <c r="GN60" s="1166"/>
      <c r="GO60" s="1166"/>
      <c r="GP60" s="1166"/>
      <c r="GQ60" s="1166"/>
      <c r="GR60" s="1166"/>
      <c r="GS60" s="1166"/>
      <c r="GT60" s="1166"/>
      <c r="GU60" s="1166"/>
      <c r="GV60" s="1166"/>
      <c r="GW60" s="1166"/>
      <c r="GX60" s="1166"/>
      <c r="GY60" s="1166"/>
      <c r="GZ60" s="1166"/>
      <c r="HA60" s="1166"/>
      <c r="HB60" s="1166"/>
      <c r="HC60" s="1166"/>
      <c r="HD60" s="1166"/>
      <c r="HE60" s="1166"/>
      <c r="HF60" s="1166"/>
      <c r="HG60" s="1166"/>
      <c r="HH60" s="1166"/>
      <c r="HI60" s="1166"/>
      <c r="HJ60" s="1166"/>
      <c r="HK60" s="1166"/>
      <c r="HL60" s="1166"/>
      <c r="HM60" s="1166"/>
      <c r="HN60" s="1166"/>
      <c r="HO60" s="1166"/>
      <c r="HP60" s="1166"/>
      <c r="HQ60" s="1166"/>
      <c r="HR60" s="1166"/>
      <c r="HS60" s="1166"/>
      <c r="HT60" s="1166"/>
      <c r="HU60" s="1166"/>
      <c r="HV60" s="1166"/>
      <c r="HW60" s="1166"/>
      <c r="HX60" s="1166"/>
      <c r="HY60" s="1166"/>
      <c r="HZ60" s="1166"/>
      <c r="IA60" s="1166"/>
      <c r="IB60" s="1166"/>
      <c r="IC60" s="1166"/>
      <c r="ID60" s="1166"/>
      <c r="IE60" s="1166"/>
      <c r="IF60" s="1166"/>
      <c r="IG60" s="1166"/>
      <c r="IH60" s="1166"/>
      <c r="II60" s="1166"/>
      <c r="IJ60" s="1166"/>
      <c r="IK60" s="1166"/>
      <c r="IL60" s="1166"/>
      <c r="IM60" s="1166"/>
      <c r="IN60" s="1166"/>
      <c r="IO60" s="1166"/>
      <c r="IP60" s="1166"/>
      <c r="IQ60" s="1166"/>
      <c r="IR60" s="1166"/>
      <c r="IS60" s="1166"/>
      <c r="IT60" s="1166"/>
      <c r="IU60" s="1166"/>
      <c r="IV60" s="1166"/>
    </row>
    <row r="61" spans="1:256" s="1464" customFormat="1" ht="46.5" customHeight="1" x14ac:dyDescent="0.35">
      <c r="A61" s="1452">
        <v>52</v>
      </c>
      <c r="B61" s="1509"/>
      <c r="C61" s="1499">
        <v>16</v>
      </c>
      <c r="D61" s="1188" t="s">
        <v>978</v>
      </c>
      <c r="E61" s="1467">
        <f>F61+G61+O65+P62+329+3000</f>
        <v>27010</v>
      </c>
      <c r="F61" s="1501"/>
      <c r="G61" s="1515">
        <v>3451</v>
      </c>
      <c r="H61" s="1516" t="s">
        <v>296</v>
      </c>
      <c r="I61" s="1504"/>
      <c r="J61" s="1504"/>
      <c r="K61" s="1504"/>
      <c r="L61" s="1504"/>
      <c r="M61" s="1504"/>
      <c r="N61" s="1514"/>
      <c r="O61" s="1507"/>
      <c r="P61" s="1508"/>
      <c r="Q61" s="1166"/>
      <c r="R61" s="1166"/>
      <c r="S61" s="1166"/>
      <c r="T61" s="1166"/>
      <c r="U61" s="1166"/>
      <c r="V61" s="1166"/>
      <c r="W61" s="1166"/>
      <c r="X61" s="1166"/>
      <c r="Y61" s="1166"/>
      <c r="Z61" s="1166"/>
      <c r="AA61" s="1166"/>
      <c r="AB61" s="1166"/>
      <c r="AC61" s="1166"/>
      <c r="AD61" s="1166"/>
      <c r="AE61" s="1166"/>
      <c r="AF61" s="1166"/>
      <c r="AG61" s="1166"/>
      <c r="AH61" s="1166"/>
      <c r="AI61" s="1166"/>
      <c r="AJ61" s="1166"/>
      <c r="AK61" s="1166"/>
      <c r="AL61" s="1166"/>
      <c r="AM61" s="1166"/>
      <c r="AN61" s="1166"/>
      <c r="AO61" s="1166"/>
      <c r="AP61" s="1166"/>
      <c r="AQ61" s="1166"/>
      <c r="AR61" s="1166"/>
      <c r="AS61" s="1166"/>
      <c r="AT61" s="1166"/>
      <c r="AU61" s="1166"/>
      <c r="AV61" s="1166"/>
      <c r="AW61" s="1166"/>
      <c r="AX61" s="1166"/>
      <c r="AY61" s="1166"/>
      <c r="AZ61" s="1166"/>
      <c r="BA61" s="1166"/>
      <c r="BB61" s="1166"/>
      <c r="BC61" s="1166"/>
      <c r="BD61" s="1166"/>
      <c r="BE61" s="1166"/>
      <c r="BF61" s="1166"/>
      <c r="BG61" s="1166"/>
      <c r="BH61" s="1166"/>
      <c r="BI61" s="1166"/>
      <c r="BJ61" s="1166"/>
      <c r="BK61" s="1166"/>
      <c r="BL61" s="1166"/>
      <c r="BM61" s="1166"/>
      <c r="BN61" s="1166"/>
      <c r="BO61" s="1166"/>
      <c r="BP61" s="1166"/>
      <c r="BQ61" s="1166"/>
      <c r="BR61" s="1166"/>
      <c r="BS61" s="1166"/>
      <c r="BT61" s="1166"/>
      <c r="BU61" s="1166"/>
      <c r="BV61" s="1166"/>
      <c r="BW61" s="1166"/>
      <c r="BX61" s="1166"/>
      <c r="BY61" s="1166"/>
      <c r="BZ61" s="1166"/>
      <c r="CA61" s="1166"/>
      <c r="CB61" s="1166"/>
      <c r="CC61" s="1166"/>
      <c r="CD61" s="1166"/>
      <c r="CE61" s="1166"/>
      <c r="CF61" s="1166"/>
      <c r="CG61" s="1166"/>
      <c r="CH61" s="1166"/>
      <c r="CI61" s="1166"/>
      <c r="CJ61" s="1166"/>
      <c r="CK61" s="1166"/>
      <c r="CL61" s="1166"/>
      <c r="CM61" s="1166"/>
      <c r="CN61" s="1166"/>
      <c r="CO61" s="1166"/>
      <c r="CP61" s="1166"/>
      <c r="CQ61" s="1166"/>
      <c r="CR61" s="1166"/>
      <c r="CS61" s="1166"/>
      <c r="CT61" s="1166"/>
      <c r="CU61" s="1166"/>
      <c r="CV61" s="1166"/>
      <c r="CW61" s="1166"/>
      <c r="CX61" s="1166"/>
      <c r="CY61" s="1166"/>
      <c r="CZ61" s="1166"/>
      <c r="DA61" s="1166"/>
      <c r="DB61" s="1166"/>
      <c r="DC61" s="1166"/>
      <c r="DD61" s="1166"/>
      <c r="DE61" s="1166"/>
      <c r="DF61" s="1166"/>
      <c r="DG61" s="1166"/>
      <c r="DH61" s="1166"/>
      <c r="DI61" s="1166"/>
      <c r="DJ61" s="1166"/>
      <c r="DK61" s="1166"/>
      <c r="DL61" s="1166"/>
      <c r="DM61" s="1166"/>
      <c r="DN61" s="1166"/>
      <c r="DO61" s="1166"/>
      <c r="DP61" s="1166"/>
      <c r="DQ61" s="1166"/>
      <c r="DR61" s="1166"/>
      <c r="DS61" s="1166"/>
      <c r="DT61" s="1166"/>
      <c r="DU61" s="1166"/>
      <c r="DV61" s="1166"/>
      <c r="DW61" s="1166"/>
      <c r="DX61" s="1166"/>
      <c r="DY61" s="1166"/>
      <c r="DZ61" s="1166"/>
      <c r="EA61" s="1166"/>
      <c r="EB61" s="1166"/>
      <c r="EC61" s="1166"/>
      <c r="ED61" s="1166"/>
      <c r="EE61" s="1166"/>
      <c r="EF61" s="1166"/>
      <c r="EG61" s="1166"/>
      <c r="EH61" s="1166"/>
      <c r="EI61" s="1166"/>
      <c r="EJ61" s="1166"/>
      <c r="EK61" s="1166"/>
      <c r="EL61" s="1166"/>
      <c r="EM61" s="1166"/>
      <c r="EN61" s="1166"/>
      <c r="EO61" s="1166"/>
      <c r="EP61" s="1166"/>
      <c r="EQ61" s="1166"/>
      <c r="ER61" s="1166"/>
      <c r="ES61" s="1166"/>
      <c r="ET61" s="1166"/>
      <c r="EU61" s="1166"/>
      <c r="EV61" s="1166"/>
      <c r="EW61" s="1166"/>
      <c r="EX61" s="1166"/>
      <c r="EY61" s="1166"/>
      <c r="EZ61" s="1166"/>
      <c r="FA61" s="1166"/>
      <c r="FB61" s="1166"/>
      <c r="FC61" s="1166"/>
      <c r="FD61" s="1166"/>
      <c r="FE61" s="1166"/>
      <c r="FF61" s="1166"/>
      <c r="FG61" s="1166"/>
      <c r="FH61" s="1166"/>
      <c r="FI61" s="1166"/>
      <c r="FJ61" s="1166"/>
      <c r="FK61" s="1166"/>
      <c r="FL61" s="1166"/>
      <c r="FM61" s="1166"/>
      <c r="FN61" s="1166"/>
      <c r="FO61" s="1166"/>
      <c r="FP61" s="1166"/>
      <c r="FQ61" s="1166"/>
      <c r="FR61" s="1166"/>
      <c r="FS61" s="1166"/>
      <c r="FT61" s="1166"/>
      <c r="FU61" s="1166"/>
      <c r="FV61" s="1166"/>
      <c r="FW61" s="1166"/>
      <c r="FX61" s="1166"/>
      <c r="FY61" s="1166"/>
      <c r="FZ61" s="1166"/>
      <c r="GA61" s="1166"/>
      <c r="GB61" s="1166"/>
      <c r="GC61" s="1166"/>
      <c r="GD61" s="1166"/>
      <c r="GE61" s="1166"/>
      <c r="GF61" s="1166"/>
      <c r="GG61" s="1166"/>
      <c r="GH61" s="1166"/>
      <c r="GI61" s="1166"/>
      <c r="GJ61" s="1166"/>
      <c r="GK61" s="1166"/>
      <c r="GL61" s="1166"/>
      <c r="GM61" s="1166"/>
      <c r="GN61" s="1166"/>
      <c r="GO61" s="1166"/>
      <c r="GP61" s="1166"/>
      <c r="GQ61" s="1166"/>
      <c r="GR61" s="1166"/>
      <c r="GS61" s="1166"/>
      <c r="GT61" s="1166"/>
      <c r="GU61" s="1166"/>
      <c r="GV61" s="1166"/>
      <c r="GW61" s="1166"/>
      <c r="GX61" s="1166"/>
      <c r="GY61" s="1166"/>
      <c r="GZ61" s="1166"/>
      <c r="HA61" s="1166"/>
      <c r="HB61" s="1166"/>
      <c r="HC61" s="1166"/>
      <c r="HD61" s="1166"/>
      <c r="HE61" s="1166"/>
      <c r="HF61" s="1166"/>
      <c r="HG61" s="1166"/>
      <c r="HH61" s="1166"/>
      <c r="HI61" s="1166"/>
      <c r="HJ61" s="1166"/>
      <c r="HK61" s="1166"/>
      <c r="HL61" s="1166"/>
      <c r="HM61" s="1166"/>
      <c r="HN61" s="1166"/>
      <c r="HO61" s="1166"/>
      <c r="HP61" s="1166"/>
      <c r="HQ61" s="1166"/>
      <c r="HR61" s="1166"/>
      <c r="HS61" s="1166"/>
      <c r="HT61" s="1166"/>
      <c r="HU61" s="1166"/>
      <c r="HV61" s="1166"/>
      <c r="HW61" s="1166"/>
      <c r="HX61" s="1166"/>
      <c r="HY61" s="1166"/>
      <c r="HZ61" s="1166"/>
      <c r="IA61" s="1166"/>
      <c r="IB61" s="1166"/>
      <c r="IC61" s="1166"/>
      <c r="ID61" s="1166"/>
      <c r="IE61" s="1166"/>
      <c r="IF61" s="1166"/>
      <c r="IG61" s="1166"/>
      <c r="IH61" s="1166"/>
      <c r="II61" s="1166"/>
      <c r="IJ61" s="1166"/>
      <c r="IK61" s="1166"/>
      <c r="IL61" s="1166"/>
      <c r="IM61" s="1166"/>
      <c r="IN61" s="1166"/>
      <c r="IO61" s="1166"/>
      <c r="IP61" s="1166"/>
      <c r="IQ61" s="1166"/>
      <c r="IR61" s="1166"/>
      <c r="IS61" s="1166"/>
      <c r="IT61" s="1166"/>
      <c r="IU61" s="1166"/>
      <c r="IV61" s="1166"/>
    </row>
    <row r="62" spans="1:256" s="1464" customFormat="1" ht="18" customHeight="1" x14ac:dyDescent="0.35">
      <c r="A62" s="1452">
        <v>53</v>
      </c>
      <c r="B62" s="1509"/>
      <c r="C62" s="1499"/>
      <c r="D62" s="1500" t="s">
        <v>230</v>
      </c>
      <c r="E62" s="1501"/>
      <c r="F62" s="1501"/>
      <c r="G62" s="1510"/>
      <c r="H62" s="1503"/>
      <c r="I62" s="1504"/>
      <c r="J62" s="1504"/>
      <c r="K62" s="1504">
        <v>10480</v>
      </c>
      <c r="L62" s="1504"/>
      <c r="M62" s="1504"/>
      <c r="N62" s="1514"/>
      <c r="O62" s="1507">
        <f>SUM(I62:N62)</f>
        <v>10480</v>
      </c>
      <c r="P62" s="1517">
        <v>11950</v>
      </c>
      <c r="Q62" s="1166"/>
      <c r="R62" s="1166"/>
      <c r="S62" s="1166"/>
      <c r="T62" s="1166"/>
      <c r="U62" s="1166"/>
      <c r="V62" s="1166"/>
      <c r="W62" s="1166"/>
      <c r="X62" s="1166"/>
      <c r="Y62" s="1166"/>
      <c r="Z62" s="1166"/>
      <c r="AA62" s="1166"/>
      <c r="AB62" s="1166"/>
      <c r="AC62" s="1166"/>
      <c r="AD62" s="1166"/>
      <c r="AE62" s="1166"/>
      <c r="AF62" s="1166"/>
      <c r="AG62" s="1166"/>
      <c r="AH62" s="1166"/>
      <c r="AI62" s="1166"/>
      <c r="AJ62" s="1166"/>
      <c r="AK62" s="1166"/>
      <c r="AL62" s="1166"/>
      <c r="AM62" s="1166"/>
      <c r="AN62" s="1166"/>
      <c r="AO62" s="1166"/>
      <c r="AP62" s="1166"/>
      <c r="AQ62" s="1166"/>
      <c r="AR62" s="1166"/>
      <c r="AS62" s="1166"/>
      <c r="AT62" s="1166"/>
      <c r="AU62" s="1166"/>
      <c r="AV62" s="1166"/>
      <c r="AW62" s="1166"/>
      <c r="AX62" s="1166"/>
      <c r="AY62" s="1166"/>
      <c r="AZ62" s="1166"/>
      <c r="BA62" s="1166"/>
      <c r="BB62" s="1166"/>
      <c r="BC62" s="1166"/>
      <c r="BD62" s="1166"/>
      <c r="BE62" s="1166"/>
      <c r="BF62" s="1166"/>
      <c r="BG62" s="1166"/>
      <c r="BH62" s="1166"/>
      <c r="BI62" s="1166"/>
      <c r="BJ62" s="1166"/>
      <c r="BK62" s="1166"/>
      <c r="BL62" s="1166"/>
      <c r="BM62" s="1166"/>
      <c r="BN62" s="1166"/>
      <c r="BO62" s="1166"/>
      <c r="BP62" s="1166"/>
      <c r="BQ62" s="1166"/>
      <c r="BR62" s="1166"/>
      <c r="BS62" s="1166"/>
      <c r="BT62" s="1166"/>
      <c r="BU62" s="1166"/>
      <c r="BV62" s="1166"/>
      <c r="BW62" s="1166"/>
      <c r="BX62" s="1166"/>
      <c r="BY62" s="1166"/>
      <c r="BZ62" s="1166"/>
      <c r="CA62" s="1166"/>
      <c r="CB62" s="1166"/>
      <c r="CC62" s="1166"/>
      <c r="CD62" s="1166"/>
      <c r="CE62" s="1166"/>
      <c r="CF62" s="1166"/>
      <c r="CG62" s="1166"/>
      <c r="CH62" s="1166"/>
      <c r="CI62" s="1166"/>
      <c r="CJ62" s="1166"/>
      <c r="CK62" s="1166"/>
      <c r="CL62" s="1166"/>
      <c r="CM62" s="1166"/>
      <c r="CN62" s="1166"/>
      <c r="CO62" s="1166"/>
      <c r="CP62" s="1166"/>
      <c r="CQ62" s="1166"/>
      <c r="CR62" s="1166"/>
      <c r="CS62" s="1166"/>
      <c r="CT62" s="1166"/>
      <c r="CU62" s="1166"/>
      <c r="CV62" s="1166"/>
      <c r="CW62" s="1166"/>
      <c r="CX62" s="1166"/>
      <c r="CY62" s="1166"/>
      <c r="CZ62" s="1166"/>
      <c r="DA62" s="1166"/>
      <c r="DB62" s="1166"/>
      <c r="DC62" s="1166"/>
      <c r="DD62" s="1166"/>
      <c r="DE62" s="1166"/>
      <c r="DF62" s="1166"/>
      <c r="DG62" s="1166"/>
      <c r="DH62" s="1166"/>
      <c r="DI62" s="1166"/>
      <c r="DJ62" s="1166"/>
      <c r="DK62" s="1166"/>
      <c r="DL62" s="1166"/>
      <c r="DM62" s="1166"/>
      <c r="DN62" s="1166"/>
      <c r="DO62" s="1166"/>
      <c r="DP62" s="1166"/>
      <c r="DQ62" s="1166"/>
      <c r="DR62" s="1166"/>
      <c r="DS62" s="1166"/>
      <c r="DT62" s="1166"/>
      <c r="DU62" s="1166"/>
      <c r="DV62" s="1166"/>
      <c r="DW62" s="1166"/>
      <c r="DX62" s="1166"/>
      <c r="DY62" s="1166"/>
      <c r="DZ62" s="1166"/>
      <c r="EA62" s="1166"/>
      <c r="EB62" s="1166"/>
      <c r="EC62" s="1166"/>
      <c r="ED62" s="1166"/>
      <c r="EE62" s="1166"/>
      <c r="EF62" s="1166"/>
      <c r="EG62" s="1166"/>
      <c r="EH62" s="1166"/>
      <c r="EI62" s="1166"/>
      <c r="EJ62" s="1166"/>
      <c r="EK62" s="1166"/>
      <c r="EL62" s="1166"/>
      <c r="EM62" s="1166"/>
      <c r="EN62" s="1166"/>
      <c r="EO62" s="1166"/>
      <c r="EP62" s="1166"/>
      <c r="EQ62" s="1166"/>
      <c r="ER62" s="1166"/>
      <c r="ES62" s="1166"/>
      <c r="ET62" s="1166"/>
      <c r="EU62" s="1166"/>
      <c r="EV62" s="1166"/>
      <c r="EW62" s="1166"/>
      <c r="EX62" s="1166"/>
      <c r="EY62" s="1166"/>
      <c r="EZ62" s="1166"/>
      <c r="FA62" s="1166"/>
      <c r="FB62" s="1166"/>
      <c r="FC62" s="1166"/>
      <c r="FD62" s="1166"/>
      <c r="FE62" s="1166"/>
      <c r="FF62" s="1166"/>
      <c r="FG62" s="1166"/>
      <c r="FH62" s="1166"/>
      <c r="FI62" s="1166"/>
      <c r="FJ62" s="1166"/>
      <c r="FK62" s="1166"/>
      <c r="FL62" s="1166"/>
      <c r="FM62" s="1166"/>
      <c r="FN62" s="1166"/>
      <c r="FO62" s="1166"/>
      <c r="FP62" s="1166"/>
      <c r="FQ62" s="1166"/>
      <c r="FR62" s="1166"/>
      <c r="FS62" s="1166"/>
      <c r="FT62" s="1166"/>
      <c r="FU62" s="1166"/>
      <c r="FV62" s="1166"/>
      <c r="FW62" s="1166"/>
      <c r="FX62" s="1166"/>
      <c r="FY62" s="1166"/>
      <c r="FZ62" s="1166"/>
      <c r="GA62" s="1166"/>
      <c r="GB62" s="1166"/>
      <c r="GC62" s="1166"/>
      <c r="GD62" s="1166"/>
      <c r="GE62" s="1166"/>
      <c r="GF62" s="1166"/>
      <c r="GG62" s="1166"/>
      <c r="GH62" s="1166"/>
      <c r="GI62" s="1166"/>
      <c r="GJ62" s="1166"/>
      <c r="GK62" s="1166"/>
      <c r="GL62" s="1166"/>
      <c r="GM62" s="1166"/>
      <c r="GN62" s="1166"/>
      <c r="GO62" s="1166"/>
      <c r="GP62" s="1166"/>
      <c r="GQ62" s="1166"/>
      <c r="GR62" s="1166"/>
      <c r="GS62" s="1166"/>
      <c r="GT62" s="1166"/>
      <c r="GU62" s="1166"/>
      <c r="GV62" s="1166"/>
      <c r="GW62" s="1166"/>
      <c r="GX62" s="1166"/>
      <c r="GY62" s="1166"/>
      <c r="GZ62" s="1166"/>
      <c r="HA62" s="1166"/>
      <c r="HB62" s="1166"/>
      <c r="HC62" s="1166"/>
      <c r="HD62" s="1166"/>
      <c r="HE62" s="1166"/>
      <c r="HF62" s="1166"/>
      <c r="HG62" s="1166"/>
      <c r="HH62" s="1166"/>
      <c r="HI62" s="1166"/>
      <c r="HJ62" s="1166"/>
      <c r="HK62" s="1166"/>
      <c r="HL62" s="1166"/>
      <c r="HM62" s="1166"/>
      <c r="HN62" s="1166"/>
      <c r="HO62" s="1166"/>
      <c r="HP62" s="1166"/>
      <c r="HQ62" s="1166"/>
      <c r="HR62" s="1166"/>
      <c r="HS62" s="1166"/>
      <c r="HT62" s="1166"/>
      <c r="HU62" s="1166"/>
      <c r="HV62" s="1166"/>
      <c r="HW62" s="1166"/>
      <c r="HX62" s="1166"/>
      <c r="HY62" s="1166"/>
      <c r="HZ62" s="1166"/>
      <c r="IA62" s="1166"/>
      <c r="IB62" s="1166"/>
      <c r="IC62" s="1166"/>
      <c r="ID62" s="1166"/>
      <c r="IE62" s="1166"/>
      <c r="IF62" s="1166"/>
      <c r="IG62" s="1166"/>
      <c r="IH62" s="1166"/>
      <c r="II62" s="1166"/>
      <c r="IJ62" s="1166"/>
      <c r="IK62" s="1166"/>
      <c r="IL62" s="1166"/>
      <c r="IM62" s="1166"/>
      <c r="IN62" s="1166"/>
      <c r="IO62" s="1166"/>
      <c r="IP62" s="1166"/>
      <c r="IQ62" s="1166"/>
      <c r="IR62" s="1166"/>
      <c r="IS62" s="1166"/>
      <c r="IT62" s="1166"/>
      <c r="IU62" s="1166"/>
      <c r="IV62" s="1166"/>
    </row>
    <row r="63" spans="1:256" s="1464" customFormat="1" ht="18" customHeight="1" x14ac:dyDescent="0.35">
      <c r="A63" s="1452">
        <v>54</v>
      </c>
      <c r="B63" s="1509"/>
      <c r="C63" s="1499"/>
      <c r="D63" s="1481" t="s">
        <v>231</v>
      </c>
      <c r="E63" s="1501"/>
      <c r="F63" s="1501"/>
      <c r="G63" s="1510"/>
      <c r="H63" s="1503"/>
      <c r="I63" s="1511">
        <v>400</v>
      </c>
      <c r="J63" s="1511">
        <v>52</v>
      </c>
      <c r="K63" s="1511">
        <v>7828</v>
      </c>
      <c r="L63" s="1511"/>
      <c r="M63" s="1511"/>
      <c r="N63" s="1512"/>
      <c r="O63" s="1289">
        <f>SUM(I63:N63)</f>
        <v>8280</v>
      </c>
      <c r="P63" s="1518"/>
      <c r="Q63" s="1166"/>
      <c r="R63" s="1166"/>
      <c r="S63" s="1166"/>
      <c r="T63" s="1166"/>
      <c r="U63" s="1166"/>
      <c r="V63" s="1166"/>
      <c r="W63" s="1166"/>
      <c r="X63" s="1166"/>
      <c r="Y63" s="1166"/>
      <c r="Z63" s="1166"/>
      <c r="AA63" s="1166"/>
      <c r="AB63" s="1166"/>
      <c r="AC63" s="1166"/>
      <c r="AD63" s="1166"/>
      <c r="AE63" s="1166"/>
      <c r="AF63" s="1166"/>
      <c r="AG63" s="1166"/>
      <c r="AH63" s="1166"/>
      <c r="AI63" s="1166"/>
      <c r="AJ63" s="1166"/>
      <c r="AK63" s="1166"/>
      <c r="AL63" s="1166"/>
      <c r="AM63" s="1166"/>
      <c r="AN63" s="1166"/>
      <c r="AO63" s="1166"/>
      <c r="AP63" s="1166"/>
      <c r="AQ63" s="1166"/>
      <c r="AR63" s="1166"/>
      <c r="AS63" s="1166"/>
      <c r="AT63" s="1166"/>
      <c r="AU63" s="1166"/>
      <c r="AV63" s="1166"/>
      <c r="AW63" s="1166"/>
      <c r="AX63" s="1166"/>
      <c r="AY63" s="1166"/>
      <c r="AZ63" s="1166"/>
      <c r="BA63" s="1166"/>
      <c r="BB63" s="1166"/>
      <c r="BC63" s="1166"/>
      <c r="BD63" s="1166"/>
      <c r="BE63" s="1166"/>
      <c r="BF63" s="1166"/>
      <c r="BG63" s="1166"/>
      <c r="BH63" s="1166"/>
      <c r="BI63" s="1166"/>
      <c r="BJ63" s="1166"/>
      <c r="BK63" s="1166"/>
      <c r="BL63" s="1166"/>
      <c r="BM63" s="1166"/>
      <c r="BN63" s="1166"/>
      <c r="BO63" s="1166"/>
      <c r="BP63" s="1166"/>
      <c r="BQ63" s="1166"/>
      <c r="BR63" s="1166"/>
      <c r="BS63" s="1166"/>
      <c r="BT63" s="1166"/>
      <c r="BU63" s="1166"/>
      <c r="BV63" s="1166"/>
      <c r="BW63" s="1166"/>
      <c r="BX63" s="1166"/>
      <c r="BY63" s="1166"/>
      <c r="BZ63" s="1166"/>
      <c r="CA63" s="1166"/>
      <c r="CB63" s="1166"/>
      <c r="CC63" s="1166"/>
      <c r="CD63" s="1166"/>
      <c r="CE63" s="1166"/>
      <c r="CF63" s="1166"/>
      <c r="CG63" s="1166"/>
      <c r="CH63" s="1166"/>
      <c r="CI63" s="1166"/>
      <c r="CJ63" s="1166"/>
      <c r="CK63" s="1166"/>
      <c r="CL63" s="1166"/>
      <c r="CM63" s="1166"/>
      <c r="CN63" s="1166"/>
      <c r="CO63" s="1166"/>
      <c r="CP63" s="1166"/>
      <c r="CQ63" s="1166"/>
      <c r="CR63" s="1166"/>
      <c r="CS63" s="1166"/>
      <c r="CT63" s="1166"/>
      <c r="CU63" s="1166"/>
      <c r="CV63" s="1166"/>
      <c r="CW63" s="1166"/>
      <c r="CX63" s="1166"/>
      <c r="CY63" s="1166"/>
      <c r="CZ63" s="1166"/>
      <c r="DA63" s="1166"/>
      <c r="DB63" s="1166"/>
      <c r="DC63" s="1166"/>
      <c r="DD63" s="1166"/>
      <c r="DE63" s="1166"/>
      <c r="DF63" s="1166"/>
      <c r="DG63" s="1166"/>
      <c r="DH63" s="1166"/>
      <c r="DI63" s="1166"/>
      <c r="DJ63" s="1166"/>
      <c r="DK63" s="1166"/>
      <c r="DL63" s="1166"/>
      <c r="DM63" s="1166"/>
      <c r="DN63" s="1166"/>
      <c r="DO63" s="1166"/>
      <c r="DP63" s="1166"/>
      <c r="DQ63" s="1166"/>
      <c r="DR63" s="1166"/>
      <c r="DS63" s="1166"/>
      <c r="DT63" s="1166"/>
      <c r="DU63" s="1166"/>
      <c r="DV63" s="1166"/>
      <c r="DW63" s="1166"/>
      <c r="DX63" s="1166"/>
      <c r="DY63" s="1166"/>
      <c r="DZ63" s="1166"/>
      <c r="EA63" s="1166"/>
      <c r="EB63" s="1166"/>
      <c r="EC63" s="1166"/>
      <c r="ED63" s="1166"/>
      <c r="EE63" s="1166"/>
      <c r="EF63" s="1166"/>
      <c r="EG63" s="1166"/>
      <c r="EH63" s="1166"/>
      <c r="EI63" s="1166"/>
      <c r="EJ63" s="1166"/>
      <c r="EK63" s="1166"/>
      <c r="EL63" s="1166"/>
      <c r="EM63" s="1166"/>
      <c r="EN63" s="1166"/>
      <c r="EO63" s="1166"/>
      <c r="EP63" s="1166"/>
      <c r="EQ63" s="1166"/>
      <c r="ER63" s="1166"/>
      <c r="ES63" s="1166"/>
      <c r="ET63" s="1166"/>
      <c r="EU63" s="1166"/>
      <c r="EV63" s="1166"/>
      <c r="EW63" s="1166"/>
      <c r="EX63" s="1166"/>
      <c r="EY63" s="1166"/>
      <c r="EZ63" s="1166"/>
      <c r="FA63" s="1166"/>
      <c r="FB63" s="1166"/>
      <c r="FC63" s="1166"/>
      <c r="FD63" s="1166"/>
      <c r="FE63" s="1166"/>
      <c r="FF63" s="1166"/>
      <c r="FG63" s="1166"/>
      <c r="FH63" s="1166"/>
      <c r="FI63" s="1166"/>
      <c r="FJ63" s="1166"/>
      <c r="FK63" s="1166"/>
      <c r="FL63" s="1166"/>
      <c r="FM63" s="1166"/>
      <c r="FN63" s="1166"/>
      <c r="FO63" s="1166"/>
      <c r="FP63" s="1166"/>
      <c r="FQ63" s="1166"/>
      <c r="FR63" s="1166"/>
      <c r="FS63" s="1166"/>
      <c r="FT63" s="1166"/>
      <c r="FU63" s="1166"/>
      <c r="FV63" s="1166"/>
      <c r="FW63" s="1166"/>
      <c r="FX63" s="1166"/>
      <c r="FY63" s="1166"/>
      <c r="FZ63" s="1166"/>
      <c r="GA63" s="1166"/>
      <c r="GB63" s="1166"/>
      <c r="GC63" s="1166"/>
      <c r="GD63" s="1166"/>
      <c r="GE63" s="1166"/>
      <c r="GF63" s="1166"/>
      <c r="GG63" s="1166"/>
      <c r="GH63" s="1166"/>
      <c r="GI63" s="1166"/>
      <c r="GJ63" s="1166"/>
      <c r="GK63" s="1166"/>
      <c r="GL63" s="1166"/>
      <c r="GM63" s="1166"/>
      <c r="GN63" s="1166"/>
      <c r="GO63" s="1166"/>
      <c r="GP63" s="1166"/>
      <c r="GQ63" s="1166"/>
      <c r="GR63" s="1166"/>
      <c r="GS63" s="1166"/>
      <c r="GT63" s="1166"/>
      <c r="GU63" s="1166"/>
      <c r="GV63" s="1166"/>
      <c r="GW63" s="1166"/>
      <c r="GX63" s="1166"/>
      <c r="GY63" s="1166"/>
      <c r="GZ63" s="1166"/>
      <c r="HA63" s="1166"/>
      <c r="HB63" s="1166"/>
      <c r="HC63" s="1166"/>
      <c r="HD63" s="1166"/>
      <c r="HE63" s="1166"/>
      <c r="HF63" s="1166"/>
      <c r="HG63" s="1166"/>
      <c r="HH63" s="1166"/>
      <c r="HI63" s="1166"/>
      <c r="HJ63" s="1166"/>
      <c r="HK63" s="1166"/>
      <c r="HL63" s="1166"/>
      <c r="HM63" s="1166"/>
      <c r="HN63" s="1166"/>
      <c r="HO63" s="1166"/>
      <c r="HP63" s="1166"/>
      <c r="HQ63" s="1166"/>
      <c r="HR63" s="1166"/>
      <c r="HS63" s="1166"/>
      <c r="HT63" s="1166"/>
      <c r="HU63" s="1166"/>
      <c r="HV63" s="1166"/>
      <c r="HW63" s="1166"/>
      <c r="HX63" s="1166"/>
      <c r="HY63" s="1166"/>
      <c r="HZ63" s="1166"/>
      <c r="IA63" s="1166"/>
      <c r="IB63" s="1166"/>
      <c r="IC63" s="1166"/>
      <c r="ID63" s="1166"/>
      <c r="IE63" s="1166"/>
      <c r="IF63" s="1166"/>
      <c r="IG63" s="1166"/>
      <c r="IH63" s="1166"/>
      <c r="II63" s="1166"/>
      <c r="IJ63" s="1166"/>
      <c r="IK63" s="1166"/>
      <c r="IL63" s="1166"/>
      <c r="IM63" s="1166"/>
      <c r="IN63" s="1166"/>
      <c r="IO63" s="1166"/>
      <c r="IP63" s="1166"/>
      <c r="IQ63" s="1166"/>
      <c r="IR63" s="1166"/>
      <c r="IS63" s="1166"/>
      <c r="IT63" s="1166"/>
      <c r="IU63" s="1166"/>
      <c r="IV63" s="1166"/>
    </row>
    <row r="64" spans="1:256" s="1464" customFormat="1" ht="18" customHeight="1" x14ac:dyDescent="0.35">
      <c r="A64" s="1452">
        <v>55</v>
      </c>
      <c r="B64" s="1509"/>
      <c r="C64" s="1499"/>
      <c r="D64" s="1484" t="s">
        <v>232</v>
      </c>
      <c r="E64" s="1501"/>
      <c r="F64" s="1501"/>
      <c r="G64" s="1510"/>
      <c r="H64" s="1503"/>
      <c r="I64" s="1513"/>
      <c r="J64" s="1513"/>
      <c r="K64" s="1513"/>
      <c r="L64" s="1504"/>
      <c r="M64" s="1504"/>
      <c r="N64" s="1514"/>
      <c r="O64" s="1217">
        <f>SUM(I64:N64)</f>
        <v>0</v>
      </c>
      <c r="P64" s="1518"/>
      <c r="Q64" s="1166"/>
      <c r="R64" s="1166"/>
      <c r="S64" s="1166"/>
      <c r="T64" s="1166"/>
      <c r="U64" s="1166"/>
      <c r="V64" s="1166"/>
      <c r="W64" s="1166"/>
      <c r="X64" s="1166"/>
      <c r="Y64" s="1166"/>
      <c r="Z64" s="1166"/>
      <c r="AA64" s="1166"/>
      <c r="AB64" s="1166"/>
      <c r="AC64" s="1166"/>
      <c r="AD64" s="1166"/>
      <c r="AE64" s="1166"/>
      <c r="AF64" s="1166"/>
      <c r="AG64" s="1166"/>
      <c r="AH64" s="1166"/>
      <c r="AI64" s="1166"/>
      <c r="AJ64" s="1166"/>
      <c r="AK64" s="1166"/>
      <c r="AL64" s="1166"/>
      <c r="AM64" s="1166"/>
      <c r="AN64" s="1166"/>
      <c r="AO64" s="1166"/>
      <c r="AP64" s="1166"/>
      <c r="AQ64" s="1166"/>
      <c r="AR64" s="1166"/>
      <c r="AS64" s="1166"/>
      <c r="AT64" s="1166"/>
      <c r="AU64" s="1166"/>
      <c r="AV64" s="1166"/>
      <c r="AW64" s="1166"/>
      <c r="AX64" s="1166"/>
      <c r="AY64" s="1166"/>
      <c r="AZ64" s="1166"/>
      <c r="BA64" s="1166"/>
      <c r="BB64" s="1166"/>
      <c r="BC64" s="1166"/>
      <c r="BD64" s="1166"/>
      <c r="BE64" s="1166"/>
      <c r="BF64" s="1166"/>
      <c r="BG64" s="1166"/>
      <c r="BH64" s="1166"/>
      <c r="BI64" s="1166"/>
      <c r="BJ64" s="1166"/>
      <c r="BK64" s="1166"/>
      <c r="BL64" s="1166"/>
      <c r="BM64" s="1166"/>
      <c r="BN64" s="1166"/>
      <c r="BO64" s="1166"/>
      <c r="BP64" s="1166"/>
      <c r="BQ64" s="1166"/>
      <c r="BR64" s="1166"/>
      <c r="BS64" s="1166"/>
      <c r="BT64" s="1166"/>
      <c r="BU64" s="1166"/>
      <c r="BV64" s="1166"/>
      <c r="BW64" s="1166"/>
      <c r="BX64" s="1166"/>
      <c r="BY64" s="1166"/>
      <c r="BZ64" s="1166"/>
      <c r="CA64" s="1166"/>
      <c r="CB64" s="1166"/>
      <c r="CC64" s="1166"/>
      <c r="CD64" s="1166"/>
      <c r="CE64" s="1166"/>
      <c r="CF64" s="1166"/>
      <c r="CG64" s="1166"/>
      <c r="CH64" s="1166"/>
      <c r="CI64" s="1166"/>
      <c r="CJ64" s="1166"/>
      <c r="CK64" s="1166"/>
      <c r="CL64" s="1166"/>
      <c r="CM64" s="1166"/>
      <c r="CN64" s="1166"/>
      <c r="CO64" s="1166"/>
      <c r="CP64" s="1166"/>
      <c r="CQ64" s="1166"/>
      <c r="CR64" s="1166"/>
      <c r="CS64" s="1166"/>
      <c r="CT64" s="1166"/>
      <c r="CU64" s="1166"/>
      <c r="CV64" s="1166"/>
      <c r="CW64" s="1166"/>
      <c r="CX64" s="1166"/>
      <c r="CY64" s="1166"/>
      <c r="CZ64" s="1166"/>
      <c r="DA64" s="1166"/>
      <c r="DB64" s="1166"/>
      <c r="DC64" s="1166"/>
      <c r="DD64" s="1166"/>
      <c r="DE64" s="1166"/>
      <c r="DF64" s="1166"/>
      <c r="DG64" s="1166"/>
      <c r="DH64" s="1166"/>
      <c r="DI64" s="1166"/>
      <c r="DJ64" s="1166"/>
      <c r="DK64" s="1166"/>
      <c r="DL64" s="1166"/>
      <c r="DM64" s="1166"/>
      <c r="DN64" s="1166"/>
      <c r="DO64" s="1166"/>
      <c r="DP64" s="1166"/>
      <c r="DQ64" s="1166"/>
      <c r="DR64" s="1166"/>
      <c r="DS64" s="1166"/>
      <c r="DT64" s="1166"/>
      <c r="DU64" s="1166"/>
      <c r="DV64" s="1166"/>
      <c r="DW64" s="1166"/>
      <c r="DX64" s="1166"/>
      <c r="DY64" s="1166"/>
      <c r="DZ64" s="1166"/>
      <c r="EA64" s="1166"/>
      <c r="EB64" s="1166"/>
      <c r="EC64" s="1166"/>
      <c r="ED64" s="1166"/>
      <c r="EE64" s="1166"/>
      <c r="EF64" s="1166"/>
      <c r="EG64" s="1166"/>
      <c r="EH64" s="1166"/>
      <c r="EI64" s="1166"/>
      <c r="EJ64" s="1166"/>
      <c r="EK64" s="1166"/>
      <c r="EL64" s="1166"/>
      <c r="EM64" s="1166"/>
      <c r="EN64" s="1166"/>
      <c r="EO64" s="1166"/>
      <c r="EP64" s="1166"/>
      <c r="EQ64" s="1166"/>
      <c r="ER64" s="1166"/>
      <c r="ES64" s="1166"/>
      <c r="ET64" s="1166"/>
      <c r="EU64" s="1166"/>
      <c r="EV64" s="1166"/>
      <c r="EW64" s="1166"/>
      <c r="EX64" s="1166"/>
      <c r="EY64" s="1166"/>
      <c r="EZ64" s="1166"/>
      <c r="FA64" s="1166"/>
      <c r="FB64" s="1166"/>
      <c r="FC64" s="1166"/>
      <c r="FD64" s="1166"/>
      <c r="FE64" s="1166"/>
      <c r="FF64" s="1166"/>
      <c r="FG64" s="1166"/>
      <c r="FH64" s="1166"/>
      <c r="FI64" s="1166"/>
      <c r="FJ64" s="1166"/>
      <c r="FK64" s="1166"/>
      <c r="FL64" s="1166"/>
      <c r="FM64" s="1166"/>
      <c r="FN64" s="1166"/>
      <c r="FO64" s="1166"/>
      <c r="FP64" s="1166"/>
      <c r="FQ64" s="1166"/>
      <c r="FR64" s="1166"/>
      <c r="FS64" s="1166"/>
      <c r="FT64" s="1166"/>
      <c r="FU64" s="1166"/>
      <c r="FV64" s="1166"/>
      <c r="FW64" s="1166"/>
      <c r="FX64" s="1166"/>
      <c r="FY64" s="1166"/>
      <c r="FZ64" s="1166"/>
      <c r="GA64" s="1166"/>
      <c r="GB64" s="1166"/>
      <c r="GC64" s="1166"/>
      <c r="GD64" s="1166"/>
      <c r="GE64" s="1166"/>
      <c r="GF64" s="1166"/>
      <c r="GG64" s="1166"/>
      <c r="GH64" s="1166"/>
      <c r="GI64" s="1166"/>
      <c r="GJ64" s="1166"/>
      <c r="GK64" s="1166"/>
      <c r="GL64" s="1166"/>
      <c r="GM64" s="1166"/>
      <c r="GN64" s="1166"/>
      <c r="GO64" s="1166"/>
      <c r="GP64" s="1166"/>
      <c r="GQ64" s="1166"/>
      <c r="GR64" s="1166"/>
      <c r="GS64" s="1166"/>
      <c r="GT64" s="1166"/>
      <c r="GU64" s="1166"/>
      <c r="GV64" s="1166"/>
      <c r="GW64" s="1166"/>
      <c r="GX64" s="1166"/>
      <c r="GY64" s="1166"/>
      <c r="GZ64" s="1166"/>
      <c r="HA64" s="1166"/>
      <c r="HB64" s="1166"/>
      <c r="HC64" s="1166"/>
      <c r="HD64" s="1166"/>
      <c r="HE64" s="1166"/>
      <c r="HF64" s="1166"/>
      <c r="HG64" s="1166"/>
      <c r="HH64" s="1166"/>
      <c r="HI64" s="1166"/>
      <c r="HJ64" s="1166"/>
      <c r="HK64" s="1166"/>
      <c r="HL64" s="1166"/>
      <c r="HM64" s="1166"/>
      <c r="HN64" s="1166"/>
      <c r="HO64" s="1166"/>
      <c r="HP64" s="1166"/>
      <c r="HQ64" s="1166"/>
      <c r="HR64" s="1166"/>
      <c r="HS64" s="1166"/>
      <c r="HT64" s="1166"/>
      <c r="HU64" s="1166"/>
      <c r="HV64" s="1166"/>
      <c r="HW64" s="1166"/>
      <c r="HX64" s="1166"/>
      <c r="HY64" s="1166"/>
      <c r="HZ64" s="1166"/>
      <c r="IA64" s="1166"/>
      <c r="IB64" s="1166"/>
      <c r="IC64" s="1166"/>
      <c r="ID64" s="1166"/>
      <c r="IE64" s="1166"/>
      <c r="IF64" s="1166"/>
      <c r="IG64" s="1166"/>
      <c r="IH64" s="1166"/>
      <c r="II64" s="1166"/>
      <c r="IJ64" s="1166"/>
      <c r="IK64" s="1166"/>
      <c r="IL64" s="1166"/>
      <c r="IM64" s="1166"/>
      <c r="IN64" s="1166"/>
      <c r="IO64" s="1166"/>
      <c r="IP64" s="1166"/>
      <c r="IQ64" s="1166"/>
      <c r="IR64" s="1166"/>
      <c r="IS64" s="1166"/>
      <c r="IT64" s="1166"/>
      <c r="IU64" s="1166"/>
      <c r="IV64" s="1166"/>
    </row>
    <row r="65" spans="1:256" s="1464" customFormat="1" ht="18" customHeight="1" x14ac:dyDescent="0.35">
      <c r="A65" s="1452">
        <v>56</v>
      </c>
      <c r="B65" s="1509"/>
      <c r="C65" s="1499"/>
      <c r="D65" s="1481" t="s">
        <v>233</v>
      </c>
      <c r="E65" s="1501"/>
      <c r="F65" s="1501"/>
      <c r="G65" s="1510"/>
      <c r="H65" s="1503"/>
      <c r="I65" s="1511">
        <f>SUM(I63:I64)</f>
        <v>400</v>
      </c>
      <c r="J65" s="1511">
        <f>SUM(J63:J64)</f>
        <v>52</v>
      </c>
      <c r="K65" s="1511">
        <f>SUM(K63:K64)</f>
        <v>7828</v>
      </c>
      <c r="L65" s="1504"/>
      <c r="M65" s="1504"/>
      <c r="N65" s="1514"/>
      <c r="O65" s="1222">
        <f>SUM(I65:N65)</f>
        <v>8280</v>
      </c>
      <c r="P65" s="1518"/>
      <c r="Q65" s="1166"/>
      <c r="R65" s="1166"/>
      <c r="S65" s="1166"/>
      <c r="T65" s="1166"/>
      <c r="U65" s="1166"/>
      <c r="V65" s="1166"/>
      <c r="W65" s="1166"/>
      <c r="X65" s="1166"/>
      <c r="Y65" s="1166"/>
      <c r="Z65" s="1166"/>
      <c r="AA65" s="1166"/>
      <c r="AB65" s="1166"/>
      <c r="AC65" s="1166"/>
      <c r="AD65" s="1166"/>
      <c r="AE65" s="1166"/>
      <c r="AF65" s="1166"/>
      <c r="AG65" s="1166"/>
      <c r="AH65" s="1166"/>
      <c r="AI65" s="1166"/>
      <c r="AJ65" s="1166"/>
      <c r="AK65" s="1166"/>
      <c r="AL65" s="1166"/>
      <c r="AM65" s="1166"/>
      <c r="AN65" s="1166"/>
      <c r="AO65" s="1166"/>
      <c r="AP65" s="1166"/>
      <c r="AQ65" s="1166"/>
      <c r="AR65" s="1166"/>
      <c r="AS65" s="1166"/>
      <c r="AT65" s="1166"/>
      <c r="AU65" s="1166"/>
      <c r="AV65" s="1166"/>
      <c r="AW65" s="1166"/>
      <c r="AX65" s="1166"/>
      <c r="AY65" s="1166"/>
      <c r="AZ65" s="1166"/>
      <c r="BA65" s="1166"/>
      <c r="BB65" s="1166"/>
      <c r="BC65" s="1166"/>
      <c r="BD65" s="1166"/>
      <c r="BE65" s="1166"/>
      <c r="BF65" s="1166"/>
      <c r="BG65" s="1166"/>
      <c r="BH65" s="1166"/>
      <c r="BI65" s="1166"/>
      <c r="BJ65" s="1166"/>
      <c r="BK65" s="1166"/>
      <c r="BL65" s="1166"/>
      <c r="BM65" s="1166"/>
      <c r="BN65" s="1166"/>
      <c r="BO65" s="1166"/>
      <c r="BP65" s="1166"/>
      <c r="BQ65" s="1166"/>
      <c r="BR65" s="1166"/>
      <c r="BS65" s="1166"/>
      <c r="BT65" s="1166"/>
      <c r="BU65" s="1166"/>
      <c r="BV65" s="1166"/>
      <c r="BW65" s="1166"/>
      <c r="BX65" s="1166"/>
      <c r="BY65" s="1166"/>
      <c r="BZ65" s="1166"/>
      <c r="CA65" s="1166"/>
      <c r="CB65" s="1166"/>
      <c r="CC65" s="1166"/>
      <c r="CD65" s="1166"/>
      <c r="CE65" s="1166"/>
      <c r="CF65" s="1166"/>
      <c r="CG65" s="1166"/>
      <c r="CH65" s="1166"/>
      <c r="CI65" s="1166"/>
      <c r="CJ65" s="1166"/>
      <c r="CK65" s="1166"/>
      <c r="CL65" s="1166"/>
      <c r="CM65" s="1166"/>
      <c r="CN65" s="1166"/>
      <c r="CO65" s="1166"/>
      <c r="CP65" s="1166"/>
      <c r="CQ65" s="1166"/>
      <c r="CR65" s="1166"/>
      <c r="CS65" s="1166"/>
      <c r="CT65" s="1166"/>
      <c r="CU65" s="1166"/>
      <c r="CV65" s="1166"/>
      <c r="CW65" s="1166"/>
      <c r="CX65" s="1166"/>
      <c r="CY65" s="1166"/>
      <c r="CZ65" s="1166"/>
      <c r="DA65" s="1166"/>
      <c r="DB65" s="1166"/>
      <c r="DC65" s="1166"/>
      <c r="DD65" s="1166"/>
      <c r="DE65" s="1166"/>
      <c r="DF65" s="1166"/>
      <c r="DG65" s="1166"/>
      <c r="DH65" s="1166"/>
      <c r="DI65" s="1166"/>
      <c r="DJ65" s="1166"/>
      <c r="DK65" s="1166"/>
      <c r="DL65" s="1166"/>
      <c r="DM65" s="1166"/>
      <c r="DN65" s="1166"/>
      <c r="DO65" s="1166"/>
      <c r="DP65" s="1166"/>
      <c r="DQ65" s="1166"/>
      <c r="DR65" s="1166"/>
      <c r="DS65" s="1166"/>
      <c r="DT65" s="1166"/>
      <c r="DU65" s="1166"/>
      <c r="DV65" s="1166"/>
      <c r="DW65" s="1166"/>
      <c r="DX65" s="1166"/>
      <c r="DY65" s="1166"/>
      <c r="DZ65" s="1166"/>
      <c r="EA65" s="1166"/>
      <c r="EB65" s="1166"/>
      <c r="EC65" s="1166"/>
      <c r="ED65" s="1166"/>
      <c r="EE65" s="1166"/>
      <c r="EF65" s="1166"/>
      <c r="EG65" s="1166"/>
      <c r="EH65" s="1166"/>
      <c r="EI65" s="1166"/>
      <c r="EJ65" s="1166"/>
      <c r="EK65" s="1166"/>
      <c r="EL65" s="1166"/>
      <c r="EM65" s="1166"/>
      <c r="EN65" s="1166"/>
      <c r="EO65" s="1166"/>
      <c r="EP65" s="1166"/>
      <c r="EQ65" s="1166"/>
      <c r="ER65" s="1166"/>
      <c r="ES65" s="1166"/>
      <c r="ET65" s="1166"/>
      <c r="EU65" s="1166"/>
      <c r="EV65" s="1166"/>
      <c r="EW65" s="1166"/>
      <c r="EX65" s="1166"/>
      <c r="EY65" s="1166"/>
      <c r="EZ65" s="1166"/>
      <c r="FA65" s="1166"/>
      <c r="FB65" s="1166"/>
      <c r="FC65" s="1166"/>
      <c r="FD65" s="1166"/>
      <c r="FE65" s="1166"/>
      <c r="FF65" s="1166"/>
      <c r="FG65" s="1166"/>
      <c r="FH65" s="1166"/>
      <c r="FI65" s="1166"/>
      <c r="FJ65" s="1166"/>
      <c r="FK65" s="1166"/>
      <c r="FL65" s="1166"/>
      <c r="FM65" s="1166"/>
      <c r="FN65" s="1166"/>
      <c r="FO65" s="1166"/>
      <c r="FP65" s="1166"/>
      <c r="FQ65" s="1166"/>
      <c r="FR65" s="1166"/>
      <c r="FS65" s="1166"/>
      <c r="FT65" s="1166"/>
      <c r="FU65" s="1166"/>
      <c r="FV65" s="1166"/>
      <c r="FW65" s="1166"/>
      <c r="FX65" s="1166"/>
      <c r="FY65" s="1166"/>
      <c r="FZ65" s="1166"/>
      <c r="GA65" s="1166"/>
      <c r="GB65" s="1166"/>
      <c r="GC65" s="1166"/>
      <c r="GD65" s="1166"/>
      <c r="GE65" s="1166"/>
      <c r="GF65" s="1166"/>
      <c r="GG65" s="1166"/>
      <c r="GH65" s="1166"/>
      <c r="GI65" s="1166"/>
      <c r="GJ65" s="1166"/>
      <c r="GK65" s="1166"/>
      <c r="GL65" s="1166"/>
      <c r="GM65" s="1166"/>
      <c r="GN65" s="1166"/>
      <c r="GO65" s="1166"/>
      <c r="GP65" s="1166"/>
      <c r="GQ65" s="1166"/>
      <c r="GR65" s="1166"/>
      <c r="GS65" s="1166"/>
      <c r="GT65" s="1166"/>
      <c r="GU65" s="1166"/>
      <c r="GV65" s="1166"/>
      <c r="GW65" s="1166"/>
      <c r="GX65" s="1166"/>
      <c r="GY65" s="1166"/>
      <c r="GZ65" s="1166"/>
      <c r="HA65" s="1166"/>
      <c r="HB65" s="1166"/>
      <c r="HC65" s="1166"/>
      <c r="HD65" s="1166"/>
      <c r="HE65" s="1166"/>
      <c r="HF65" s="1166"/>
      <c r="HG65" s="1166"/>
      <c r="HH65" s="1166"/>
      <c r="HI65" s="1166"/>
      <c r="HJ65" s="1166"/>
      <c r="HK65" s="1166"/>
      <c r="HL65" s="1166"/>
      <c r="HM65" s="1166"/>
      <c r="HN65" s="1166"/>
      <c r="HO65" s="1166"/>
      <c r="HP65" s="1166"/>
      <c r="HQ65" s="1166"/>
      <c r="HR65" s="1166"/>
      <c r="HS65" s="1166"/>
      <c r="HT65" s="1166"/>
      <c r="HU65" s="1166"/>
      <c r="HV65" s="1166"/>
      <c r="HW65" s="1166"/>
      <c r="HX65" s="1166"/>
      <c r="HY65" s="1166"/>
      <c r="HZ65" s="1166"/>
      <c r="IA65" s="1166"/>
      <c r="IB65" s="1166"/>
      <c r="IC65" s="1166"/>
      <c r="ID65" s="1166"/>
      <c r="IE65" s="1166"/>
      <c r="IF65" s="1166"/>
      <c r="IG65" s="1166"/>
      <c r="IH65" s="1166"/>
      <c r="II65" s="1166"/>
      <c r="IJ65" s="1166"/>
      <c r="IK65" s="1166"/>
      <c r="IL65" s="1166"/>
      <c r="IM65" s="1166"/>
      <c r="IN65" s="1166"/>
      <c r="IO65" s="1166"/>
      <c r="IP65" s="1166"/>
      <c r="IQ65" s="1166"/>
      <c r="IR65" s="1166"/>
      <c r="IS65" s="1166"/>
      <c r="IT65" s="1166"/>
      <c r="IU65" s="1166"/>
      <c r="IV65" s="1166"/>
    </row>
    <row r="66" spans="1:256" s="1464" customFormat="1" ht="64.5" customHeight="1" x14ac:dyDescent="0.35">
      <c r="A66" s="1452">
        <v>57</v>
      </c>
      <c r="B66" s="1509"/>
      <c r="C66" s="1499">
        <v>17</v>
      </c>
      <c r="D66" s="1188" t="s">
        <v>979</v>
      </c>
      <c r="E66" s="1467">
        <f>F66+G66+O70+P67+258+4000</f>
        <v>25315</v>
      </c>
      <c r="F66" s="1501"/>
      <c r="G66" s="1515">
        <v>3651</v>
      </c>
      <c r="H66" s="1516" t="s">
        <v>296</v>
      </c>
      <c r="I66" s="1504"/>
      <c r="J66" s="1504"/>
      <c r="K66" s="1504"/>
      <c r="L66" s="1504"/>
      <c r="M66" s="1504"/>
      <c r="N66" s="1514"/>
      <c r="O66" s="1507"/>
      <c r="P66" s="1508"/>
      <c r="Q66" s="1166"/>
      <c r="R66" s="1166"/>
      <c r="S66" s="1166"/>
      <c r="T66" s="1166"/>
      <c r="U66" s="1166"/>
      <c r="V66" s="1166"/>
      <c r="W66" s="1166"/>
      <c r="X66" s="1166"/>
      <c r="Y66" s="1166"/>
      <c r="Z66" s="1166"/>
      <c r="AA66" s="1166"/>
      <c r="AB66" s="1166"/>
      <c r="AC66" s="1166"/>
      <c r="AD66" s="1166"/>
      <c r="AE66" s="1166"/>
      <c r="AF66" s="1166"/>
      <c r="AG66" s="1166"/>
      <c r="AH66" s="1166"/>
      <c r="AI66" s="1166"/>
      <c r="AJ66" s="1166"/>
      <c r="AK66" s="1166"/>
      <c r="AL66" s="1166"/>
      <c r="AM66" s="1166"/>
      <c r="AN66" s="1166"/>
      <c r="AO66" s="1166"/>
      <c r="AP66" s="1166"/>
      <c r="AQ66" s="1166"/>
      <c r="AR66" s="1166"/>
      <c r="AS66" s="1166"/>
      <c r="AT66" s="1166"/>
      <c r="AU66" s="1166"/>
      <c r="AV66" s="1166"/>
      <c r="AW66" s="1166"/>
      <c r="AX66" s="1166"/>
      <c r="AY66" s="1166"/>
      <c r="AZ66" s="1166"/>
      <c r="BA66" s="1166"/>
      <c r="BB66" s="1166"/>
      <c r="BC66" s="1166"/>
      <c r="BD66" s="1166"/>
      <c r="BE66" s="1166"/>
      <c r="BF66" s="1166"/>
      <c r="BG66" s="1166"/>
      <c r="BH66" s="1166"/>
      <c r="BI66" s="1166"/>
      <c r="BJ66" s="1166"/>
      <c r="BK66" s="1166"/>
      <c r="BL66" s="1166"/>
      <c r="BM66" s="1166"/>
      <c r="BN66" s="1166"/>
      <c r="BO66" s="1166"/>
      <c r="BP66" s="1166"/>
      <c r="BQ66" s="1166"/>
      <c r="BR66" s="1166"/>
      <c r="BS66" s="1166"/>
      <c r="BT66" s="1166"/>
      <c r="BU66" s="1166"/>
      <c r="BV66" s="1166"/>
      <c r="BW66" s="1166"/>
      <c r="BX66" s="1166"/>
      <c r="BY66" s="1166"/>
      <c r="BZ66" s="1166"/>
      <c r="CA66" s="1166"/>
      <c r="CB66" s="1166"/>
      <c r="CC66" s="1166"/>
      <c r="CD66" s="1166"/>
      <c r="CE66" s="1166"/>
      <c r="CF66" s="1166"/>
      <c r="CG66" s="1166"/>
      <c r="CH66" s="1166"/>
      <c r="CI66" s="1166"/>
      <c r="CJ66" s="1166"/>
      <c r="CK66" s="1166"/>
      <c r="CL66" s="1166"/>
      <c r="CM66" s="1166"/>
      <c r="CN66" s="1166"/>
      <c r="CO66" s="1166"/>
      <c r="CP66" s="1166"/>
      <c r="CQ66" s="1166"/>
      <c r="CR66" s="1166"/>
      <c r="CS66" s="1166"/>
      <c r="CT66" s="1166"/>
      <c r="CU66" s="1166"/>
      <c r="CV66" s="1166"/>
      <c r="CW66" s="1166"/>
      <c r="CX66" s="1166"/>
      <c r="CY66" s="1166"/>
      <c r="CZ66" s="1166"/>
      <c r="DA66" s="1166"/>
      <c r="DB66" s="1166"/>
      <c r="DC66" s="1166"/>
      <c r="DD66" s="1166"/>
      <c r="DE66" s="1166"/>
      <c r="DF66" s="1166"/>
      <c r="DG66" s="1166"/>
      <c r="DH66" s="1166"/>
      <c r="DI66" s="1166"/>
      <c r="DJ66" s="1166"/>
      <c r="DK66" s="1166"/>
      <c r="DL66" s="1166"/>
      <c r="DM66" s="1166"/>
      <c r="DN66" s="1166"/>
      <c r="DO66" s="1166"/>
      <c r="DP66" s="1166"/>
      <c r="DQ66" s="1166"/>
      <c r="DR66" s="1166"/>
      <c r="DS66" s="1166"/>
      <c r="DT66" s="1166"/>
      <c r="DU66" s="1166"/>
      <c r="DV66" s="1166"/>
      <c r="DW66" s="1166"/>
      <c r="DX66" s="1166"/>
      <c r="DY66" s="1166"/>
      <c r="DZ66" s="1166"/>
      <c r="EA66" s="1166"/>
      <c r="EB66" s="1166"/>
      <c r="EC66" s="1166"/>
      <c r="ED66" s="1166"/>
      <c r="EE66" s="1166"/>
      <c r="EF66" s="1166"/>
      <c r="EG66" s="1166"/>
      <c r="EH66" s="1166"/>
      <c r="EI66" s="1166"/>
      <c r="EJ66" s="1166"/>
      <c r="EK66" s="1166"/>
      <c r="EL66" s="1166"/>
      <c r="EM66" s="1166"/>
      <c r="EN66" s="1166"/>
      <c r="EO66" s="1166"/>
      <c r="EP66" s="1166"/>
      <c r="EQ66" s="1166"/>
      <c r="ER66" s="1166"/>
      <c r="ES66" s="1166"/>
      <c r="ET66" s="1166"/>
      <c r="EU66" s="1166"/>
      <c r="EV66" s="1166"/>
      <c r="EW66" s="1166"/>
      <c r="EX66" s="1166"/>
      <c r="EY66" s="1166"/>
      <c r="EZ66" s="1166"/>
      <c r="FA66" s="1166"/>
      <c r="FB66" s="1166"/>
      <c r="FC66" s="1166"/>
      <c r="FD66" s="1166"/>
      <c r="FE66" s="1166"/>
      <c r="FF66" s="1166"/>
      <c r="FG66" s="1166"/>
      <c r="FH66" s="1166"/>
      <c r="FI66" s="1166"/>
      <c r="FJ66" s="1166"/>
      <c r="FK66" s="1166"/>
      <c r="FL66" s="1166"/>
      <c r="FM66" s="1166"/>
      <c r="FN66" s="1166"/>
      <c r="FO66" s="1166"/>
      <c r="FP66" s="1166"/>
      <c r="FQ66" s="1166"/>
      <c r="FR66" s="1166"/>
      <c r="FS66" s="1166"/>
      <c r="FT66" s="1166"/>
      <c r="FU66" s="1166"/>
      <c r="FV66" s="1166"/>
      <c r="FW66" s="1166"/>
      <c r="FX66" s="1166"/>
      <c r="FY66" s="1166"/>
      <c r="FZ66" s="1166"/>
      <c r="GA66" s="1166"/>
      <c r="GB66" s="1166"/>
      <c r="GC66" s="1166"/>
      <c r="GD66" s="1166"/>
      <c r="GE66" s="1166"/>
      <c r="GF66" s="1166"/>
      <c r="GG66" s="1166"/>
      <c r="GH66" s="1166"/>
      <c r="GI66" s="1166"/>
      <c r="GJ66" s="1166"/>
      <c r="GK66" s="1166"/>
      <c r="GL66" s="1166"/>
      <c r="GM66" s="1166"/>
      <c r="GN66" s="1166"/>
      <c r="GO66" s="1166"/>
      <c r="GP66" s="1166"/>
      <c r="GQ66" s="1166"/>
      <c r="GR66" s="1166"/>
      <c r="GS66" s="1166"/>
      <c r="GT66" s="1166"/>
      <c r="GU66" s="1166"/>
      <c r="GV66" s="1166"/>
      <c r="GW66" s="1166"/>
      <c r="GX66" s="1166"/>
      <c r="GY66" s="1166"/>
      <c r="GZ66" s="1166"/>
      <c r="HA66" s="1166"/>
      <c r="HB66" s="1166"/>
      <c r="HC66" s="1166"/>
      <c r="HD66" s="1166"/>
      <c r="HE66" s="1166"/>
      <c r="HF66" s="1166"/>
      <c r="HG66" s="1166"/>
      <c r="HH66" s="1166"/>
      <c r="HI66" s="1166"/>
      <c r="HJ66" s="1166"/>
      <c r="HK66" s="1166"/>
      <c r="HL66" s="1166"/>
      <c r="HM66" s="1166"/>
      <c r="HN66" s="1166"/>
      <c r="HO66" s="1166"/>
      <c r="HP66" s="1166"/>
      <c r="HQ66" s="1166"/>
      <c r="HR66" s="1166"/>
      <c r="HS66" s="1166"/>
      <c r="HT66" s="1166"/>
      <c r="HU66" s="1166"/>
      <c r="HV66" s="1166"/>
      <c r="HW66" s="1166"/>
      <c r="HX66" s="1166"/>
      <c r="HY66" s="1166"/>
      <c r="HZ66" s="1166"/>
      <c r="IA66" s="1166"/>
      <c r="IB66" s="1166"/>
      <c r="IC66" s="1166"/>
      <c r="ID66" s="1166"/>
      <c r="IE66" s="1166"/>
      <c r="IF66" s="1166"/>
      <c r="IG66" s="1166"/>
      <c r="IH66" s="1166"/>
      <c r="II66" s="1166"/>
      <c r="IJ66" s="1166"/>
      <c r="IK66" s="1166"/>
      <c r="IL66" s="1166"/>
      <c r="IM66" s="1166"/>
      <c r="IN66" s="1166"/>
      <c r="IO66" s="1166"/>
      <c r="IP66" s="1166"/>
      <c r="IQ66" s="1166"/>
      <c r="IR66" s="1166"/>
      <c r="IS66" s="1166"/>
      <c r="IT66" s="1166"/>
      <c r="IU66" s="1166"/>
      <c r="IV66" s="1166"/>
    </row>
    <row r="67" spans="1:256" s="1464" customFormat="1" ht="18" customHeight="1" x14ac:dyDescent="0.35">
      <c r="A67" s="1452">
        <v>58</v>
      </c>
      <c r="B67" s="1509"/>
      <c r="C67" s="1499"/>
      <c r="D67" s="1500" t="s">
        <v>230</v>
      </c>
      <c r="E67" s="1501"/>
      <c r="F67" s="1501"/>
      <c r="G67" s="1510"/>
      <c r="H67" s="1503"/>
      <c r="I67" s="1504">
        <v>53</v>
      </c>
      <c r="J67" s="1504"/>
      <c r="K67" s="1504">
        <v>10223</v>
      </c>
      <c r="L67" s="1504"/>
      <c r="M67" s="1504"/>
      <c r="N67" s="1514"/>
      <c r="O67" s="1507">
        <f>SUM(I67:N67)</f>
        <v>10276</v>
      </c>
      <c r="P67" s="1517">
        <v>10730</v>
      </c>
      <c r="Q67" s="1166"/>
      <c r="R67" s="1166"/>
      <c r="S67" s="1166"/>
      <c r="T67" s="1166"/>
      <c r="U67" s="1166"/>
      <c r="V67" s="1166"/>
      <c r="W67" s="1166"/>
      <c r="X67" s="1166"/>
      <c r="Y67" s="1166"/>
      <c r="Z67" s="1166"/>
      <c r="AA67" s="1166"/>
      <c r="AB67" s="1166"/>
      <c r="AC67" s="1166"/>
      <c r="AD67" s="1166"/>
      <c r="AE67" s="1166"/>
      <c r="AF67" s="1166"/>
      <c r="AG67" s="1166"/>
      <c r="AH67" s="1166"/>
      <c r="AI67" s="1166"/>
      <c r="AJ67" s="1166"/>
      <c r="AK67" s="1166"/>
      <c r="AL67" s="1166"/>
      <c r="AM67" s="1166"/>
      <c r="AN67" s="1166"/>
      <c r="AO67" s="1166"/>
      <c r="AP67" s="1166"/>
      <c r="AQ67" s="1166"/>
      <c r="AR67" s="1166"/>
      <c r="AS67" s="1166"/>
      <c r="AT67" s="1166"/>
      <c r="AU67" s="1166"/>
      <c r="AV67" s="1166"/>
      <c r="AW67" s="1166"/>
      <c r="AX67" s="1166"/>
      <c r="AY67" s="1166"/>
      <c r="AZ67" s="1166"/>
      <c r="BA67" s="1166"/>
      <c r="BB67" s="1166"/>
      <c r="BC67" s="1166"/>
      <c r="BD67" s="1166"/>
      <c r="BE67" s="1166"/>
      <c r="BF67" s="1166"/>
      <c r="BG67" s="1166"/>
      <c r="BH67" s="1166"/>
      <c r="BI67" s="1166"/>
      <c r="BJ67" s="1166"/>
      <c r="BK67" s="1166"/>
      <c r="BL67" s="1166"/>
      <c r="BM67" s="1166"/>
      <c r="BN67" s="1166"/>
      <c r="BO67" s="1166"/>
      <c r="BP67" s="1166"/>
      <c r="BQ67" s="1166"/>
      <c r="BR67" s="1166"/>
      <c r="BS67" s="1166"/>
      <c r="BT67" s="1166"/>
      <c r="BU67" s="1166"/>
      <c r="BV67" s="1166"/>
      <c r="BW67" s="1166"/>
      <c r="BX67" s="1166"/>
      <c r="BY67" s="1166"/>
      <c r="BZ67" s="1166"/>
      <c r="CA67" s="1166"/>
      <c r="CB67" s="1166"/>
      <c r="CC67" s="1166"/>
      <c r="CD67" s="1166"/>
      <c r="CE67" s="1166"/>
      <c r="CF67" s="1166"/>
      <c r="CG67" s="1166"/>
      <c r="CH67" s="1166"/>
      <c r="CI67" s="1166"/>
      <c r="CJ67" s="1166"/>
      <c r="CK67" s="1166"/>
      <c r="CL67" s="1166"/>
      <c r="CM67" s="1166"/>
      <c r="CN67" s="1166"/>
      <c r="CO67" s="1166"/>
      <c r="CP67" s="1166"/>
      <c r="CQ67" s="1166"/>
      <c r="CR67" s="1166"/>
      <c r="CS67" s="1166"/>
      <c r="CT67" s="1166"/>
      <c r="CU67" s="1166"/>
      <c r="CV67" s="1166"/>
      <c r="CW67" s="1166"/>
      <c r="CX67" s="1166"/>
      <c r="CY67" s="1166"/>
      <c r="CZ67" s="1166"/>
      <c r="DA67" s="1166"/>
      <c r="DB67" s="1166"/>
      <c r="DC67" s="1166"/>
      <c r="DD67" s="1166"/>
      <c r="DE67" s="1166"/>
      <c r="DF67" s="1166"/>
      <c r="DG67" s="1166"/>
      <c r="DH67" s="1166"/>
      <c r="DI67" s="1166"/>
      <c r="DJ67" s="1166"/>
      <c r="DK67" s="1166"/>
      <c r="DL67" s="1166"/>
      <c r="DM67" s="1166"/>
      <c r="DN67" s="1166"/>
      <c r="DO67" s="1166"/>
      <c r="DP67" s="1166"/>
      <c r="DQ67" s="1166"/>
      <c r="DR67" s="1166"/>
      <c r="DS67" s="1166"/>
      <c r="DT67" s="1166"/>
      <c r="DU67" s="1166"/>
      <c r="DV67" s="1166"/>
      <c r="DW67" s="1166"/>
      <c r="DX67" s="1166"/>
      <c r="DY67" s="1166"/>
      <c r="DZ67" s="1166"/>
      <c r="EA67" s="1166"/>
      <c r="EB67" s="1166"/>
      <c r="EC67" s="1166"/>
      <c r="ED67" s="1166"/>
      <c r="EE67" s="1166"/>
      <c r="EF67" s="1166"/>
      <c r="EG67" s="1166"/>
      <c r="EH67" s="1166"/>
      <c r="EI67" s="1166"/>
      <c r="EJ67" s="1166"/>
      <c r="EK67" s="1166"/>
      <c r="EL67" s="1166"/>
      <c r="EM67" s="1166"/>
      <c r="EN67" s="1166"/>
      <c r="EO67" s="1166"/>
      <c r="EP67" s="1166"/>
      <c r="EQ67" s="1166"/>
      <c r="ER67" s="1166"/>
      <c r="ES67" s="1166"/>
      <c r="ET67" s="1166"/>
      <c r="EU67" s="1166"/>
      <c r="EV67" s="1166"/>
      <c r="EW67" s="1166"/>
      <c r="EX67" s="1166"/>
      <c r="EY67" s="1166"/>
      <c r="EZ67" s="1166"/>
      <c r="FA67" s="1166"/>
      <c r="FB67" s="1166"/>
      <c r="FC67" s="1166"/>
      <c r="FD67" s="1166"/>
      <c r="FE67" s="1166"/>
      <c r="FF67" s="1166"/>
      <c r="FG67" s="1166"/>
      <c r="FH67" s="1166"/>
      <c r="FI67" s="1166"/>
      <c r="FJ67" s="1166"/>
      <c r="FK67" s="1166"/>
      <c r="FL67" s="1166"/>
      <c r="FM67" s="1166"/>
      <c r="FN67" s="1166"/>
      <c r="FO67" s="1166"/>
      <c r="FP67" s="1166"/>
      <c r="FQ67" s="1166"/>
      <c r="FR67" s="1166"/>
      <c r="FS67" s="1166"/>
      <c r="FT67" s="1166"/>
      <c r="FU67" s="1166"/>
      <c r="FV67" s="1166"/>
      <c r="FW67" s="1166"/>
      <c r="FX67" s="1166"/>
      <c r="FY67" s="1166"/>
      <c r="FZ67" s="1166"/>
      <c r="GA67" s="1166"/>
      <c r="GB67" s="1166"/>
      <c r="GC67" s="1166"/>
      <c r="GD67" s="1166"/>
      <c r="GE67" s="1166"/>
      <c r="GF67" s="1166"/>
      <c r="GG67" s="1166"/>
      <c r="GH67" s="1166"/>
      <c r="GI67" s="1166"/>
      <c r="GJ67" s="1166"/>
      <c r="GK67" s="1166"/>
      <c r="GL67" s="1166"/>
      <c r="GM67" s="1166"/>
      <c r="GN67" s="1166"/>
      <c r="GO67" s="1166"/>
      <c r="GP67" s="1166"/>
      <c r="GQ67" s="1166"/>
      <c r="GR67" s="1166"/>
      <c r="GS67" s="1166"/>
      <c r="GT67" s="1166"/>
      <c r="GU67" s="1166"/>
      <c r="GV67" s="1166"/>
      <c r="GW67" s="1166"/>
      <c r="GX67" s="1166"/>
      <c r="GY67" s="1166"/>
      <c r="GZ67" s="1166"/>
      <c r="HA67" s="1166"/>
      <c r="HB67" s="1166"/>
      <c r="HC67" s="1166"/>
      <c r="HD67" s="1166"/>
      <c r="HE67" s="1166"/>
      <c r="HF67" s="1166"/>
      <c r="HG67" s="1166"/>
      <c r="HH67" s="1166"/>
      <c r="HI67" s="1166"/>
      <c r="HJ67" s="1166"/>
      <c r="HK67" s="1166"/>
      <c r="HL67" s="1166"/>
      <c r="HM67" s="1166"/>
      <c r="HN67" s="1166"/>
      <c r="HO67" s="1166"/>
      <c r="HP67" s="1166"/>
      <c r="HQ67" s="1166"/>
      <c r="HR67" s="1166"/>
      <c r="HS67" s="1166"/>
      <c r="HT67" s="1166"/>
      <c r="HU67" s="1166"/>
      <c r="HV67" s="1166"/>
      <c r="HW67" s="1166"/>
      <c r="HX67" s="1166"/>
      <c r="HY67" s="1166"/>
      <c r="HZ67" s="1166"/>
      <c r="IA67" s="1166"/>
      <c r="IB67" s="1166"/>
      <c r="IC67" s="1166"/>
      <c r="ID67" s="1166"/>
      <c r="IE67" s="1166"/>
      <c r="IF67" s="1166"/>
      <c r="IG67" s="1166"/>
      <c r="IH67" s="1166"/>
      <c r="II67" s="1166"/>
      <c r="IJ67" s="1166"/>
      <c r="IK67" s="1166"/>
      <c r="IL67" s="1166"/>
      <c r="IM67" s="1166"/>
      <c r="IN67" s="1166"/>
      <c r="IO67" s="1166"/>
      <c r="IP67" s="1166"/>
      <c r="IQ67" s="1166"/>
      <c r="IR67" s="1166"/>
      <c r="IS67" s="1166"/>
      <c r="IT67" s="1166"/>
      <c r="IU67" s="1166"/>
      <c r="IV67" s="1166"/>
    </row>
    <row r="68" spans="1:256" s="1464" customFormat="1" ht="18" customHeight="1" x14ac:dyDescent="0.35">
      <c r="A68" s="1452">
        <v>59</v>
      </c>
      <c r="B68" s="1509"/>
      <c r="C68" s="1499"/>
      <c r="D68" s="1481" t="s">
        <v>231</v>
      </c>
      <c r="E68" s="1501"/>
      <c r="F68" s="1501"/>
      <c r="G68" s="1510"/>
      <c r="H68" s="1503"/>
      <c r="I68" s="1511">
        <v>1323</v>
      </c>
      <c r="J68" s="1511">
        <v>182</v>
      </c>
      <c r="K68" s="1511">
        <v>4171</v>
      </c>
      <c r="L68" s="1511"/>
      <c r="M68" s="1511">
        <v>1000</v>
      </c>
      <c r="N68" s="1512"/>
      <c r="O68" s="1289">
        <f>SUM(I68:N68)</f>
        <v>6676</v>
      </c>
      <c r="P68" s="1518"/>
      <c r="Q68" s="1166"/>
      <c r="R68" s="1166"/>
      <c r="S68" s="1166"/>
      <c r="T68" s="1166"/>
      <c r="U68" s="1166"/>
      <c r="V68" s="1166"/>
      <c r="W68" s="1166"/>
      <c r="X68" s="1166"/>
      <c r="Y68" s="1166"/>
      <c r="Z68" s="1166"/>
      <c r="AA68" s="1166"/>
      <c r="AB68" s="1166"/>
      <c r="AC68" s="1166"/>
      <c r="AD68" s="1166"/>
      <c r="AE68" s="1166"/>
      <c r="AF68" s="1166"/>
      <c r="AG68" s="1166"/>
      <c r="AH68" s="1166"/>
      <c r="AI68" s="1166"/>
      <c r="AJ68" s="1166"/>
      <c r="AK68" s="1166"/>
      <c r="AL68" s="1166"/>
      <c r="AM68" s="1166"/>
      <c r="AN68" s="1166"/>
      <c r="AO68" s="1166"/>
      <c r="AP68" s="1166"/>
      <c r="AQ68" s="1166"/>
      <c r="AR68" s="1166"/>
      <c r="AS68" s="1166"/>
      <c r="AT68" s="1166"/>
      <c r="AU68" s="1166"/>
      <c r="AV68" s="1166"/>
      <c r="AW68" s="1166"/>
      <c r="AX68" s="1166"/>
      <c r="AY68" s="1166"/>
      <c r="AZ68" s="1166"/>
      <c r="BA68" s="1166"/>
      <c r="BB68" s="1166"/>
      <c r="BC68" s="1166"/>
      <c r="BD68" s="1166"/>
      <c r="BE68" s="1166"/>
      <c r="BF68" s="1166"/>
      <c r="BG68" s="1166"/>
      <c r="BH68" s="1166"/>
      <c r="BI68" s="1166"/>
      <c r="BJ68" s="1166"/>
      <c r="BK68" s="1166"/>
      <c r="BL68" s="1166"/>
      <c r="BM68" s="1166"/>
      <c r="BN68" s="1166"/>
      <c r="BO68" s="1166"/>
      <c r="BP68" s="1166"/>
      <c r="BQ68" s="1166"/>
      <c r="BR68" s="1166"/>
      <c r="BS68" s="1166"/>
      <c r="BT68" s="1166"/>
      <c r="BU68" s="1166"/>
      <c r="BV68" s="1166"/>
      <c r="BW68" s="1166"/>
      <c r="BX68" s="1166"/>
      <c r="BY68" s="1166"/>
      <c r="BZ68" s="1166"/>
      <c r="CA68" s="1166"/>
      <c r="CB68" s="1166"/>
      <c r="CC68" s="1166"/>
      <c r="CD68" s="1166"/>
      <c r="CE68" s="1166"/>
      <c r="CF68" s="1166"/>
      <c r="CG68" s="1166"/>
      <c r="CH68" s="1166"/>
      <c r="CI68" s="1166"/>
      <c r="CJ68" s="1166"/>
      <c r="CK68" s="1166"/>
      <c r="CL68" s="1166"/>
      <c r="CM68" s="1166"/>
      <c r="CN68" s="1166"/>
      <c r="CO68" s="1166"/>
      <c r="CP68" s="1166"/>
      <c r="CQ68" s="1166"/>
      <c r="CR68" s="1166"/>
      <c r="CS68" s="1166"/>
      <c r="CT68" s="1166"/>
      <c r="CU68" s="1166"/>
      <c r="CV68" s="1166"/>
      <c r="CW68" s="1166"/>
      <c r="CX68" s="1166"/>
      <c r="CY68" s="1166"/>
      <c r="CZ68" s="1166"/>
      <c r="DA68" s="1166"/>
      <c r="DB68" s="1166"/>
      <c r="DC68" s="1166"/>
      <c r="DD68" s="1166"/>
      <c r="DE68" s="1166"/>
      <c r="DF68" s="1166"/>
      <c r="DG68" s="1166"/>
      <c r="DH68" s="1166"/>
      <c r="DI68" s="1166"/>
      <c r="DJ68" s="1166"/>
      <c r="DK68" s="1166"/>
      <c r="DL68" s="1166"/>
      <c r="DM68" s="1166"/>
      <c r="DN68" s="1166"/>
      <c r="DO68" s="1166"/>
      <c r="DP68" s="1166"/>
      <c r="DQ68" s="1166"/>
      <c r="DR68" s="1166"/>
      <c r="DS68" s="1166"/>
      <c r="DT68" s="1166"/>
      <c r="DU68" s="1166"/>
      <c r="DV68" s="1166"/>
      <c r="DW68" s="1166"/>
      <c r="DX68" s="1166"/>
      <c r="DY68" s="1166"/>
      <c r="DZ68" s="1166"/>
      <c r="EA68" s="1166"/>
      <c r="EB68" s="1166"/>
      <c r="EC68" s="1166"/>
      <c r="ED68" s="1166"/>
      <c r="EE68" s="1166"/>
      <c r="EF68" s="1166"/>
      <c r="EG68" s="1166"/>
      <c r="EH68" s="1166"/>
      <c r="EI68" s="1166"/>
      <c r="EJ68" s="1166"/>
      <c r="EK68" s="1166"/>
      <c r="EL68" s="1166"/>
      <c r="EM68" s="1166"/>
      <c r="EN68" s="1166"/>
      <c r="EO68" s="1166"/>
      <c r="EP68" s="1166"/>
      <c r="EQ68" s="1166"/>
      <c r="ER68" s="1166"/>
      <c r="ES68" s="1166"/>
      <c r="ET68" s="1166"/>
      <c r="EU68" s="1166"/>
      <c r="EV68" s="1166"/>
      <c r="EW68" s="1166"/>
      <c r="EX68" s="1166"/>
      <c r="EY68" s="1166"/>
      <c r="EZ68" s="1166"/>
      <c r="FA68" s="1166"/>
      <c r="FB68" s="1166"/>
      <c r="FC68" s="1166"/>
      <c r="FD68" s="1166"/>
      <c r="FE68" s="1166"/>
      <c r="FF68" s="1166"/>
      <c r="FG68" s="1166"/>
      <c r="FH68" s="1166"/>
      <c r="FI68" s="1166"/>
      <c r="FJ68" s="1166"/>
      <c r="FK68" s="1166"/>
      <c r="FL68" s="1166"/>
      <c r="FM68" s="1166"/>
      <c r="FN68" s="1166"/>
      <c r="FO68" s="1166"/>
      <c r="FP68" s="1166"/>
      <c r="FQ68" s="1166"/>
      <c r="FR68" s="1166"/>
      <c r="FS68" s="1166"/>
      <c r="FT68" s="1166"/>
      <c r="FU68" s="1166"/>
      <c r="FV68" s="1166"/>
      <c r="FW68" s="1166"/>
      <c r="FX68" s="1166"/>
      <c r="FY68" s="1166"/>
      <c r="FZ68" s="1166"/>
      <c r="GA68" s="1166"/>
      <c r="GB68" s="1166"/>
      <c r="GC68" s="1166"/>
      <c r="GD68" s="1166"/>
      <c r="GE68" s="1166"/>
      <c r="GF68" s="1166"/>
      <c r="GG68" s="1166"/>
      <c r="GH68" s="1166"/>
      <c r="GI68" s="1166"/>
      <c r="GJ68" s="1166"/>
      <c r="GK68" s="1166"/>
      <c r="GL68" s="1166"/>
      <c r="GM68" s="1166"/>
      <c r="GN68" s="1166"/>
      <c r="GO68" s="1166"/>
      <c r="GP68" s="1166"/>
      <c r="GQ68" s="1166"/>
      <c r="GR68" s="1166"/>
      <c r="GS68" s="1166"/>
      <c r="GT68" s="1166"/>
      <c r="GU68" s="1166"/>
      <c r="GV68" s="1166"/>
      <c r="GW68" s="1166"/>
      <c r="GX68" s="1166"/>
      <c r="GY68" s="1166"/>
      <c r="GZ68" s="1166"/>
      <c r="HA68" s="1166"/>
      <c r="HB68" s="1166"/>
      <c r="HC68" s="1166"/>
      <c r="HD68" s="1166"/>
      <c r="HE68" s="1166"/>
      <c r="HF68" s="1166"/>
      <c r="HG68" s="1166"/>
      <c r="HH68" s="1166"/>
      <c r="HI68" s="1166"/>
      <c r="HJ68" s="1166"/>
      <c r="HK68" s="1166"/>
      <c r="HL68" s="1166"/>
      <c r="HM68" s="1166"/>
      <c r="HN68" s="1166"/>
      <c r="HO68" s="1166"/>
      <c r="HP68" s="1166"/>
      <c r="HQ68" s="1166"/>
      <c r="HR68" s="1166"/>
      <c r="HS68" s="1166"/>
      <c r="HT68" s="1166"/>
      <c r="HU68" s="1166"/>
      <c r="HV68" s="1166"/>
      <c r="HW68" s="1166"/>
      <c r="HX68" s="1166"/>
      <c r="HY68" s="1166"/>
      <c r="HZ68" s="1166"/>
      <c r="IA68" s="1166"/>
      <c r="IB68" s="1166"/>
      <c r="IC68" s="1166"/>
      <c r="ID68" s="1166"/>
      <c r="IE68" s="1166"/>
      <c r="IF68" s="1166"/>
      <c r="IG68" s="1166"/>
      <c r="IH68" s="1166"/>
      <c r="II68" s="1166"/>
      <c r="IJ68" s="1166"/>
      <c r="IK68" s="1166"/>
      <c r="IL68" s="1166"/>
      <c r="IM68" s="1166"/>
      <c r="IN68" s="1166"/>
      <c r="IO68" s="1166"/>
      <c r="IP68" s="1166"/>
      <c r="IQ68" s="1166"/>
      <c r="IR68" s="1166"/>
      <c r="IS68" s="1166"/>
      <c r="IT68" s="1166"/>
      <c r="IU68" s="1166"/>
      <c r="IV68" s="1166"/>
    </row>
    <row r="69" spans="1:256" s="1464" customFormat="1" ht="18" customHeight="1" x14ac:dyDescent="0.35">
      <c r="A69" s="1452">
        <v>60</v>
      </c>
      <c r="B69" s="1509"/>
      <c r="C69" s="1499"/>
      <c r="D69" s="1484" t="s">
        <v>232</v>
      </c>
      <c r="E69" s="1501"/>
      <c r="F69" s="1501"/>
      <c r="G69" s="1510"/>
      <c r="H69" s="1503"/>
      <c r="I69" s="1513"/>
      <c r="J69" s="1513"/>
      <c r="K69" s="1513"/>
      <c r="L69" s="1504"/>
      <c r="M69" s="1513"/>
      <c r="N69" s="1514"/>
      <c r="O69" s="1217">
        <f>SUM(I69:N69)</f>
        <v>0</v>
      </c>
      <c r="P69" s="1518"/>
      <c r="Q69" s="1166"/>
      <c r="R69" s="1166"/>
      <c r="S69" s="1166"/>
      <c r="T69" s="1166"/>
      <c r="U69" s="1166"/>
      <c r="V69" s="1166"/>
      <c r="W69" s="1166"/>
      <c r="X69" s="1166"/>
      <c r="Y69" s="1166"/>
      <c r="Z69" s="1166"/>
      <c r="AA69" s="1166"/>
      <c r="AB69" s="1166"/>
      <c r="AC69" s="1166"/>
      <c r="AD69" s="1166"/>
      <c r="AE69" s="1166"/>
      <c r="AF69" s="1166"/>
      <c r="AG69" s="1166"/>
      <c r="AH69" s="1166"/>
      <c r="AI69" s="1166"/>
      <c r="AJ69" s="1166"/>
      <c r="AK69" s="1166"/>
      <c r="AL69" s="1166"/>
      <c r="AM69" s="1166"/>
      <c r="AN69" s="1166"/>
      <c r="AO69" s="1166"/>
      <c r="AP69" s="1166"/>
      <c r="AQ69" s="1166"/>
      <c r="AR69" s="1166"/>
      <c r="AS69" s="1166"/>
      <c r="AT69" s="1166"/>
      <c r="AU69" s="1166"/>
      <c r="AV69" s="1166"/>
      <c r="AW69" s="1166"/>
      <c r="AX69" s="1166"/>
      <c r="AY69" s="1166"/>
      <c r="AZ69" s="1166"/>
      <c r="BA69" s="1166"/>
      <c r="BB69" s="1166"/>
      <c r="BC69" s="1166"/>
      <c r="BD69" s="1166"/>
      <c r="BE69" s="1166"/>
      <c r="BF69" s="1166"/>
      <c r="BG69" s="1166"/>
      <c r="BH69" s="1166"/>
      <c r="BI69" s="1166"/>
      <c r="BJ69" s="1166"/>
      <c r="BK69" s="1166"/>
      <c r="BL69" s="1166"/>
      <c r="BM69" s="1166"/>
      <c r="BN69" s="1166"/>
      <c r="BO69" s="1166"/>
      <c r="BP69" s="1166"/>
      <c r="BQ69" s="1166"/>
      <c r="BR69" s="1166"/>
      <c r="BS69" s="1166"/>
      <c r="BT69" s="1166"/>
      <c r="BU69" s="1166"/>
      <c r="BV69" s="1166"/>
      <c r="BW69" s="1166"/>
      <c r="BX69" s="1166"/>
      <c r="BY69" s="1166"/>
      <c r="BZ69" s="1166"/>
      <c r="CA69" s="1166"/>
      <c r="CB69" s="1166"/>
      <c r="CC69" s="1166"/>
      <c r="CD69" s="1166"/>
      <c r="CE69" s="1166"/>
      <c r="CF69" s="1166"/>
      <c r="CG69" s="1166"/>
      <c r="CH69" s="1166"/>
      <c r="CI69" s="1166"/>
      <c r="CJ69" s="1166"/>
      <c r="CK69" s="1166"/>
      <c r="CL69" s="1166"/>
      <c r="CM69" s="1166"/>
      <c r="CN69" s="1166"/>
      <c r="CO69" s="1166"/>
      <c r="CP69" s="1166"/>
      <c r="CQ69" s="1166"/>
      <c r="CR69" s="1166"/>
      <c r="CS69" s="1166"/>
      <c r="CT69" s="1166"/>
      <c r="CU69" s="1166"/>
      <c r="CV69" s="1166"/>
      <c r="CW69" s="1166"/>
      <c r="CX69" s="1166"/>
      <c r="CY69" s="1166"/>
      <c r="CZ69" s="1166"/>
      <c r="DA69" s="1166"/>
      <c r="DB69" s="1166"/>
      <c r="DC69" s="1166"/>
      <c r="DD69" s="1166"/>
      <c r="DE69" s="1166"/>
      <c r="DF69" s="1166"/>
      <c r="DG69" s="1166"/>
      <c r="DH69" s="1166"/>
      <c r="DI69" s="1166"/>
      <c r="DJ69" s="1166"/>
      <c r="DK69" s="1166"/>
      <c r="DL69" s="1166"/>
      <c r="DM69" s="1166"/>
      <c r="DN69" s="1166"/>
      <c r="DO69" s="1166"/>
      <c r="DP69" s="1166"/>
      <c r="DQ69" s="1166"/>
      <c r="DR69" s="1166"/>
      <c r="DS69" s="1166"/>
      <c r="DT69" s="1166"/>
      <c r="DU69" s="1166"/>
      <c r="DV69" s="1166"/>
      <c r="DW69" s="1166"/>
      <c r="DX69" s="1166"/>
      <c r="DY69" s="1166"/>
      <c r="DZ69" s="1166"/>
      <c r="EA69" s="1166"/>
      <c r="EB69" s="1166"/>
      <c r="EC69" s="1166"/>
      <c r="ED69" s="1166"/>
      <c r="EE69" s="1166"/>
      <c r="EF69" s="1166"/>
      <c r="EG69" s="1166"/>
      <c r="EH69" s="1166"/>
      <c r="EI69" s="1166"/>
      <c r="EJ69" s="1166"/>
      <c r="EK69" s="1166"/>
      <c r="EL69" s="1166"/>
      <c r="EM69" s="1166"/>
      <c r="EN69" s="1166"/>
      <c r="EO69" s="1166"/>
      <c r="EP69" s="1166"/>
      <c r="EQ69" s="1166"/>
      <c r="ER69" s="1166"/>
      <c r="ES69" s="1166"/>
      <c r="ET69" s="1166"/>
      <c r="EU69" s="1166"/>
      <c r="EV69" s="1166"/>
      <c r="EW69" s="1166"/>
      <c r="EX69" s="1166"/>
      <c r="EY69" s="1166"/>
      <c r="EZ69" s="1166"/>
      <c r="FA69" s="1166"/>
      <c r="FB69" s="1166"/>
      <c r="FC69" s="1166"/>
      <c r="FD69" s="1166"/>
      <c r="FE69" s="1166"/>
      <c r="FF69" s="1166"/>
      <c r="FG69" s="1166"/>
      <c r="FH69" s="1166"/>
      <c r="FI69" s="1166"/>
      <c r="FJ69" s="1166"/>
      <c r="FK69" s="1166"/>
      <c r="FL69" s="1166"/>
      <c r="FM69" s="1166"/>
      <c r="FN69" s="1166"/>
      <c r="FO69" s="1166"/>
      <c r="FP69" s="1166"/>
      <c r="FQ69" s="1166"/>
      <c r="FR69" s="1166"/>
      <c r="FS69" s="1166"/>
      <c r="FT69" s="1166"/>
      <c r="FU69" s="1166"/>
      <c r="FV69" s="1166"/>
      <c r="FW69" s="1166"/>
      <c r="FX69" s="1166"/>
      <c r="FY69" s="1166"/>
      <c r="FZ69" s="1166"/>
      <c r="GA69" s="1166"/>
      <c r="GB69" s="1166"/>
      <c r="GC69" s="1166"/>
      <c r="GD69" s="1166"/>
      <c r="GE69" s="1166"/>
      <c r="GF69" s="1166"/>
      <c r="GG69" s="1166"/>
      <c r="GH69" s="1166"/>
      <c r="GI69" s="1166"/>
      <c r="GJ69" s="1166"/>
      <c r="GK69" s="1166"/>
      <c r="GL69" s="1166"/>
      <c r="GM69" s="1166"/>
      <c r="GN69" s="1166"/>
      <c r="GO69" s="1166"/>
      <c r="GP69" s="1166"/>
      <c r="GQ69" s="1166"/>
      <c r="GR69" s="1166"/>
      <c r="GS69" s="1166"/>
      <c r="GT69" s="1166"/>
      <c r="GU69" s="1166"/>
      <c r="GV69" s="1166"/>
      <c r="GW69" s="1166"/>
      <c r="GX69" s="1166"/>
      <c r="GY69" s="1166"/>
      <c r="GZ69" s="1166"/>
      <c r="HA69" s="1166"/>
      <c r="HB69" s="1166"/>
      <c r="HC69" s="1166"/>
      <c r="HD69" s="1166"/>
      <c r="HE69" s="1166"/>
      <c r="HF69" s="1166"/>
      <c r="HG69" s="1166"/>
      <c r="HH69" s="1166"/>
      <c r="HI69" s="1166"/>
      <c r="HJ69" s="1166"/>
      <c r="HK69" s="1166"/>
      <c r="HL69" s="1166"/>
      <c r="HM69" s="1166"/>
      <c r="HN69" s="1166"/>
      <c r="HO69" s="1166"/>
      <c r="HP69" s="1166"/>
      <c r="HQ69" s="1166"/>
      <c r="HR69" s="1166"/>
      <c r="HS69" s="1166"/>
      <c r="HT69" s="1166"/>
      <c r="HU69" s="1166"/>
      <c r="HV69" s="1166"/>
      <c r="HW69" s="1166"/>
      <c r="HX69" s="1166"/>
      <c r="HY69" s="1166"/>
      <c r="HZ69" s="1166"/>
      <c r="IA69" s="1166"/>
      <c r="IB69" s="1166"/>
      <c r="IC69" s="1166"/>
      <c r="ID69" s="1166"/>
      <c r="IE69" s="1166"/>
      <c r="IF69" s="1166"/>
      <c r="IG69" s="1166"/>
      <c r="IH69" s="1166"/>
      <c r="II69" s="1166"/>
      <c r="IJ69" s="1166"/>
      <c r="IK69" s="1166"/>
      <c r="IL69" s="1166"/>
      <c r="IM69" s="1166"/>
      <c r="IN69" s="1166"/>
      <c r="IO69" s="1166"/>
      <c r="IP69" s="1166"/>
      <c r="IQ69" s="1166"/>
      <c r="IR69" s="1166"/>
      <c r="IS69" s="1166"/>
      <c r="IT69" s="1166"/>
      <c r="IU69" s="1166"/>
      <c r="IV69" s="1166"/>
    </row>
    <row r="70" spans="1:256" s="1464" customFormat="1" ht="18" customHeight="1" x14ac:dyDescent="0.35">
      <c r="A70" s="1452">
        <v>61</v>
      </c>
      <c r="B70" s="1509"/>
      <c r="C70" s="1499"/>
      <c r="D70" s="1481" t="s">
        <v>233</v>
      </c>
      <c r="E70" s="1501"/>
      <c r="F70" s="1501"/>
      <c r="G70" s="1510"/>
      <c r="H70" s="1503"/>
      <c r="I70" s="1511">
        <f>SUM(I68:I69)</f>
        <v>1323</v>
      </c>
      <c r="J70" s="1511">
        <f>SUM(J68:J69)</f>
        <v>182</v>
      </c>
      <c r="K70" s="1511">
        <f>SUM(K68:K69)</f>
        <v>4171</v>
      </c>
      <c r="L70" s="1511"/>
      <c r="M70" s="1511">
        <f>SUM(M68:M69)</f>
        <v>1000</v>
      </c>
      <c r="N70" s="1514"/>
      <c r="O70" s="1222">
        <f>SUM(I70:N70)</f>
        <v>6676</v>
      </c>
      <c r="P70" s="1518"/>
      <c r="Q70" s="1166"/>
      <c r="R70" s="1166"/>
      <c r="S70" s="1166"/>
      <c r="T70" s="1166"/>
      <c r="U70" s="1166"/>
      <c r="V70" s="1166"/>
      <c r="W70" s="1166"/>
      <c r="X70" s="1166"/>
      <c r="Y70" s="1166"/>
      <c r="Z70" s="1166"/>
      <c r="AA70" s="1166"/>
      <c r="AB70" s="1166"/>
      <c r="AC70" s="1166"/>
      <c r="AD70" s="1166"/>
      <c r="AE70" s="1166"/>
      <c r="AF70" s="1166"/>
      <c r="AG70" s="1166"/>
      <c r="AH70" s="1166"/>
      <c r="AI70" s="1166"/>
      <c r="AJ70" s="1166"/>
      <c r="AK70" s="1166"/>
      <c r="AL70" s="1166"/>
      <c r="AM70" s="1166"/>
      <c r="AN70" s="1166"/>
      <c r="AO70" s="1166"/>
      <c r="AP70" s="1166"/>
      <c r="AQ70" s="1166"/>
      <c r="AR70" s="1166"/>
      <c r="AS70" s="1166"/>
      <c r="AT70" s="1166"/>
      <c r="AU70" s="1166"/>
      <c r="AV70" s="1166"/>
      <c r="AW70" s="1166"/>
      <c r="AX70" s="1166"/>
      <c r="AY70" s="1166"/>
      <c r="AZ70" s="1166"/>
      <c r="BA70" s="1166"/>
      <c r="BB70" s="1166"/>
      <c r="BC70" s="1166"/>
      <c r="BD70" s="1166"/>
      <c r="BE70" s="1166"/>
      <c r="BF70" s="1166"/>
      <c r="BG70" s="1166"/>
      <c r="BH70" s="1166"/>
      <c r="BI70" s="1166"/>
      <c r="BJ70" s="1166"/>
      <c r="BK70" s="1166"/>
      <c r="BL70" s="1166"/>
      <c r="BM70" s="1166"/>
      <c r="BN70" s="1166"/>
      <c r="BO70" s="1166"/>
      <c r="BP70" s="1166"/>
      <c r="BQ70" s="1166"/>
      <c r="BR70" s="1166"/>
      <c r="BS70" s="1166"/>
      <c r="BT70" s="1166"/>
      <c r="BU70" s="1166"/>
      <c r="BV70" s="1166"/>
      <c r="BW70" s="1166"/>
      <c r="BX70" s="1166"/>
      <c r="BY70" s="1166"/>
      <c r="BZ70" s="1166"/>
      <c r="CA70" s="1166"/>
      <c r="CB70" s="1166"/>
      <c r="CC70" s="1166"/>
      <c r="CD70" s="1166"/>
      <c r="CE70" s="1166"/>
      <c r="CF70" s="1166"/>
      <c r="CG70" s="1166"/>
      <c r="CH70" s="1166"/>
      <c r="CI70" s="1166"/>
      <c r="CJ70" s="1166"/>
      <c r="CK70" s="1166"/>
      <c r="CL70" s="1166"/>
      <c r="CM70" s="1166"/>
      <c r="CN70" s="1166"/>
      <c r="CO70" s="1166"/>
      <c r="CP70" s="1166"/>
      <c r="CQ70" s="1166"/>
      <c r="CR70" s="1166"/>
      <c r="CS70" s="1166"/>
      <c r="CT70" s="1166"/>
      <c r="CU70" s="1166"/>
      <c r="CV70" s="1166"/>
      <c r="CW70" s="1166"/>
      <c r="CX70" s="1166"/>
      <c r="CY70" s="1166"/>
      <c r="CZ70" s="1166"/>
      <c r="DA70" s="1166"/>
      <c r="DB70" s="1166"/>
      <c r="DC70" s="1166"/>
      <c r="DD70" s="1166"/>
      <c r="DE70" s="1166"/>
      <c r="DF70" s="1166"/>
      <c r="DG70" s="1166"/>
      <c r="DH70" s="1166"/>
      <c r="DI70" s="1166"/>
      <c r="DJ70" s="1166"/>
      <c r="DK70" s="1166"/>
      <c r="DL70" s="1166"/>
      <c r="DM70" s="1166"/>
      <c r="DN70" s="1166"/>
      <c r="DO70" s="1166"/>
      <c r="DP70" s="1166"/>
      <c r="DQ70" s="1166"/>
      <c r="DR70" s="1166"/>
      <c r="DS70" s="1166"/>
      <c r="DT70" s="1166"/>
      <c r="DU70" s="1166"/>
      <c r="DV70" s="1166"/>
      <c r="DW70" s="1166"/>
      <c r="DX70" s="1166"/>
      <c r="DY70" s="1166"/>
      <c r="DZ70" s="1166"/>
      <c r="EA70" s="1166"/>
      <c r="EB70" s="1166"/>
      <c r="EC70" s="1166"/>
      <c r="ED70" s="1166"/>
      <c r="EE70" s="1166"/>
      <c r="EF70" s="1166"/>
      <c r="EG70" s="1166"/>
      <c r="EH70" s="1166"/>
      <c r="EI70" s="1166"/>
      <c r="EJ70" s="1166"/>
      <c r="EK70" s="1166"/>
      <c r="EL70" s="1166"/>
      <c r="EM70" s="1166"/>
      <c r="EN70" s="1166"/>
      <c r="EO70" s="1166"/>
      <c r="EP70" s="1166"/>
      <c r="EQ70" s="1166"/>
      <c r="ER70" s="1166"/>
      <c r="ES70" s="1166"/>
      <c r="ET70" s="1166"/>
      <c r="EU70" s="1166"/>
      <c r="EV70" s="1166"/>
      <c r="EW70" s="1166"/>
      <c r="EX70" s="1166"/>
      <c r="EY70" s="1166"/>
      <c r="EZ70" s="1166"/>
      <c r="FA70" s="1166"/>
      <c r="FB70" s="1166"/>
      <c r="FC70" s="1166"/>
      <c r="FD70" s="1166"/>
      <c r="FE70" s="1166"/>
      <c r="FF70" s="1166"/>
      <c r="FG70" s="1166"/>
      <c r="FH70" s="1166"/>
      <c r="FI70" s="1166"/>
      <c r="FJ70" s="1166"/>
      <c r="FK70" s="1166"/>
      <c r="FL70" s="1166"/>
      <c r="FM70" s="1166"/>
      <c r="FN70" s="1166"/>
      <c r="FO70" s="1166"/>
      <c r="FP70" s="1166"/>
      <c r="FQ70" s="1166"/>
      <c r="FR70" s="1166"/>
      <c r="FS70" s="1166"/>
      <c r="FT70" s="1166"/>
      <c r="FU70" s="1166"/>
      <c r="FV70" s="1166"/>
      <c r="FW70" s="1166"/>
      <c r="FX70" s="1166"/>
      <c r="FY70" s="1166"/>
      <c r="FZ70" s="1166"/>
      <c r="GA70" s="1166"/>
      <c r="GB70" s="1166"/>
      <c r="GC70" s="1166"/>
      <c r="GD70" s="1166"/>
      <c r="GE70" s="1166"/>
      <c r="GF70" s="1166"/>
      <c r="GG70" s="1166"/>
      <c r="GH70" s="1166"/>
      <c r="GI70" s="1166"/>
      <c r="GJ70" s="1166"/>
      <c r="GK70" s="1166"/>
      <c r="GL70" s="1166"/>
      <c r="GM70" s="1166"/>
      <c r="GN70" s="1166"/>
      <c r="GO70" s="1166"/>
      <c r="GP70" s="1166"/>
      <c r="GQ70" s="1166"/>
      <c r="GR70" s="1166"/>
      <c r="GS70" s="1166"/>
      <c r="GT70" s="1166"/>
      <c r="GU70" s="1166"/>
      <c r="GV70" s="1166"/>
      <c r="GW70" s="1166"/>
      <c r="GX70" s="1166"/>
      <c r="GY70" s="1166"/>
      <c r="GZ70" s="1166"/>
      <c r="HA70" s="1166"/>
      <c r="HB70" s="1166"/>
      <c r="HC70" s="1166"/>
      <c r="HD70" s="1166"/>
      <c r="HE70" s="1166"/>
      <c r="HF70" s="1166"/>
      <c r="HG70" s="1166"/>
      <c r="HH70" s="1166"/>
      <c r="HI70" s="1166"/>
      <c r="HJ70" s="1166"/>
      <c r="HK70" s="1166"/>
      <c r="HL70" s="1166"/>
      <c r="HM70" s="1166"/>
      <c r="HN70" s="1166"/>
      <c r="HO70" s="1166"/>
      <c r="HP70" s="1166"/>
      <c r="HQ70" s="1166"/>
      <c r="HR70" s="1166"/>
      <c r="HS70" s="1166"/>
      <c r="HT70" s="1166"/>
      <c r="HU70" s="1166"/>
      <c r="HV70" s="1166"/>
      <c r="HW70" s="1166"/>
      <c r="HX70" s="1166"/>
      <c r="HY70" s="1166"/>
      <c r="HZ70" s="1166"/>
      <c r="IA70" s="1166"/>
      <c r="IB70" s="1166"/>
      <c r="IC70" s="1166"/>
      <c r="ID70" s="1166"/>
      <c r="IE70" s="1166"/>
      <c r="IF70" s="1166"/>
      <c r="IG70" s="1166"/>
      <c r="IH70" s="1166"/>
      <c r="II70" s="1166"/>
      <c r="IJ70" s="1166"/>
      <c r="IK70" s="1166"/>
      <c r="IL70" s="1166"/>
      <c r="IM70" s="1166"/>
      <c r="IN70" s="1166"/>
      <c r="IO70" s="1166"/>
      <c r="IP70" s="1166"/>
      <c r="IQ70" s="1166"/>
      <c r="IR70" s="1166"/>
      <c r="IS70" s="1166"/>
      <c r="IT70" s="1166"/>
      <c r="IU70" s="1166"/>
      <c r="IV70" s="1166"/>
    </row>
    <row r="71" spans="1:256" s="1464" customFormat="1" ht="22.5" customHeight="1" x14ac:dyDescent="0.35">
      <c r="A71" s="1452">
        <v>62</v>
      </c>
      <c r="B71" s="1509"/>
      <c r="C71" s="1262">
        <v>18</v>
      </c>
      <c r="D71" s="1223" t="s">
        <v>318</v>
      </c>
      <c r="E71" s="1467">
        <f>F71+G71+O75+P72+13217</f>
        <v>71400</v>
      </c>
      <c r="F71" s="1501"/>
      <c r="G71" s="1510"/>
      <c r="H71" s="1516" t="s">
        <v>296</v>
      </c>
      <c r="I71" s="1504"/>
      <c r="J71" s="1504"/>
      <c r="K71" s="1504"/>
      <c r="L71" s="1504"/>
      <c r="M71" s="1504"/>
      <c r="N71" s="1514"/>
      <c r="O71" s="1507"/>
      <c r="P71" s="1508"/>
      <c r="Q71" s="1166"/>
      <c r="R71" s="1166"/>
      <c r="S71" s="1166"/>
      <c r="T71" s="1166"/>
      <c r="U71" s="1166"/>
      <c r="V71" s="1166"/>
      <c r="W71" s="1166"/>
      <c r="X71" s="1166"/>
      <c r="Y71" s="1166"/>
      <c r="Z71" s="1166"/>
      <c r="AA71" s="1166"/>
      <c r="AB71" s="1166"/>
      <c r="AC71" s="1166"/>
      <c r="AD71" s="1166"/>
      <c r="AE71" s="1166"/>
      <c r="AF71" s="1166"/>
      <c r="AG71" s="1166"/>
      <c r="AH71" s="1166"/>
      <c r="AI71" s="1166"/>
      <c r="AJ71" s="1166"/>
      <c r="AK71" s="1166"/>
      <c r="AL71" s="1166"/>
      <c r="AM71" s="1166"/>
      <c r="AN71" s="1166"/>
      <c r="AO71" s="1166"/>
      <c r="AP71" s="1166"/>
      <c r="AQ71" s="1166"/>
      <c r="AR71" s="1166"/>
      <c r="AS71" s="1166"/>
      <c r="AT71" s="1166"/>
      <c r="AU71" s="1166"/>
      <c r="AV71" s="1166"/>
      <c r="AW71" s="1166"/>
      <c r="AX71" s="1166"/>
      <c r="AY71" s="1166"/>
      <c r="AZ71" s="1166"/>
      <c r="BA71" s="1166"/>
      <c r="BB71" s="1166"/>
      <c r="BC71" s="1166"/>
      <c r="BD71" s="1166"/>
      <c r="BE71" s="1166"/>
      <c r="BF71" s="1166"/>
      <c r="BG71" s="1166"/>
      <c r="BH71" s="1166"/>
      <c r="BI71" s="1166"/>
      <c r="BJ71" s="1166"/>
      <c r="BK71" s="1166"/>
      <c r="BL71" s="1166"/>
      <c r="BM71" s="1166"/>
      <c r="BN71" s="1166"/>
      <c r="BO71" s="1166"/>
      <c r="BP71" s="1166"/>
      <c r="BQ71" s="1166"/>
      <c r="BR71" s="1166"/>
      <c r="BS71" s="1166"/>
      <c r="BT71" s="1166"/>
      <c r="BU71" s="1166"/>
      <c r="BV71" s="1166"/>
      <c r="BW71" s="1166"/>
      <c r="BX71" s="1166"/>
      <c r="BY71" s="1166"/>
      <c r="BZ71" s="1166"/>
      <c r="CA71" s="1166"/>
      <c r="CB71" s="1166"/>
      <c r="CC71" s="1166"/>
      <c r="CD71" s="1166"/>
      <c r="CE71" s="1166"/>
      <c r="CF71" s="1166"/>
      <c r="CG71" s="1166"/>
      <c r="CH71" s="1166"/>
      <c r="CI71" s="1166"/>
      <c r="CJ71" s="1166"/>
      <c r="CK71" s="1166"/>
      <c r="CL71" s="1166"/>
      <c r="CM71" s="1166"/>
      <c r="CN71" s="1166"/>
      <c r="CO71" s="1166"/>
      <c r="CP71" s="1166"/>
      <c r="CQ71" s="1166"/>
      <c r="CR71" s="1166"/>
      <c r="CS71" s="1166"/>
      <c r="CT71" s="1166"/>
      <c r="CU71" s="1166"/>
      <c r="CV71" s="1166"/>
      <c r="CW71" s="1166"/>
      <c r="CX71" s="1166"/>
      <c r="CY71" s="1166"/>
      <c r="CZ71" s="1166"/>
      <c r="DA71" s="1166"/>
      <c r="DB71" s="1166"/>
      <c r="DC71" s="1166"/>
      <c r="DD71" s="1166"/>
      <c r="DE71" s="1166"/>
      <c r="DF71" s="1166"/>
      <c r="DG71" s="1166"/>
      <c r="DH71" s="1166"/>
      <c r="DI71" s="1166"/>
      <c r="DJ71" s="1166"/>
      <c r="DK71" s="1166"/>
      <c r="DL71" s="1166"/>
      <c r="DM71" s="1166"/>
      <c r="DN71" s="1166"/>
      <c r="DO71" s="1166"/>
      <c r="DP71" s="1166"/>
      <c r="DQ71" s="1166"/>
      <c r="DR71" s="1166"/>
      <c r="DS71" s="1166"/>
      <c r="DT71" s="1166"/>
      <c r="DU71" s="1166"/>
      <c r="DV71" s="1166"/>
      <c r="DW71" s="1166"/>
      <c r="DX71" s="1166"/>
      <c r="DY71" s="1166"/>
      <c r="DZ71" s="1166"/>
      <c r="EA71" s="1166"/>
      <c r="EB71" s="1166"/>
      <c r="EC71" s="1166"/>
      <c r="ED71" s="1166"/>
      <c r="EE71" s="1166"/>
      <c r="EF71" s="1166"/>
      <c r="EG71" s="1166"/>
      <c r="EH71" s="1166"/>
      <c r="EI71" s="1166"/>
      <c r="EJ71" s="1166"/>
      <c r="EK71" s="1166"/>
      <c r="EL71" s="1166"/>
      <c r="EM71" s="1166"/>
      <c r="EN71" s="1166"/>
      <c r="EO71" s="1166"/>
      <c r="EP71" s="1166"/>
      <c r="EQ71" s="1166"/>
      <c r="ER71" s="1166"/>
      <c r="ES71" s="1166"/>
      <c r="ET71" s="1166"/>
      <c r="EU71" s="1166"/>
      <c r="EV71" s="1166"/>
      <c r="EW71" s="1166"/>
      <c r="EX71" s="1166"/>
      <c r="EY71" s="1166"/>
      <c r="EZ71" s="1166"/>
      <c r="FA71" s="1166"/>
      <c r="FB71" s="1166"/>
      <c r="FC71" s="1166"/>
      <c r="FD71" s="1166"/>
      <c r="FE71" s="1166"/>
      <c r="FF71" s="1166"/>
      <c r="FG71" s="1166"/>
      <c r="FH71" s="1166"/>
      <c r="FI71" s="1166"/>
      <c r="FJ71" s="1166"/>
      <c r="FK71" s="1166"/>
      <c r="FL71" s="1166"/>
      <c r="FM71" s="1166"/>
      <c r="FN71" s="1166"/>
      <c r="FO71" s="1166"/>
      <c r="FP71" s="1166"/>
      <c r="FQ71" s="1166"/>
      <c r="FR71" s="1166"/>
      <c r="FS71" s="1166"/>
      <c r="FT71" s="1166"/>
      <c r="FU71" s="1166"/>
      <c r="FV71" s="1166"/>
      <c r="FW71" s="1166"/>
      <c r="FX71" s="1166"/>
      <c r="FY71" s="1166"/>
      <c r="FZ71" s="1166"/>
      <c r="GA71" s="1166"/>
      <c r="GB71" s="1166"/>
      <c r="GC71" s="1166"/>
      <c r="GD71" s="1166"/>
      <c r="GE71" s="1166"/>
      <c r="GF71" s="1166"/>
      <c r="GG71" s="1166"/>
      <c r="GH71" s="1166"/>
      <c r="GI71" s="1166"/>
      <c r="GJ71" s="1166"/>
      <c r="GK71" s="1166"/>
      <c r="GL71" s="1166"/>
      <c r="GM71" s="1166"/>
      <c r="GN71" s="1166"/>
      <c r="GO71" s="1166"/>
      <c r="GP71" s="1166"/>
      <c r="GQ71" s="1166"/>
      <c r="GR71" s="1166"/>
      <c r="GS71" s="1166"/>
      <c r="GT71" s="1166"/>
      <c r="GU71" s="1166"/>
      <c r="GV71" s="1166"/>
      <c r="GW71" s="1166"/>
      <c r="GX71" s="1166"/>
      <c r="GY71" s="1166"/>
      <c r="GZ71" s="1166"/>
      <c r="HA71" s="1166"/>
      <c r="HB71" s="1166"/>
      <c r="HC71" s="1166"/>
      <c r="HD71" s="1166"/>
      <c r="HE71" s="1166"/>
      <c r="HF71" s="1166"/>
      <c r="HG71" s="1166"/>
      <c r="HH71" s="1166"/>
      <c r="HI71" s="1166"/>
      <c r="HJ71" s="1166"/>
      <c r="HK71" s="1166"/>
      <c r="HL71" s="1166"/>
      <c r="HM71" s="1166"/>
      <c r="HN71" s="1166"/>
      <c r="HO71" s="1166"/>
      <c r="HP71" s="1166"/>
      <c r="HQ71" s="1166"/>
      <c r="HR71" s="1166"/>
      <c r="HS71" s="1166"/>
      <c r="HT71" s="1166"/>
      <c r="HU71" s="1166"/>
      <c r="HV71" s="1166"/>
      <c r="HW71" s="1166"/>
      <c r="HX71" s="1166"/>
      <c r="HY71" s="1166"/>
      <c r="HZ71" s="1166"/>
      <c r="IA71" s="1166"/>
      <c r="IB71" s="1166"/>
      <c r="IC71" s="1166"/>
      <c r="ID71" s="1166"/>
      <c r="IE71" s="1166"/>
      <c r="IF71" s="1166"/>
      <c r="IG71" s="1166"/>
      <c r="IH71" s="1166"/>
      <c r="II71" s="1166"/>
      <c r="IJ71" s="1166"/>
      <c r="IK71" s="1166"/>
      <c r="IL71" s="1166"/>
      <c r="IM71" s="1166"/>
      <c r="IN71" s="1166"/>
      <c r="IO71" s="1166"/>
      <c r="IP71" s="1166"/>
      <c r="IQ71" s="1166"/>
      <c r="IR71" s="1166"/>
      <c r="IS71" s="1166"/>
      <c r="IT71" s="1166"/>
      <c r="IU71" s="1166"/>
      <c r="IV71" s="1166"/>
    </row>
    <row r="72" spans="1:256" s="1464" customFormat="1" ht="18" customHeight="1" x14ac:dyDescent="0.35">
      <c r="A72" s="1452">
        <v>63</v>
      </c>
      <c r="B72" s="1509"/>
      <c r="C72" s="1499"/>
      <c r="D72" s="1500" t="s">
        <v>230</v>
      </c>
      <c r="E72" s="1501"/>
      <c r="F72" s="1501"/>
      <c r="G72" s="1510"/>
      <c r="H72" s="1503"/>
      <c r="I72" s="1504"/>
      <c r="J72" s="1504"/>
      <c r="K72" s="1504">
        <v>22029</v>
      </c>
      <c r="L72" s="1504"/>
      <c r="M72" s="1504"/>
      <c r="N72" s="1514"/>
      <c r="O72" s="1507">
        <f>SUM(I72:N72)</f>
        <v>22029</v>
      </c>
      <c r="P72" s="1517">
        <f>40911+5499</f>
        <v>46410</v>
      </c>
      <c r="Q72" s="1166"/>
      <c r="R72" s="1166"/>
      <c r="S72" s="1166"/>
      <c r="T72" s="1166"/>
      <c r="U72" s="1166"/>
      <c r="V72" s="1166"/>
      <c r="W72" s="1166"/>
      <c r="X72" s="1166"/>
      <c r="Y72" s="1166"/>
      <c r="Z72" s="1166"/>
      <c r="AA72" s="1166"/>
      <c r="AB72" s="1166"/>
      <c r="AC72" s="1166"/>
      <c r="AD72" s="1166"/>
      <c r="AE72" s="1166"/>
      <c r="AF72" s="1166"/>
      <c r="AG72" s="1166"/>
      <c r="AH72" s="1166"/>
      <c r="AI72" s="1166"/>
      <c r="AJ72" s="1166"/>
      <c r="AK72" s="1166"/>
      <c r="AL72" s="1166"/>
      <c r="AM72" s="1166"/>
      <c r="AN72" s="1166"/>
      <c r="AO72" s="1166"/>
      <c r="AP72" s="1166"/>
      <c r="AQ72" s="1166"/>
      <c r="AR72" s="1166"/>
      <c r="AS72" s="1166"/>
      <c r="AT72" s="1166"/>
      <c r="AU72" s="1166"/>
      <c r="AV72" s="1166"/>
      <c r="AW72" s="1166"/>
      <c r="AX72" s="1166"/>
      <c r="AY72" s="1166"/>
      <c r="AZ72" s="1166"/>
      <c r="BA72" s="1166"/>
      <c r="BB72" s="1166"/>
      <c r="BC72" s="1166"/>
      <c r="BD72" s="1166"/>
      <c r="BE72" s="1166"/>
      <c r="BF72" s="1166"/>
      <c r="BG72" s="1166"/>
      <c r="BH72" s="1166"/>
      <c r="BI72" s="1166"/>
      <c r="BJ72" s="1166"/>
      <c r="BK72" s="1166"/>
      <c r="BL72" s="1166"/>
      <c r="BM72" s="1166"/>
      <c r="BN72" s="1166"/>
      <c r="BO72" s="1166"/>
      <c r="BP72" s="1166"/>
      <c r="BQ72" s="1166"/>
      <c r="BR72" s="1166"/>
      <c r="BS72" s="1166"/>
      <c r="BT72" s="1166"/>
      <c r="BU72" s="1166"/>
      <c r="BV72" s="1166"/>
      <c r="BW72" s="1166"/>
      <c r="BX72" s="1166"/>
      <c r="BY72" s="1166"/>
      <c r="BZ72" s="1166"/>
      <c r="CA72" s="1166"/>
      <c r="CB72" s="1166"/>
      <c r="CC72" s="1166"/>
      <c r="CD72" s="1166"/>
      <c r="CE72" s="1166"/>
      <c r="CF72" s="1166"/>
      <c r="CG72" s="1166"/>
      <c r="CH72" s="1166"/>
      <c r="CI72" s="1166"/>
      <c r="CJ72" s="1166"/>
      <c r="CK72" s="1166"/>
      <c r="CL72" s="1166"/>
      <c r="CM72" s="1166"/>
      <c r="CN72" s="1166"/>
      <c r="CO72" s="1166"/>
      <c r="CP72" s="1166"/>
      <c r="CQ72" s="1166"/>
      <c r="CR72" s="1166"/>
      <c r="CS72" s="1166"/>
      <c r="CT72" s="1166"/>
      <c r="CU72" s="1166"/>
      <c r="CV72" s="1166"/>
      <c r="CW72" s="1166"/>
      <c r="CX72" s="1166"/>
      <c r="CY72" s="1166"/>
      <c r="CZ72" s="1166"/>
      <c r="DA72" s="1166"/>
      <c r="DB72" s="1166"/>
      <c r="DC72" s="1166"/>
      <c r="DD72" s="1166"/>
      <c r="DE72" s="1166"/>
      <c r="DF72" s="1166"/>
      <c r="DG72" s="1166"/>
      <c r="DH72" s="1166"/>
      <c r="DI72" s="1166"/>
      <c r="DJ72" s="1166"/>
      <c r="DK72" s="1166"/>
      <c r="DL72" s="1166"/>
      <c r="DM72" s="1166"/>
      <c r="DN72" s="1166"/>
      <c r="DO72" s="1166"/>
      <c r="DP72" s="1166"/>
      <c r="DQ72" s="1166"/>
      <c r="DR72" s="1166"/>
      <c r="DS72" s="1166"/>
      <c r="DT72" s="1166"/>
      <c r="DU72" s="1166"/>
      <c r="DV72" s="1166"/>
      <c r="DW72" s="1166"/>
      <c r="DX72" s="1166"/>
      <c r="DY72" s="1166"/>
      <c r="DZ72" s="1166"/>
      <c r="EA72" s="1166"/>
      <c r="EB72" s="1166"/>
      <c r="EC72" s="1166"/>
      <c r="ED72" s="1166"/>
      <c r="EE72" s="1166"/>
      <c r="EF72" s="1166"/>
      <c r="EG72" s="1166"/>
      <c r="EH72" s="1166"/>
      <c r="EI72" s="1166"/>
      <c r="EJ72" s="1166"/>
      <c r="EK72" s="1166"/>
      <c r="EL72" s="1166"/>
      <c r="EM72" s="1166"/>
      <c r="EN72" s="1166"/>
      <c r="EO72" s="1166"/>
      <c r="EP72" s="1166"/>
      <c r="EQ72" s="1166"/>
      <c r="ER72" s="1166"/>
      <c r="ES72" s="1166"/>
      <c r="ET72" s="1166"/>
      <c r="EU72" s="1166"/>
      <c r="EV72" s="1166"/>
      <c r="EW72" s="1166"/>
      <c r="EX72" s="1166"/>
      <c r="EY72" s="1166"/>
      <c r="EZ72" s="1166"/>
      <c r="FA72" s="1166"/>
      <c r="FB72" s="1166"/>
      <c r="FC72" s="1166"/>
      <c r="FD72" s="1166"/>
      <c r="FE72" s="1166"/>
      <c r="FF72" s="1166"/>
      <c r="FG72" s="1166"/>
      <c r="FH72" s="1166"/>
      <c r="FI72" s="1166"/>
      <c r="FJ72" s="1166"/>
      <c r="FK72" s="1166"/>
      <c r="FL72" s="1166"/>
      <c r="FM72" s="1166"/>
      <c r="FN72" s="1166"/>
      <c r="FO72" s="1166"/>
      <c r="FP72" s="1166"/>
      <c r="FQ72" s="1166"/>
      <c r="FR72" s="1166"/>
      <c r="FS72" s="1166"/>
      <c r="FT72" s="1166"/>
      <c r="FU72" s="1166"/>
      <c r="FV72" s="1166"/>
      <c r="FW72" s="1166"/>
      <c r="FX72" s="1166"/>
      <c r="FY72" s="1166"/>
      <c r="FZ72" s="1166"/>
      <c r="GA72" s="1166"/>
      <c r="GB72" s="1166"/>
      <c r="GC72" s="1166"/>
      <c r="GD72" s="1166"/>
      <c r="GE72" s="1166"/>
      <c r="GF72" s="1166"/>
      <c r="GG72" s="1166"/>
      <c r="GH72" s="1166"/>
      <c r="GI72" s="1166"/>
      <c r="GJ72" s="1166"/>
      <c r="GK72" s="1166"/>
      <c r="GL72" s="1166"/>
      <c r="GM72" s="1166"/>
      <c r="GN72" s="1166"/>
      <c r="GO72" s="1166"/>
      <c r="GP72" s="1166"/>
      <c r="GQ72" s="1166"/>
      <c r="GR72" s="1166"/>
      <c r="GS72" s="1166"/>
      <c r="GT72" s="1166"/>
      <c r="GU72" s="1166"/>
      <c r="GV72" s="1166"/>
      <c r="GW72" s="1166"/>
      <c r="GX72" s="1166"/>
      <c r="GY72" s="1166"/>
      <c r="GZ72" s="1166"/>
      <c r="HA72" s="1166"/>
      <c r="HB72" s="1166"/>
      <c r="HC72" s="1166"/>
      <c r="HD72" s="1166"/>
      <c r="HE72" s="1166"/>
      <c r="HF72" s="1166"/>
      <c r="HG72" s="1166"/>
      <c r="HH72" s="1166"/>
      <c r="HI72" s="1166"/>
      <c r="HJ72" s="1166"/>
      <c r="HK72" s="1166"/>
      <c r="HL72" s="1166"/>
      <c r="HM72" s="1166"/>
      <c r="HN72" s="1166"/>
      <c r="HO72" s="1166"/>
      <c r="HP72" s="1166"/>
      <c r="HQ72" s="1166"/>
      <c r="HR72" s="1166"/>
      <c r="HS72" s="1166"/>
      <c r="HT72" s="1166"/>
      <c r="HU72" s="1166"/>
      <c r="HV72" s="1166"/>
      <c r="HW72" s="1166"/>
      <c r="HX72" s="1166"/>
      <c r="HY72" s="1166"/>
      <c r="HZ72" s="1166"/>
      <c r="IA72" s="1166"/>
      <c r="IB72" s="1166"/>
      <c r="IC72" s="1166"/>
      <c r="ID72" s="1166"/>
      <c r="IE72" s="1166"/>
      <c r="IF72" s="1166"/>
      <c r="IG72" s="1166"/>
      <c r="IH72" s="1166"/>
      <c r="II72" s="1166"/>
      <c r="IJ72" s="1166"/>
      <c r="IK72" s="1166"/>
      <c r="IL72" s="1166"/>
      <c r="IM72" s="1166"/>
      <c r="IN72" s="1166"/>
      <c r="IO72" s="1166"/>
      <c r="IP72" s="1166"/>
      <c r="IQ72" s="1166"/>
      <c r="IR72" s="1166"/>
      <c r="IS72" s="1166"/>
      <c r="IT72" s="1166"/>
      <c r="IU72" s="1166"/>
      <c r="IV72" s="1166"/>
    </row>
    <row r="73" spans="1:256" s="1464" customFormat="1" ht="18" customHeight="1" x14ac:dyDescent="0.35">
      <c r="A73" s="1452">
        <v>64</v>
      </c>
      <c r="B73" s="1509"/>
      <c r="C73" s="1499"/>
      <c r="D73" s="1481" t="s">
        <v>231</v>
      </c>
      <c r="E73" s="1501"/>
      <c r="F73" s="1501"/>
      <c r="G73" s="1510"/>
      <c r="H73" s="1503"/>
      <c r="I73" s="1511">
        <v>400</v>
      </c>
      <c r="J73" s="1511">
        <v>52</v>
      </c>
      <c r="K73" s="1511">
        <v>11221</v>
      </c>
      <c r="L73" s="1511"/>
      <c r="M73" s="1511">
        <v>100</v>
      </c>
      <c r="N73" s="1512"/>
      <c r="O73" s="1289">
        <f>SUM(I73:N73)</f>
        <v>11773</v>
      </c>
      <c r="P73" s="1518"/>
      <c r="Q73" s="1166"/>
      <c r="R73" s="1166"/>
      <c r="S73" s="1166"/>
      <c r="T73" s="1166"/>
      <c r="U73" s="1166"/>
      <c r="V73" s="1166"/>
      <c r="W73" s="1166"/>
      <c r="X73" s="1166"/>
      <c r="Y73" s="1166"/>
      <c r="Z73" s="1166"/>
      <c r="AA73" s="1166"/>
      <c r="AB73" s="1166"/>
      <c r="AC73" s="1166"/>
      <c r="AD73" s="1166"/>
      <c r="AE73" s="1166"/>
      <c r="AF73" s="1166"/>
      <c r="AG73" s="1166"/>
      <c r="AH73" s="1166"/>
      <c r="AI73" s="1166"/>
      <c r="AJ73" s="1166"/>
      <c r="AK73" s="1166"/>
      <c r="AL73" s="1166"/>
      <c r="AM73" s="1166"/>
      <c r="AN73" s="1166"/>
      <c r="AO73" s="1166"/>
      <c r="AP73" s="1166"/>
      <c r="AQ73" s="1166"/>
      <c r="AR73" s="1166"/>
      <c r="AS73" s="1166"/>
      <c r="AT73" s="1166"/>
      <c r="AU73" s="1166"/>
      <c r="AV73" s="1166"/>
      <c r="AW73" s="1166"/>
      <c r="AX73" s="1166"/>
      <c r="AY73" s="1166"/>
      <c r="AZ73" s="1166"/>
      <c r="BA73" s="1166"/>
      <c r="BB73" s="1166"/>
      <c r="BC73" s="1166"/>
      <c r="BD73" s="1166"/>
      <c r="BE73" s="1166"/>
      <c r="BF73" s="1166"/>
      <c r="BG73" s="1166"/>
      <c r="BH73" s="1166"/>
      <c r="BI73" s="1166"/>
      <c r="BJ73" s="1166"/>
      <c r="BK73" s="1166"/>
      <c r="BL73" s="1166"/>
      <c r="BM73" s="1166"/>
      <c r="BN73" s="1166"/>
      <c r="BO73" s="1166"/>
      <c r="BP73" s="1166"/>
      <c r="BQ73" s="1166"/>
      <c r="BR73" s="1166"/>
      <c r="BS73" s="1166"/>
      <c r="BT73" s="1166"/>
      <c r="BU73" s="1166"/>
      <c r="BV73" s="1166"/>
      <c r="BW73" s="1166"/>
      <c r="BX73" s="1166"/>
      <c r="BY73" s="1166"/>
      <c r="BZ73" s="1166"/>
      <c r="CA73" s="1166"/>
      <c r="CB73" s="1166"/>
      <c r="CC73" s="1166"/>
      <c r="CD73" s="1166"/>
      <c r="CE73" s="1166"/>
      <c r="CF73" s="1166"/>
      <c r="CG73" s="1166"/>
      <c r="CH73" s="1166"/>
      <c r="CI73" s="1166"/>
      <c r="CJ73" s="1166"/>
      <c r="CK73" s="1166"/>
      <c r="CL73" s="1166"/>
      <c r="CM73" s="1166"/>
      <c r="CN73" s="1166"/>
      <c r="CO73" s="1166"/>
      <c r="CP73" s="1166"/>
      <c r="CQ73" s="1166"/>
      <c r="CR73" s="1166"/>
      <c r="CS73" s="1166"/>
      <c r="CT73" s="1166"/>
      <c r="CU73" s="1166"/>
      <c r="CV73" s="1166"/>
      <c r="CW73" s="1166"/>
      <c r="CX73" s="1166"/>
      <c r="CY73" s="1166"/>
      <c r="CZ73" s="1166"/>
      <c r="DA73" s="1166"/>
      <c r="DB73" s="1166"/>
      <c r="DC73" s="1166"/>
      <c r="DD73" s="1166"/>
      <c r="DE73" s="1166"/>
      <c r="DF73" s="1166"/>
      <c r="DG73" s="1166"/>
      <c r="DH73" s="1166"/>
      <c r="DI73" s="1166"/>
      <c r="DJ73" s="1166"/>
      <c r="DK73" s="1166"/>
      <c r="DL73" s="1166"/>
      <c r="DM73" s="1166"/>
      <c r="DN73" s="1166"/>
      <c r="DO73" s="1166"/>
      <c r="DP73" s="1166"/>
      <c r="DQ73" s="1166"/>
      <c r="DR73" s="1166"/>
      <c r="DS73" s="1166"/>
      <c r="DT73" s="1166"/>
      <c r="DU73" s="1166"/>
      <c r="DV73" s="1166"/>
      <c r="DW73" s="1166"/>
      <c r="DX73" s="1166"/>
      <c r="DY73" s="1166"/>
      <c r="DZ73" s="1166"/>
      <c r="EA73" s="1166"/>
      <c r="EB73" s="1166"/>
      <c r="EC73" s="1166"/>
      <c r="ED73" s="1166"/>
      <c r="EE73" s="1166"/>
      <c r="EF73" s="1166"/>
      <c r="EG73" s="1166"/>
      <c r="EH73" s="1166"/>
      <c r="EI73" s="1166"/>
      <c r="EJ73" s="1166"/>
      <c r="EK73" s="1166"/>
      <c r="EL73" s="1166"/>
      <c r="EM73" s="1166"/>
      <c r="EN73" s="1166"/>
      <c r="EO73" s="1166"/>
      <c r="EP73" s="1166"/>
      <c r="EQ73" s="1166"/>
      <c r="ER73" s="1166"/>
      <c r="ES73" s="1166"/>
      <c r="ET73" s="1166"/>
      <c r="EU73" s="1166"/>
      <c r="EV73" s="1166"/>
      <c r="EW73" s="1166"/>
      <c r="EX73" s="1166"/>
      <c r="EY73" s="1166"/>
      <c r="EZ73" s="1166"/>
      <c r="FA73" s="1166"/>
      <c r="FB73" s="1166"/>
      <c r="FC73" s="1166"/>
      <c r="FD73" s="1166"/>
      <c r="FE73" s="1166"/>
      <c r="FF73" s="1166"/>
      <c r="FG73" s="1166"/>
      <c r="FH73" s="1166"/>
      <c r="FI73" s="1166"/>
      <c r="FJ73" s="1166"/>
      <c r="FK73" s="1166"/>
      <c r="FL73" s="1166"/>
      <c r="FM73" s="1166"/>
      <c r="FN73" s="1166"/>
      <c r="FO73" s="1166"/>
      <c r="FP73" s="1166"/>
      <c r="FQ73" s="1166"/>
      <c r="FR73" s="1166"/>
      <c r="FS73" s="1166"/>
      <c r="FT73" s="1166"/>
      <c r="FU73" s="1166"/>
      <c r="FV73" s="1166"/>
      <c r="FW73" s="1166"/>
      <c r="FX73" s="1166"/>
      <c r="FY73" s="1166"/>
      <c r="FZ73" s="1166"/>
      <c r="GA73" s="1166"/>
      <c r="GB73" s="1166"/>
      <c r="GC73" s="1166"/>
      <c r="GD73" s="1166"/>
      <c r="GE73" s="1166"/>
      <c r="GF73" s="1166"/>
      <c r="GG73" s="1166"/>
      <c r="GH73" s="1166"/>
      <c r="GI73" s="1166"/>
      <c r="GJ73" s="1166"/>
      <c r="GK73" s="1166"/>
      <c r="GL73" s="1166"/>
      <c r="GM73" s="1166"/>
      <c r="GN73" s="1166"/>
      <c r="GO73" s="1166"/>
      <c r="GP73" s="1166"/>
      <c r="GQ73" s="1166"/>
      <c r="GR73" s="1166"/>
      <c r="GS73" s="1166"/>
      <c r="GT73" s="1166"/>
      <c r="GU73" s="1166"/>
      <c r="GV73" s="1166"/>
      <c r="GW73" s="1166"/>
      <c r="GX73" s="1166"/>
      <c r="GY73" s="1166"/>
      <c r="GZ73" s="1166"/>
      <c r="HA73" s="1166"/>
      <c r="HB73" s="1166"/>
      <c r="HC73" s="1166"/>
      <c r="HD73" s="1166"/>
      <c r="HE73" s="1166"/>
      <c r="HF73" s="1166"/>
      <c r="HG73" s="1166"/>
      <c r="HH73" s="1166"/>
      <c r="HI73" s="1166"/>
      <c r="HJ73" s="1166"/>
      <c r="HK73" s="1166"/>
      <c r="HL73" s="1166"/>
      <c r="HM73" s="1166"/>
      <c r="HN73" s="1166"/>
      <c r="HO73" s="1166"/>
      <c r="HP73" s="1166"/>
      <c r="HQ73" s="1166"/>
      <c r="HR73" s="1166"/>
      <c r="HS73" s="1166"/>
      <c r="HT73" s="1166"/>
      <c r="HU73" s="1166"/>
      <c r="HV73" s="1166"/>
      <c r="HW73" s="1166"/>
      <c r="HX73" s="1166"/>
      <c r="HY73" s="1166"/>
      <c r="HZ73" s="1166"/>
      <c r="IA73" s="1166"/>
      <c r="IB73" s="1166"/>
      <c r="IC73" s="1166"/>
      <c r="ID73" s="1166"/>
      <c r="IE73" s="1166"/>
      <c r="IF73" s="1166"/>
      <c r="IG73" s="1166"/>
      <c r="IH73" s="1166"/>
      <c r="II73" s="1166"/>
      <c r="IJ73" s="1166"/>
      <c r="IK73" s="1166"/>
      <c r="IL73" s="1166"/>
      <c r="IM73" s="1166"/>
      <c r="IN73" s="1166"/>
      <c r="IO73" s="1166"/>
      <c r="IP73" s="1166"/>
      <c r="IQ73" s="1166"/>
      <c r="IR73" s="1166"/>
      <c r="IS73" s="1166"/>
      <c r="IT73" s="1166"/>
      <c r="IU73" s="1166"/>
      <c r="IV73" s="1166"/>
    </row>
    <row r="74" spans="1:256" s="1464" customFormat="1" ht="18" customHeight="1" x14ac:dyDescent="0.35">
      <c r="A74" s="1452">
        <v>65</v>
      </c>
      <c r="B74" s="1509"/>
      <c r="C74" s="1499"/>
      <c r="D74" s="1484" t="s">
        <v>232</v>
      </c>
      <c r="E74" s="1501"/>
      <c r="F74" s="1501"/>
      <c r="G74" s="1510"/>
      <c r="H74" s="1503"/>
      <c r="I74" s="1513"/>
      <c r="J74" s="1513"/>
      <c r="K74" s="1513"/>
      <c r="L74" s="1504"/>
      <c r="M74" s="1513"/>
      <c r="N74" s="1514"/>
      <c r="O74" s="1217">
        <f>SUM(I74:N74)</f>
        <v>0</v>
      </c>
      <c r="P74" s="1518"/>
      <c r="Q74" s="1166"/>
      <c r="R74" s="1166"/>
      <c r="S74" s="1166"/>
      <c r="T74" s="1166"/>
      <c r="U74" s="1166"/>
      <c r="V74" s="1166"/>
      <c r="W74" s="1166"/>
      <c r="X74" s="1166"/>
      <c r="Y74" s="1166"/>
      <c r="Z74" s="1166"/>
      <c r="AA74" s="1166"/>
      <c r="AB74" s="1166"/>
      <c r="AC74" s="1166"/>
      <c r="AD74" s="1166"/>
      <c r="AE74" s="1166"/>
      <c r="AF74" s="1166"/>
      <c r="AG74" s="1166"/>
      <c r="AH74" s="1166"/>
      <c r="AI74" s="1166"/>
      <c r="AJ74" s="1166"/>
      <c r="AK74" s="1166"/>
      <c r="AL74" s="1166"/>
      <c r="AM74" s="1166"/>
      <c r="AN74" s="1166"/>
      <c r="AO74" s="1166"/>
      <c r="AP74" s="1166"/>
      <c r="AQ74" s="1166"/>
      <c r="AR74" s="1166"/>
      <c r="AS74" s="1166"/>
      <c r="AT74" s="1166"/>
      <c r="AU74" s="1166"/>
      <c r="AV74" s="1166"/>
      <c r="AW74" s="1166"/>
      <c r="AX74" s="1166"/>
      <c r="AY74" s="1166"/>
      <c r="AZ74" s="1166"/>
      <c r="BA74" s="1166"/>
      <c r="BB74" s="1166"/>
      <c r="BC74" s="1166"/>
      <c r="BD74" s="1166"/>
      <c r="BE74" s="1166"/>
      <c r="BF74" s="1166"/>
      <c r="BG74" s="1166"/>
      <c r="BH74" s="1166"/>
      <c r="BI74" s="1166"/>
      <c r="BJ74" s="1166"/>
      <c r="BK74" s="1166"/>
      <c r="BL74" s="1166"/>
      <c r="BM74" s="1166"/>
      <c r="BN74" s="1166"/>
      <c r="BO74" s="1166"/>
      <c r="BP74" s="1166"/>
      <c r="BQ74" s="1166"/>
      <c r="BR74" s="1166"/>
      <c r="BS74" s="1166"/>
      <c r="BT74" s="1166"/>
      <c r="BU74" s="1166"/>
      <c r="BV74" s="1166"/>
      <c r="BW74" s="1166"/>
      <c r="BX74" s="1166"/>
      <c r="BY74" s="1166"/>
      <c r="BZ74" s="1166"/>
      <c r="CA74" s="1166"/>
      <c r="CB74" s="1166"/>
      <c r="CC74" s="1166"/>
      <c r="CD74" s="1166"/>
      <c r="CE74" s="1166"/>
      <c r="CF74" s="1166"/>
      <c r="CG74" s="1166"/>
      <c r="CH74" s="1166"/>
      <c r="CI74" s="1166"/>
      <c r="CJ74" s="1166"/>
      <c r="CK74" s="1166"/>
      <c r="CL74" s="1166"/>
      <c r="CM74" s="1166"/>
      <c r="CN74" s="1166"/>
      <c r="CO74" s="1166"/>
      <c r="CP74" s="1166"/>
      <c r="CQ74" s="1166"/>
      <c r="CR74" s="1166"/>
      <c r="CS74" s="1166"/>
      <c r="CT74" s="1166"/>
      <c r="CU74" s="1166"/>
      <c r="CV74" s="1166"/>
      <c r="CW74" s="1166"/>
      <c r="CX74" s="1166"/>
      <c r="CY74" s="1166"/>
      <c r="CZ74" s="1166"/>
      <c r="DA74" s="1166"/>
      <c r="DB74" s="1166"/>
      <c r="DC74" s="1166"/>
      <c r="DD74" s="1166"/>
      <c r="DE74" s="1166"/>
      <c r="DF74" s="1166"/>
      <c r="DG74" s="1166"/>
      <c r="DH74" s="1166"/>
      <c r="DI74" s="1166"/>
      <c r="DJ74" s="1166"/>
      <c r="DK74" s="1166"/>
      <c r="DL74" s="1166"/>
      <c r="DM74" s="1166"/>
      <c r="DN74" s="1166"/>
      <c r="DO74" s="1166"/>
      <c r="DP74" s="1166"/>
      <c r="DQ74" s="1166"/>
      <c r="DR74" s="1166"/>
      <c r="DS74" s="1166"/>
      <c r="DT74" s="1166"/>
      <c r="DU74" s="1166"/>
      <c r="DV74" s="1166"/>
      <c r="DW74" s="1166"/>
      <c r="DX74" s="1166"/>
      <c r="DY74" s="1166"/>
      <c r="DZ74" s="1166"/>
      <c r="EA74" s="1166"/>
      <c r="EB74" s="1166"/>
      <c r="EC74" s="1166"/>
      <c r="ED74" s="1166"/>
      <c r="EE74" s="1166"/>
      <c r="EF74" s="1166"/>
      <c r="EG74" s="1166"/>
      <c r="EH74" s="1166"/>
      <c r="EI74" s="1166"/>
      <c r="EJ74" s="1166"/>
      <c r="EK74" s="1166"/>
      <c r="EL74" s="1166"/>
      <c r="EM74" s="1166"/>
      <c r="EN74" s="1166"/>
      <c r="EO74" s="1166"/>
      <c r="EP74" s="1166"/>
      <c r="EQ74" s="1166"/>
      <c r="ER74" s="1166"/>
      <c r="ES74" s="1166"/>
      <c r="ET74" s="1166"/>
      <c r="EU74" s="1166"/>
      <c r="EV74" s="1166"/>
      <c r="EW74" s="1166"/>
      <c r="EX74" s="1166"/>
      <c r="EY74" s="1166"/>
      <c r="EZ74" s="1166"/>
      <c r="FA74" s="1166"/>
      <c r="FB74" s="1166"/>
      <c r="FC74" s="1166"/>
      <c r="FD74" s="1166"/>
      <c r="FE74" s="1166"/>
      <c r="FF74" s="1166"/>
      <c r="FG74" s="1166"/>
      <c r="FH74" s="1166"/>
      <c r="FI74" s="1166"/>
      <c r="FJ74" s="1166"/>
      <c r="FK74" s="1166"/>
      <c r="FL74" s="1166"/>
      <c r="FM74" s="1166"/>
      <c r="FN74" s="1166"/>
      <c r="FO74" s="1166"/>
      <c r="FP74" s="1166"/>
      <c r="FQ74" s="1166"/>
      <c r="FR74" s="1166"/>
      <c r="FS74" s="1166"/>
      <c r="FT74" s="1166"/>
      <c r="FU74" s="1166"/>
      <c r="FV74" s="1166"/>
      <c r="FW74" s="1166"/>
      <c r="FX74" s="1166"/>
      <c r="FY74" s="1166"/>
      <c r="FZ74" s="1166"/>
      <c r="GA74" s="1166"/>
      <c r="GB74" s="1166"/>
      <c r="GC74" s="1166"/>
      <c r="GD74" s="1166"/>
      <c r="GE74" s="1166"/>
      <c r="GF74" s="1166"/>
      <c r="GG74" s="1166"/>
      <c r="GH74" s="1166"/>
      <c r="GI74" s="1166"/>
      <c r="GJ74" s="1166"/>
      <c r="GK74" s="1166"/>
      <c r="GL74" s="1166"/>
      <c r="GM74" s="1166"/>
      <c r="GN74" s="1166"/>
      <c r="GO74" s="1166"/>
      <c r="GP74" s="1166"/>
      <c r="GQ74" s="1166"/>
      <c r="GR74" s="1166"/>
      <c r="GS74" s="1166"/>
      <c r="GT74" s="1166"/>
      <c r="GU74" s="1166"/>
      <c r="GV74" s="1166"/>
      <c r="GW74" s="1166"/>
      <c r="GX74" s="1166"/>
      <c r="GY74" s="1166"/>
      <c r="GZ74" s="1166"/>
      <c r="HA74" s="1166"/>
      <c r="HB74" s="1166"/>
      <c r="HC74" s="1166"/>
      <c r="HD74" s="1166"/>
      <c r="HE74" s="1166"/>
      <c r="HF74" s="1166"/>
      <c r="HG74" s="1166"/>
      <c r="HH74" s="1166"/>
      <c r="HI74" s="1166"/>
      <c r="HJ74" s="1166"/>
      <c r="HK74" s="1166"/>
      <c r="HL74" s="1166"/>
      <c r="HM74" s="1166"/>
      <c r="HN74" s="1166"/>
      <c r="HO74" s="1166"/>
      <c r="HP74" s="1166"/>
      <c r="HQ74" s="1166"/>
      <c r="HR74" s="1166"/>
      <c r="HS74" s="1166"/>
      <c r="HT74" s="1166"/>
      <c r="HU74" s="1166"/>
      <c r="HV74" s="1166"/>
      <c r="HW74" s="1166"/>
      <c r="HX74" s="1166"/>
      <c r="HY74" s="1166"/>
      <c r="HZ74" s="1166"/>
      <c r="IA74" s="1166"/>
      <c r="IB74" s="1166"/>
      <c r="IC74" s="1166"/>
      <c r="ID74" s="1166"/>
      <c r="IE74" s="1166"/>
      <c r="IF74" s="1166"/>
      <c r="IG74" s="1166"/>
      <c r="IH74" s="1166"/>
      <c r="II74" s="1166"/>
      <c r="IJ74" s="1166"/>
      <c r="IK74" s="1166"/>
      <c r="IL74" s="1166"/>
      <c r="IM74" s="1166"/>
      <c r="IN74" s="1166"/>
      <c r="IO74" s="1166"/>
      <c r="IP74" s="1166"/>
      <c r="IQ74" s="1166"/>
      <c r="IR74" s="1166"/>
      <c r="IS74" s="1166"/>
      <c r="IT74" s="1166"/>
      <c r="IU74" s="1166"/>
      <c r="IV74" s="1166"/>
    </row>
    <row r="75" spans="1:256" s="1464" customFormat="1" ht="18" customHeight="1" x14ac:dyDescent="0.35">
      <c r="A75" s="1452">
        <v>66</v>
      </c>
      <c r="B75" s="1509"/>
      <c r="C75" s="1499"/>
      <c r="D75" s="1481" t="s">
        <v>233</v>
      </c>
      <c r="E75" s="1501"/>
      <c r="F75" s="1501"/>
      <c r="G75" s="1510"/>
      <c r="H75" s="1503"/>
      <c r="I75" s="1511">
        <f>SUM(I73:I74)</f>
        <v>400</v>
      </c>
      <c r="J75" s="1511">
        <f>SUM(J73:J74)</f>
        <v>52</v>
      </c>
      <c r="K75" s="1511">
        <f>SUM(K73:K74)</f>
        <v>11221</v>
      </c>
      <c r="L75" s="1511"/>
      <c r="M75" s="1511">
        <f>SUM(M73:M74)</f>
        <v>100</v>
      </c>
      <c r="N75" s="1514"/>
      <c r="O75" s="1222">
        <f>SUM(I75:N75)</f>
        <v>11773</v>
      </c>
      <c r="P75" s="1518"/>
      <c r="Q75" s="1166"/>
      <c r="R75" s="1166"/>
      <c r="S75" s="1166"/>
      <c r="T75" s="1166"/>
      <c r="U75" s="1166"/>
      <c r="V75" s="1166"/>
      <c r="W75" s="1166"/>
      <c r="X75" s="1166"/>
      <c r="Y75" s="1166"/>
      <c r="Z75" s="1166"/>
      <c r="AA75" s="1166"/>
      <c r="AB75" s="1166"/>
      <c r="AC75" s="1166"/>
      <c r="AD75" s="1166"/>
      <c r="AE75" s="1166"/>
      <c r="AF75" s="1166"/>
      <c r="AG75" s="1166"/>
      <c r="AH75" s="1166"/>
      <c r="AI75" s="1166"/>
      <c r="AJ75" s="1166"/>
      <c r="AK75" s="1166"/>
      <c r="AL75" s="1166"/>
      <c r="AM75" s="1166"/>
      <c r="AN75" s="1166"/>
      <c r="AO75" s="1166"/>
      <c r="AP75" s="1166"/>
      <c r="AQ75" s="1166"/>
      <c r="AR75" s="1166"/>
      <c r="AS75" s="1166"/>
      <c r="AT75" s="1166"/>
      <c r="AU75" s="1166"/>
      <c r="AV75" s="1166"/>
      <c r="AW75" s="1166"/>
      <c r="AX75" s="1166"/>
      <c r="AY75" s="1166"/>
      <c r="AZ75" s="1166"/>
      <c r="BA75" s="1166"/>
      <c r="BB75" s="1166"/>
      <c r="BC75" s="1166"/>
      <c r="BD75" s="1166"/>
      <c r="BE75" s="1166"/>
      <c r="BF75" s="1166"/>
      <c r="BG75" s="1166"/>
      <c r="BH75" s="1166"/>
      <c r="BI75" s="1166"/>
      <c r="BJ75" s="1166"/>
      <c r="BK75" s="1166"/>
      <c r="BL75" s="1166"/>
      <c r="BM75" s="1166"/>
      <c r="BN75" s="1166"/>
      <c r="BO75" s="1166"/>
      <c r="BP75" s="1166"/>
      <c r="BQ75" s="1166"/>
      <c r="BR75" s="1166"/>
      <c r="BS75" s="1166"/>
      <c r="BT75" s="1166"/>
      <c r="BU75" s="1166"/>
      <c r="BV75" s="1166"/>
      <c r="BW75" s="1166"/>
      <c r="BX75" s="1166"/>
      <c r="BY75" s="1166"/>
      <c r="BZ75" s="1166"/>
      <c r="CA75" s="1166"/>
      <c r="CB75" s="1166"/>
      <c r="CC75" s="1166"/>
      <c r="CD75" s="1166"/>
      <c r="CE75" s="1166"/>
      <c r="CF75" s="1166"/>
      <c r="CG75" s="1166"/>
      <c r="CH75" s="1166"/>
      <c r="CI75" s="1166"/>
      <c r="CJ75" s="1166"/>
      <c r="CK75" s="1166"/>
      <c r="CL75" s="1166"/>
      <c r="CM75" s="1166"/>
      <c r="CN75" s="1166"/>
      <c r="CO75" s="1166"/>
      <c r="CP75" s="1166"/>
      <c r="CQ75" s="1166"/>
      <c r="CR75" s="1166"/>
      <c r="CS75" s="1166"/>
      <c r="CT75" s="1166"/>
      <c r="CU75" s="1166"/>
      <c r="CV75" s="1166"/>
      <c r="CW75" s="1166"/>
      <c r="CX75" s="1166"/>
      <c r="CY75" s="1166"/>
      <c r="CZ75" s="1166"/>
      <c r="DA75" s="1166"/>
      <c r="DB75" s="1166"/>
      <c r="DC75" s="1166"/>
      <c r="DD75" s="1166"/>
      <c r="DE75" s="1166"/>
      <c r="DF75" s="1166"/>
      <c r="DG75" s="1166"/>
      <c r="DH75" s="1166"/>
      <c r="DI75" s="1166"/>
      <c r="DJ75" s="1166"/>
      <c r="DK75" s="1166"/>
      <c r="DL75" s="1166"/>
      <c r="DM75" s="1166"/>
      <c r="DN75" s="1166"/>
      <c r="DO75" s="1166"/>
      <c r="DP75" s="1166"/>
      <c r="DQ75" s="1166"/>
      <c r="DR75" s="1166"/>
      <c r="DS75" s="1166"/>
      <c r="DT75" s="1166"/>
      <c r="DU75" s="1166"/>
      <c r="DV75" s="1166"/>
      <c r="DW75" s="1166"/>
      <c r="DX75" s="1166"/>
      <c r="DY75" s="1166"/>
      <c r="DZ75" s="1166"/>
      <c r="EA75" s="1166"/>
      <c r="EB75" s="1166"/>
      <c r="EC75" s="1166"/>
      <c r="ED75" s="1166"/>
      <c r="EE75" s="1166"/>
      <c r="EF75" s="1166"/>
      <c r="EG75" s="1166"/>
      <c r="EH75" s="1166"/>
      <c r="EI75" s="1166"/>
      <c r="EJ75" s="1166"/>
      <c r="EK75" s="1166"/>
      <c r="EL75" s="1166"/>
      <c r="EM75" s="1166"/>
      <c r="EN75" s="1166"/>
      <c r="EO75" s="1166"/>
      <c r="EP75" s="1166"/>
      <c r="EQ75" s="1166"/>
      <c r="ER75" s="1166"/>
      <c r="ES75" s="1166"/>
      <c r="ET75" s="1166"/>
      <c r="EU75" s="1166"/>
      <c r="EV75" s="1166"/>
      <c r="EW75" s="1166"/>
      <c r="EX75" s="1166"/>
      <c r="EY75" s="1166"/>
      <c r="EZ75" s="1166"/>
      <c r="FA75" s="1166"/>
      <c r="FB75" s="1166"/>
      <c r="FC75" s="1166"/>
      <c r="FD75" s="1166"/>
      <c r="FE75" s="1166"/>
      <c r="FF75" s="1166"/>
      <c r="FG75" s="1166"/>
      <c r="FH75" s="1166"/>
      <c r="FI75" s="1166"/>
      <c r="FJ75" s="1166"/>
      <c r="FK75" s="1166"/>
      <c r="FL75" s="1166"/>
      <c r="FM75" s="1166"/>
      <c r="FN75" s="1166"/>
      <c r="FO75" s="1166"/>
      <c r="FP75" s="1166"/>
      <c r="FQ75" s="1166"/>
      <c r="FR75" s="1166"/>
      <c r="FS75" s="1166"/>
      <c r="FT75" s="1166"/>
      <c r="FU75" s="1166"/>
      <c r="FV75" s="1166"/>
      <c r="FW75" s="1166"/>
      <c r="FX75" s="1166"/>
      <c r="FY75" s="1166"/>
      <c r="FZ75" s="1166"/>
      <c r="GA75" s="1166"/>
      <c r="GB75" s="1166"/>
      <c r="GC75" s="1166"/>
      <c r="GD75" s="1166"/>
      <c r="GE75" s="1166"/>
      <c r="GF75" s="1166"/>
      <c r="GG75" s="1166"/>
      <c r="GH75" s="1166"/>
      <c r="GI75" s="1166"/>
      <c r="GJ75" s="1166"/>
      <c r="GK75" s="1166"/>
      <c r="GL75" s="1166"/>
      <c r="GM75" s="1166"/>
      <c r="GN75" s="1166"/>
      <c r="GO75" s="1166"/>
      <c r="GP75" s="1166"/>
      <c r="GQ75" s="1166"/>
      <c r="GR75" s="1166"/>
      <c r="GS75" s="1166"/>
      <c r="GT75" s="1166"/>
      <c r="GU75" s="1166"/>
      <c r="GV75" s="1166"/>
      <c r="GW75" s="1166"/>
      <c r="GX75" s="1166"/>
      <c r="GY75" s="1166"/>
      <c r="GZ75" s="1166"/>
      <c r="HA75" s="1166"/>
      <c r="HB75" s="1166"/>
      <c r="HC75" s="1166"/>
      <c r="HD75" s="1166"/>
      <c r="HE75" s="1166"/>
      <c r="HF75" s="1166"/>
      <c r="HG75" s="1166"/>
      <c r="HH75" s="1166"/>
      <c r="HI75" s="1166"/>
      <c r="HJ75" s="1166"/>
      <c r="HK75" s="1166"/>
      <c r="HL75" s="1166"/>
      <c r="HM75" s="1166"/>
      <c r="HN75" s="1166"/>
      <c r="HO75" s="1166"/>
      <c r="HP75" s="1166"/>
      <c r="HQ75" s="1166"/>
      <c r="HR75" s="1166"/>
      <c r="HS75" s="1166"/>
      <c r="HT75" s="1166"/>
      <c r="HU75" s="1166"/>
      <c r="HV75" s="1166"/>
      <c r="HW75" s="1166"/>
      <c r="HX75" s="1166"/>
      <c r="HY75" s="1166"/>
      <c r="HZ75" s="1166"/>
      <c r="IA75" s="1166"/>
      <c r="IB75" s="1166"/>
      <c r="IC75" s="1166"/>
      <c r="ID75" s="1166"/>
      <c r="IE75" s="1166"/>
      <c r="IF75" s="1166"/>
      <c r="IG75" s="1166"/>
      <c r="IH75" s="1166"/>
      <c r="II75" s="1166"/>
      <c r="IJ75" s="1166"/>
      <c r="IK75" s="1166"/>
      <c r="IL75" s="1166"/>
      <c r="IM75" s="1166"/>
      <c r="IN75" s="1166"/>
      <c r="IO75" s="1166"/>
      <c r="IP75" s="1166"/>
      <c r="IQ75" s="1166"/>
      <c r="IR75" s="1166"/>
      <c r="IS75" s="1166"/>
      <c r="IT75" s="1166"/>
      <c r="IU75" s="1166"/>
      <c r="IV75" s="1166"/>
    </row>
    <row r="76" spans="1:256" s="1464" customFormat="1" ht="22.5" customHeight="1" x14ac:dyDescent="0.35">
      <c r="A76" s="1452">
        <v>67</v>
      </c>
      <c r="B76" s="1509"/>
      <c r="C76" s="1262">
        <v>19</v>
      </c>
      <c r="D76" s="1223" t="s">
        <v>319</v>
      </c>
      <c r="E76" s="1467">
        <f>F76+G76+O80+P77+9270</f>
        <v>81765</v>
      </c>
      <c r="F76" s="1501"/>
      <c r="G76" s="1510"/>
      <c r="H76" s="1516" t="s">
        <v>296</v>
      </c>
      <c r="I76" s="1504"/>
      <c r="J76" s="1504"/>
      <c r="K76" s="1504"/>
      <c r="L76" s="1504"/>
      <c r="M76" s="1504"/>
      <c r="N76" s="1514"/>
      <c r="O76" s="1507"/>
      <c r="P76" s="1508"/>
      <c r="Q76" s="1166"/>
      <c r="R76" s="1166"/>
      <c r="S76" s="1166"/>
      <c r="T76" s="1166"/>
      <c r="U76" s="1166"/>
      <c r="V76" s="1166"/>
      <c r="W76" s="1166"/>
      <c r="X76" s="1166"/>
      <c r="Y76" s="1166"/>
      <c r="Z76" s="1166"/>
      <c r="AA76" s="1166"/>
      <c r="AB76" s="1166"/>
      <c r="AC76" s="1166"/>
      <c r="AD76" s="1166"/>
      <c r="AE76" s="1166"/>
      <c r="AF76" s="1166"/>
      <c r="AG76" s="1166"/>
      <c r="AH76" s="1166"/>
      <c r="AI76" s="1166"/>
      <c r="AJ76" s="1166"/>
      <c r="AK76" s="1166"/>
      <c r="AL76" s="1166"/>
      <c r="AM76" s="1166"/>
      <c r="AN76" s="1166"/>
      <c r="AO76" s="1166"/>
      <c r="AP76" s="1166"/>
      <c r="AQ76" s="1166"/>
      <c r="AR76" s="1166"/>
      <c r="AS76" s="1166"/>
      <c r="AT76" s="1166"/>
      <c r="AU76" s="1166"/>
      <c r="AV76" s="1166"/>
      <c r="AW76" s="1166"/>
      <c r="AX76" s="1166"/>
      <c r="AY76" s="1166"/>
      <c r="AZ76" s="1166"/>
      <c r="BA76" s="1166"/>
      <c r="BB76" s="1166"/>
      <c r="BC76" s="1166"/>
      <c r="BD76" s="1166"/>
      <c r="BE76" s="1166"/>
      <c r="BF76" s="1166"/>
      <c r="BG76" s="1166"/>
      <c r="BH76" s="1166"/>
      <c r="BI76" s="1166"/>
      <c r="BJ76" s="1166"/>
      <c r="BK76" s="1166"/>
      <c r="BL76" s="1166"/>
      <c r="BM76" s="1166"/>
      <c r="BN76" s="1166"/>
      <c r="BO76" s="1166"/>
      <c r="BP76" s="1166"/>
      <c r="BQ76" s="1166"/>
      <c r="BR76" s="1166"/>
      <c r="BS76" s="1166"/>
      <c r="BT76" s="1166"/>
      <c r="BU76" s="1166"/>
      <c r="BV76" s="1166"/>
      <c r="BW76" s="1166"/>
      <c r="BX76" s="1166"/>
      <c r="BY76" s="1166"/>
      <c r="BZ76" s="1166"/>
      <c r="CA76" s="1166"/>
      <c r="CB76" s="1166"/>
      <c r="CC76" s="1166"/>
      <c r="CD76" s="1166"/>
      <c r="CE76" s="1166"/>
      <c r="CF76" s="1166"/>
      <c r="CG76" s="1166"/>
      <c r="CH76" s="1166"/>
      <c r="CI76" s="1166"/>
      <c r="CJ76" s="1166"/>
      <c r="CK76" s="1166"/>
      <c r="CL76" s="1166"/>
      <c r="CM76" s="1166"/>
      <c r="CN76" s="1166"/>
      <c r="CO76" s="1166"/>
      <c r="CP76" s="1166"/>
      <c r="CQ76" s="1166"/>
      <c r="CR76" s="1166"/>
      <c r="CS76" s="1166"/>
      <c r="CT76" s="1166"/>
      <c r="CU76" s="1166"/>
      <c r="CV76" s="1166"/>
      <c r="CW76" s="1166"/>
      <c r="CX76" s="1166"/>
      <c r="CY76" s="1166"/>
      <c r="CZ76" s="1166"/>
      <c r="DA76" s="1166"/>
      <c r="DB76" s="1166"/>
      <c r="DC76" s="1166"/>
      <c r="DD76" s="1166"/>
      <c r="DE76" s="1166"/>
      <c r="DF76" s="1166"/>
      <c r="DG76" s="1166"/>
      <c r="DH76" s="1166"/>
      <c r="DI76" s="1166"/>
      <c r="DJ76" s="1166"/>
      <c r="DK76" s="1166"/>
      <c r="DL76" s="1166"/>
      <c r="DM76" s="1166"/>
      <c r="DN76" s="1166"/>
      <c r="DO76" s="1166"/>
      <c r="DP76" s="1166"/>
      <c r="DQ76" s="1166"/>
      <c r="DR76" s="1166"/>
      <c r="DS76" s="1166"/>
      <c r="DT76" s="1166"/>
      <c r="DU76" s="1166"/>
      <c r="DV76" s="1166"/>
      <c r="DW76" s="1166"/>
      <c r="DX76" s="1166"/>
      <c r="DY76" s="1166"/>
      <c r="DZ76" s="1166"/>
      <c r="EA76" s="1166"/>
      <c r="EB76" s="1166"/>
      <c r="EC76" s="1166"/>
      <c r="ED76" s="1166"/>
      <c r="EE76" s="1166"/>
      <c r="EF76" s="1166"/>
      <c r="EG76" s="1166"/>
      <c r="EH76" s="1166"/>
      <c r="EI76" s="1166"/>
      <c r="EJ76" s="1166"/>
      <c r="EK76" s="1166"/>
      <c r="EL76" s="1166"/>
      <c r="EM76" s="1166"/>
      <c r="EN76" s="1166"/>
      <c r="EO76" s="1166"/>
      <c r="EP76" s="1166"/>
      <c r="EQ76" s="1166"/>
      <c r="ER76" s="1166"/>
      <c r="ES76" s="1166"/>
      <c r="ET76" s="1166"/>
      <c r="EU76" s="1166"/>
      <c r="EV76" s="1166"/>
      <c r="EW76" s="1166"/>
      <c r="EX76" s="1166"/>
      <c r="EY76" s="1166"/>
      <c r="EZ76" s="1166"/>
      <c r="FA76" s="1166"/>
      <c r="FB76" s="1166"/>
      <c r="FC76" s="1166"/>
      <c r="FD76" s="1166"/>
      <c r="FE76" s="1166"/>
      <c r="FF76" s="1166"/>
      <c r="FG76" s="1166"/>
      <c r="FH76" s="1166"/>
      <c r="FI76" s="1166"/>
      <c r="FJ76" s="1166"/>
      <c r="FK76" s="1166"/>
      <c r="FL76" s="1166"/>
      <c r="FM76" s="1166"/>
      <c r="FN76" s="1166"/>
      <c r="FO76" s="1166"/>
      <c r="FP76" s="1166"/>
      <c r="FQ76" s="1166"/>
      <c r="FR76" s="1166"/>
      <c r="FS76" s="1166"/>
      <c r="FT76" s="1166"/>
      <c r="FU76" s="1166"/>
      <c r="FV76" s="1166"/>
      <c r="FW76" s="1166"/>
      <c r="FX76" s="1166"/>
      <c r="FY76" s="1166"/>
      <c r="FZ76" s="1166"/>
      <c r="GA76" s="1166"/>
      <c r="GB76" s="1166"/>
      <c r="GC76" s="1166"/>
      <c r="GD76" s="1166"/>
      <c r="GE76" s="1166"/>
      <c r="GF76" s="1166"/>
      <c r="GG76" s="1166"/>
      <c r="GH76" s="1166"/>
      <c r="GI76" s="1166"/>
      <c r="GJ76" s="1166"/>
      <c r="GK76" s="1166"/>
      <c r="GL76" s="1166"/>
      <c r="GM76" s="1166"/>
      <c r="GN76" s="1166"/>
      <c r="GO76" s="1166"/>
      <c r="GP76" s="1166"/>
      <c r="GQ76" s="1166"/>
      <c r="GR76" s="1166"/>
      <c r="GS76" s="1166"/>
      <c r="GT76" s="1166"/>
      <c r="GU76" s="1166"/>
      <c r="GV76" s="1166"/>
      <c r="GW76" s="1166"/>
      <c r="GX76" s="1166"/>
      <c r="GY76" s="1166"/>
      <c r="GZ76" s="1166"/>
      <c r="HA76" s="1166"/>
      <c r="HB76" s="1166"/>
      <c r="HC76" s="1166"/>
      <c r="HD76" s="1166"/>
      <c r="HE76" s="1166"/>
      <c r="HF76" s="1166"/>
      <c r="HG76" s="1166"/>
      <c r="HH76" s="1166"/>
      <c r="HI76" s="1166"/>
      <c r="HJ76" s="1166"/>
      <c r="HK76" s="1166"/>
      <c r="HL76" s="1166"/>
      <c r="HM76" s="1166"/>
      <c r="HN76" s="1166"/>
      <c r="HO76" s="1166"/>
      <c r="HP76" s="1166"/>
      <c r="HQ76" s="1166"/>
      <c r="HR76" s="1166"/>
      <c r="HS76" s="1166"/>
      <c r="HT76" s="1166"/>
      <c r="HU76" s="1166"/>
      <c r="HV76" s="1166"/>
      <c r="HW76" s="1166"/>
      <c r="HX76" s="1166"/>
      <c r="HY76" s="1166"/>
      <c r="HZ76" s="1166"/>
      <c r="IA76" s="1166"/>
      <c r="IB76" s="1166"/>
      <c r="IC76" s="1166"/>
      <c r="ID76" s="1166"/>
      <c r="IE76" s="1166"/>
      <c r="IF76" s="1166"/>
      <c r="IG76" s="1166"/>
      <c r="IH76" s="1166"/>
      <c r="II76" s="1166"/>
      <c r="IJ76" s="1166"/>
      <c r="IK76" s="1166"/>
      <c r="IL76" s="1166"/>
      <c r="IM76" s="1166"/>
      <c r="IN76" s="1166"/>
      <c r="IO76" s="1166"/>
      <c r="IP76" s="1166"/>
      <c r="IQ76" s="1166"/>
      <c r="IR76" s="1166"/>
      <c r="IS76" s="1166"/>
      <c r="IT76" s="1166"/>
      <c r="IU76" s="1166"/>
      <c r="IV76" s="1166"/>
    </row>
    <row r="77" spans="1:256" s="1464" customFormat="1" ht="18" customHeight="1" x14ac:dyDescent="0.35">
      <c r="A77" s="1452">
        <v>68</v>
      </c>
      <c r="B77" s="1509"/>
      <c r="C77" s="1499"/>
      <c r="D77" s="1500" t="s">
        <v>230</v>
      </c>
      <c r="E77" s="1501"/>
      <c r="F77" s="1501"/>
      <c r="G77" s="1510"/>
      <c r="H77" s="1503"/>
      <c r="I77" s="1504"/>
      <c r="J77" s="1504"/>
      <c r="K77" s="1504">
        <v>18900</v>
      </c>
      <c r="L77" s="1504"/>
      <c r="M77" s="1504"/>
      <c r="N77" s="1514"/>
      <c r="O77" s="1507">
        <f>SUM(I77:N77)</f>
        <v>18900</v>
      </c>
      <c r="P77" s="1517">
        <f>56700+4624</f>
        <v>61324</v>
      </c>
      <c r="Q77" s="1166"/>
      <c r="R77" s="1166"/>
      <c r="S77" s="1166"/>
      <c r="T77" s="1166"/>
      <c r="U77" s="1166"/>
      <c r="V77" s="1166"/>
      <c r="W77" s="1166"/>
      <c r="X77" s="1166"/>
      <c r="Y77" s="1166"/>
      <c r="Z77" s="1166"/>
      <c r="AA77" s="1166"/>
      <c r="AB77" s="1166"/>
      <c r="AC77" s="1166"/>
      <c r="AD77" s="1166"/>
      <c r="AE77" s="1166"/>
      <c r="AF77" s="1166"/>
      <c r="AG77" s="1166"/>
      <c r="AH77" s="1166"/>
      <c r="AI77" s="1166"/>
      <c r="AJ77" s="1166"/>
      <c r="AK77" s="1166"/>
      <c r="AL77" s="1166"/>
      <c r="AM77" s="1166"/>
      <c r="AN77" s="1166"/>
      <c r="AO77" s="1166"/>
      <c r="AP77" s="1166"/>
      <c r="AQ77" s="1166"/>
      <c r="AR77" s="1166"/>
      <c r="AS77" s="1166"/>
      <c r="AT77" s="1166"/>
      <c r="AU77" s="1166"/>
      <c r="AV77" s="1166"/>
      <c r="AW77" s="1166"/>
      <c r="AX77" s="1166"/>
      <c r="AY77" s="1166"/>
      <c r="AZ77" s="1166"/>
      <c r="BA77" s="1166"/>
      <c r="BB77" s="1166"/>
      <c r="BC77" s="1166"/>
      <c r="BD77" s="1166"/>
      <c r="BE77" s="1166"/>
      <c r="BF77" s="1166"/>
      <c r="BG77" s="1166"/>
      <c r="BH77" s="1166"/>
      <c r="BI77" s="1166"/>
      <c r="BJ77" s="1166"/>
      <c r="BK77" s="1166"/>
      <c r="BL77" s="1166"/>
      <c r="BM77" s="1166"/>
      <c r="BN77" s="1166"/>
      <c r="BO77" s="1166"/>
      <c r="BP77" s="1166"/>
      <c r="BQ77" s="1166"/>
      <c r="BR77" s="1166"/>
      <c r="BS77" s="1166"/>
      <c r="BT77" s="1166"/>
      <c r="BU77" s="1166"/>
      <c r="BV77" s="1166"/>
      <c r="BW77" s="1166"/>
      <c r="BX77" s="1166"/>
      <c r="BY77" s="1166"/>
      <c r="BZ77" s="1166"/>
      <c r="CA77" s="1166"/>
      <c r="CB77" s="1166"/>
      <c r="CC77" s="1166"/>
      <c r="CD77" s="1166"/>
      <c r="CE77" s="1166"/>
      <c r="CF77" s="1166"/>
      <c r="CG77" s="1166"/>
      <c r="CH77" s="1166"/>
      <c r="CI77" s="1166"/>
      <c r="CJ77" s="1166"/>
      <c r="CK77" s="1166"/>
      <c r="CL77" s="1166"/>
      <c r="CM77" s="1166"/>
      <c r="CN77" s="1166"/>
      <c r="CO77" s="1166"/>
      <c r="CP77" s="1166"/>
      <c r="CQ77" s="1166"/>
      <c r="CR77" s="1166"/>
      <c r="CS77" s="1166"/>
      <c r="CT77" s="1166"/>
      <c r="CU77" s="1166"/>
      <c r="CV77" s="1166"/>
      <c r="CW77" s="1166"/>
      <c r="CX77" s="1166"/>
      <c r="CY77" s="1166"/>
      <c r="CZ77" s="1166"/>
      <c r="DA77" s="1166"/>
      <c r="DB77" s="1166"/>
      <c r="DC77" s="1166"/>
      <c r="DD77" s="1166"/>
      <c r="DE77" s="1166"/>
      <c r="DF77" s="1166"/>
      <c r="DG77" s="1166"/>
      <c r="DH77" s="1166"/>
      <c r="DI77" s="1166"/>
      <c r="DJ77" s="1166"/>
      <c r="DK77" s="1166"/>
      <c r="DL77" s="1166"/>
      <c r="DM77" s="1166"/>
      <c r="DN77" s="1166"/>
      <c r="DO77" s="1166"/>
      <c r="DP77" s="1166"/>
      <c r="DQ77" s="1166"/>
      <c r="DR77" s="1166"/>
      <c r="DS77" s="1166"/>
      <c r="DT77" s="1166"/>
      <c r="DU77" s="1166"/>
      <c r="DV77" s="1166"/>
      <c r="DW77" s="1166"/>
      <c r="DX77" s="1166"/>
      <c r="DY77" s="1166"/>
      <c r="DZ77" s="1166"/>
      <c r="EA77" s="1166"/>
      <c r="EB77" s="1166"/>
      <c r="EC77" s="1166"/>
      <c r="ED77" s="1166"/>
      <c r="EE77" s="1166"/>
      <c r="EF77" s="1166"/>
      <c r="EG77" s="1166"/>
      <c r="EH77" s="1166"/>
      <c r="EI77" s="1166"/>
      <c r="EJ77" s="1166"/>
      <c r="EK77" s="1166"/>
      <c r="EL77" s="1166"/>
      <c r="EM77" s="1166"/>
      <c r="EN77" s="1166"/>
      <c r="EO77" s="1166"/>
      <c r="EP77" s="1166"/>
      <c r="EQ77" s="1166"/>
      <c r="ER77" s="1166"/>
      <c r="ES77" s="1166"/>
      <c r="ET77" s="1166"/>
      <c r="EU77" s="1166"/>
      <c r="EV77" s="1166"/>
      <c r="EW77" s="1166"/>
      <c r="EX77" s="1166"/>
      <c r="EY77" s="1166"/>
      <c r="EZ77" s="1166"/>
      <c r="FA77" s="1166"/>
      <c r="FB77" s="1166"/>
      <c r="FC77" s="1166"/>
      <c r="FD77" s="1166"/>
      <c r="FE77" s="1166"/>
      <c r="FF77" s="1166"/>
      <c r="FG77" s="1166"/>
      <c r="FH77" s="1166"/>
      <c r="FI77" s="1166"/>
      <c r="FJ77" s="1166"/>
      <c r="FK77" s="1166"/>
      <c r="FL77" s="1166"/>
      <c r="FM77" s="1166"/>
      <c r="FN77" s="1166"/>
      <c r="FO77" s="1166"/>
      <c r="FP77" s="1166"/>
      <c r="FQ77" s="1166"/>
      <c r="FR77" s="1166"/>
      <c r="FS77" s="1166"/>
      <c r="FT77" s="1166"/>
      <c r="FU77" s="1166"/>
      <c r="FV77" s="1166"/>
      <c r="FW77" s="1166"/>
      <c r="FX77" s="1166"/>
      <c r="FY77" s="1166"/>
      <c r="FZ77" s="1166"/>
      <c r="GA77" s="1166"/>
      <c r="GB77" s="1166"/>
      <c r="GC77" s="1166"/>
      <c r="GD77" s="1166"/>
      <c r="GE77" s="1166"/>
      <c r="GF77" s="1166"/>
      <c r="GG77" s="1166"/>
      <c r="GH77" s="1166"/>
      <c r="GI77" s="1166"/>
      <c r="GJ77" s="1166"/>
      <c r="GK77" s="1166"/>
      <c r="GL77" s="1166"/>
      <c r="GM77" s="1166"/>
      <c r="GN77" s="1166"/>
      <c r="GO77" s="1166"/>
      <c r="GP77" s="1166"/>
      <c r="GQ77" s="1166"/>
      <c r="GR77" s="1166"/>
      <c r="GS77" s="1166"/>
      <c r="GT77" s="1166"/>
      <c r="GU77" s="1166"/>
      <c r="GV77" s="1166"/>
      <c r="GW77" s="1166"/>
      <c r="GX77" s="1166"/>
      <c r="GY77" s="1166"/>
      <c r="GZ77" s="1166"/>
      <c r="HA77" s="1166"/>
      <c r="HB77" s="1166"/>
      <c r="HC77" s="1166"/>
      <c r="HD77" s="1166"/>
      <c r="HE77" s="1166"/>
      <c r="HF77" s="1166"/>
      <c r="HG77" s="1166"/>
      <c r="HH77" s="1166"/>
      <c r="HI77" s="1166"/>
      <c r="HJ77" s="1166"/>
      <c r="HK77" s="1166"/>
      <c r="HL77" s="1166"/>
      <c r="HM77" s="1166"/>
      <c r="HN77" s="1166"/>
      <c r="HO77" s="1166"/>
      <c r="HP77" s="1166"/>
      <c r="HQ77" s="1166"/>
      <c r="HR77" s="1166"/>
      <c r="HS77" s="1166"/>
      <c r="HT77" s="1166"/>
      <c r="HU77" s="1166"/>
      <c r="HV77" s="1166"/>
      <c r="HW77" s="1166"/>
      <c r="HX77" s="1166"/>
      <c r="HY77" s="1166"/>
      <c r="HZ77" s="1166"/>
      <c r="IA77" s="1166"/>
      <c r="IB77" s="1166"/>
      <c r="IC77" s="1166"/>
      <c r="ID77" s="1166"/>
      <c r="IE77" s="1166"/>
      <c r="IF77" s="1166"/>
      <c r="IG77" s="1166"/>
      <c r="IH77" s="1166"/>
      <c r="II77" s="1166"/>
      <c r="IJ77" s="1166"/>
      <c r="IK77" s="1166"/>
      <c r="IL77" s="1166"/>
      <c r="IM77" s="1166"/>
      <c r="IN77" s="1166"/>
      <c r="IO77" s="1166"/>
      <c r="IP77" s="1166"/>
      <c r="IQ77" s="1166"/>
      <c r="IR77" s="1166"/>
      <c r="IS77" s="1166"/>
      <c r="IT77" s="1166"/>
      <c r="IU77" s="1166"/>
      <c r="IV77" s="1166"/>
    </row>
    <row r="78" spans="1:256" s="1464" customFormat="1" ht="18" customHeight="1" x14ac:dyDescent="0.35">
      <c r="A78" s="1452">
        <v>69</v>
      </c>
      <c r="B78" s="1509"/>
      <c r="C78" s="1499"/>
      <c r="D78" s="1481" t="s">
        <v>231</v>
      </c>
      <c r="E78" s="1501"/>
      <c r="F78" s="1501"/>
      <c r="G78" s="1510"/>
      <c r="H78" s="1503"/>
      <c r="I78" s="1511">
        <v>400</v>
      </c>
      <c r="J78" s="1511">
        <v>52</v>
      </c>
      <c r="K78" s="1511">
        <v>10719</v>
      </c>
      <c r="L78" s="1511"/>
      <c r="M78" s="1511"/>
      <c r="N78" s="1512"/>
      <c r="O78" s="1289">
        <f>SUM(I78:N78)</f>
        <v>11171</v>
      </c>
      <c r="P78" s="1518"/>
      <c r="Q78" s="1166"/>
      <c r="R78" s="1166"/>
      <c r="S78" s="1166"/>
      <c r="T78" s="1166"/>
      <c r="U78" s="1166"/>
      <c r="V78" s="1166"/>
      <c r="W78" s="1166"/>
      <c r="X78" s="1166"/>
      <c r="Y78" s="1166"/>
      <c r="Z78" s="1166"/>
      <c r="AA78" s="1166"/>
      <c r="AB78" s="1166"/>
      <c r="AC78" s="1166"/>
      <c r="AD78" s="1166"/>
      <c r="AE78" s="1166"/>
      <c r="AF78" s="1166"/>
      <c r="AG78" s="1166"/>
      <c r="AH78" s="1166"/>
      <c r="AI78" s="1166"/>
      <c r="AJ78" s="1166"/>
      <c r="AK78" s="1166"/>
      <c r="AL78" s="1166"/>
      <c r="AM78" s="1166"/>
      <c r="AN78" s="1166"/>
      <c r="AO78" s="1166"/>
      <c r="AP78" s="1166"/>
      <c r="AQ78" s="1166"/>
      <c r="AR78" s="1166"/>
      <c r="AS78" s="1166"/>
      <c r="AT78" s="1166"/>
      <c r="AU78" s="1166"/>
      <c r="AV78" s="1166"/>
      <c r="AW78" s="1166"/>
      <c r="AX78" s="1166"/>
      <c r="AY78" s="1166"/>
      <c r="AZ78" s="1166"/>
      <c r="BA78" s="1166"/>
      <c r="BB78" s="1166"/>
      <c r="BC78" s="1166"/>
      <c r="BD78" s="1166"/>
      <c r="BE78" s="1166"/>
      <c r="BF78" s="1166"/>
      <c r="BG78" s="1166"/>
      <c r="BH78" s="1166"/>
      <c r="BI78" s="1166"/>
      <c r="BJ78" s="1166"/>
      <c r="BK78" s="1166"/>
      <c r="BL78" s="1166"/>
      <c r="BM78" s="1166"/>
      <c r="BN78" s="1166"/>
      <c r="BO78" s="1166"/>
      <c r="BP78" s="1166"/>
      <c r="BQ78" s="1166"/>
      <c r="BR78" s="1166"/>
      <c r="BS78" s="1166"/>
      <c r="BT78" s="1166"/>
      <c r="BU78" s="1166"/>
      <c r="BV78" s="1166"/>
      <c r="BW78" s="1166"/>
      <c r="BX78" s="1166"/>
      <c r="BY78" s="1166"/>
      <c r="BZ78" s="1166"/>
      <c r="CA78" s="1166"/>
      <c r="CB78" s="1166"/>
      <c r="CC78" s="1166"/>
      <c r="CD78" s="1166"/>
      <c r="CE78" s="1166"/>
      <c r="CF78" s="1166"/>
      <c r="CG78" s="1166"/>
      <c r="CH78" s="1166"/>
      <c r="CI78" s="1166"/>
      <c r="CJ78" s="1166"/>
      <c r="CK78" s="1166"/>
      <c r="CL78" s="1166"/>
      <c r="CM78" s="1166"/>
      <c r="CN78" s="1166"/>
      <c r="CO78" s="1166"/>
      <c r="CP78" s="1166"/>
      <c r="CQ78" s="1166"/>
      <c r="CR78" s="1166"/>
      <c r="CS78" s="1166"/>
      <c r="CT78" s="1166"/>
      <c r="CU78" s="1166"/>
      <c r="CV78" s="1166"/>
      <c r="CW78" s="1166"/>
      <c r="CX78" s="1166"/>
      <c r="CY78" s="1166"/>
      <c r="CZ78" s="1166"/>
      <c r="DA78" s="1166"/>
      <c r="DB78" s="1166"/>
      <c r="DC78" s="1166"/>
      <c r="DD78" s="1166"/>
      <c r="DE78" s="1166"/>
      <c r="DF78" s="1166"/>
      <c r="DG78" s="1166"/>
      <c r="DH78" s="1166"/>
      <c r="DI78" s="1166"/>
      <c r="DJ78" s="1166"/>
      <c r="DK78" s="1166"/>
      <c r="DL78" s="1166"/>
      <c r="DM78" s="1166"/>
      <c r="DN78" s="1166"/>
      <c r="DO78" s="1166"/>
      <c r="DP78" s="1166"/>
      <c r="DQ78" s="1166"/>
      <c r="DR78" s="1166"/>
      <c r="DS78" s="1166"/>
      <c r="DT78" s="1166"/>
      <c r="DU78" s="1166"/>
      <c r="DV78" s="1166"/>
      <c r="DW78" s="1166"/>
      <c r="DX78" s="1166"/>
      <c r="DY78" s="1166"/>
      <c r="DZ78" s="1166"/>
      <c r="EA78" s="1166"/>
      <c r="EB78" s="1166"/>
      <c r="EC78" s="1166"/>
      <c r="ED78" s="1166"/>
      <c r="EE78" s="1166"/>
      <c r="EF78" s="1166"/>
      <c r="EG78" s="1166"/>
      <c r="EH78" s="1166"/>
      <c r="EI78" s="1166"/>
      <c r="EJ78" s="1166"/>
      <c r="EK78" s="1166"/>
      <c r="EL78" s="1166"/>
      <c r="EM78" s="1166"/>
      <c r="EN78" s="1166"/>
      <c r="EO78" s="1166"/>
      <c r="EP78" s="1166"/>
      <c r="EQ78" s="1166"/>
      <c r="ER78" s="1166"/>
      <c r="ES78" s="1166"/>
      <c r="ET78" s="1166"/>
      <c r="EU78" s="1166"/>
      <c r="EV78" s="1166"/>
      <c r="EW78" s="1166"/>
      <c r="EX78" s="1166"/>
      <c r="EY78" s="1166"/>
      <c r="EZ78" s="1166"/>
      <c r="FA78" s="1166"/>
      <c r="FB78" s="1166"/>
      <c r="FC78" s="1166"/>
      <c r="FD78" s="1166"/>
      <c r="FE78" s="1166"/>
      <c r="FF78" s="1166"/>
      <c r="FG78" s="1166"/>
      <c r="FH78" s="1166"/>
      <c r="FI78" s="1166"/>
      <c r="FJ78" s="1166"/>
      <c r="FK78" s="1166"/>
      <c r="FL78" s="1166"/>
      <c r="FM78" s="1166"/>
      <c r="FN78" s="1166"/>
      <c r="FO78" s="1166"/>
      <c r="FP78" s="1166"/>
      <c r="FQ78" s="1166"/>
      <c r="FR78" s="1166"/>
      <c r="FS78" s="1166"/>
      <c r="FT78" s="1166"/>
      <c r="FU78" s="1166"/>
      <c r="FV78" s="1166"/>
      <c r="FW78" s="1166"/>
      <c r="FX78" s="1166"/>
      <c r="FY78" s="1166"/>
      <c r="FZ78" s="1166"/>
      <c r="GA78" s="1166"/>
      <c r="GB78" s="1166"/>
      <c r="GC78" s="1166"/>
      <c r="GD78" s="1166"/>
      <c r="GE78" s="1166"/>
      <c r="GF78" s="1166"/>
      <c r="GG78" s="1166"/>
      <c r="GH78" s="1166"/>
      <c r="GI78" s="1166"/>
      <c r="GJ78" s="1166"/>
      <c r="GK78" s="1166"/>
      <c r="GL78" s="1166"/>
      <c r="GM78" s="1166"/>
      <c r="GN78" s="1166"/>
      <c r="GO78" s="1166"/>
      <c r="GP78" s="1166"/>
      <c r="GQ78" s="1166"/>
      <c r="GR78" s="1166"/>
      <c r="GS78" s="1166"/>
      <c r="GT78" s="1166"/>
      <c r="GU78" s="1166"/>
      <c r="GV78" s="1166"/>
      <c r="GW78" s="1166"/>
      <c r="GX78" s="1166"/>
      <c r="GY78" s="1166"/>
      <c r="GZ78" s="1166"/>
      <c r="HA78" s="1166"/>
      <c r="HB78" s="1166"/>
      <c r="HC78" s="1166"/>
      <c r="HD78" s="1166"/>
      <c r="HE78" s="1166"/>
      <c r="HF78" s="1166"/>
      <c r="HG78" s="1166"/>
      <c r="HH78" s="1166"/>
      <c r="HI78" s="1166"/>
      <c r="HJ78" s="1166"/>
      <c r="HK78" s="1166"/>
      <c r="HL78" s="1166"/>
      <c r="HM78" s="1166"/>
      <c r="HN78" s="1166"/>
      <c r="HO78" s="1166"/>
      <c r="HP78" s="1166"/>
      <c r="HQ78" s="1166"/>
      <c r="HR78" s="1166"/>
      <c r="HS78" s="1166"/>
      <c r="HT78" s="1166"/>
      <c r="HU78" s="1166"/>
      <c r="HV78" s="1166"/>
      <c r="HW78" s="1166"/>
      <c r="HX78" s="1166"/>
      <c r="HY78" s="1166"/>
      <c r="HZ78" s="1166"/>
      <c r="IA78" s="1166"/>
      <c r="IB78" s="1166"/>
      <c r="IC78" s="1166"/>
      <c r="ID78" s="1166"/>
      <c r="IE78" s="1166"/>
      <c r="IF78" s="1166"/>
      <c r="IG78" s="1166"/>
      <c r="IH78" s="1166"/>
      <c r="II78" s="1166"/>
      <c r="IJ78" s="1166"/>
      <c r="IK78" s="1166"/>
      <c r="IL78" s="1166"/>
      <c r="IM78" s="1166"/>
      <c r="IN78" s="1166"/>
      <c r="IO78" s="1166"/>
      <c r="IP78" s="1166"/>
      <c r="IQ78" s="1166"/>
      <c r="IR78" s="1166"/>
      <c r="IS78" s="1166"/>
      <c r="IT78" s="1166"/>
      <c r="IU78" s="1166"/>
      <c r="IV78" s="1166"/>
    </row>
    <row r="79" spans="1:256" s="1464" customFormat="1" ht="18" customHeight="1" x14ac:dyDescent="0.35">
      <c r="A79" s="1452">
        <v>70</v>
      </c>
      <c r="B79" s="1509"/>
      <c r="C79" s="1499"/>
      <c r="D79" s="1484" t="s">
        <v>232</v>
      </c>
      <c r="E79" s="1501"/>
      <c r="F79" s="1501"/>
      <c r="G79" s="1510"/>
      <c r="H79" s="1503"/>
      <c r="I79" s="1513"/>
      <c r="J79" s="1513"/>
      <c r="K79" s="1513"/>
      <c r="L79" s="1504"/>
      <c r="M79" s="1504"/>
      <c r="N79" s="1514"/>
      <c r="O79" s="1217">
        <f>SUM(I79:N79)</f>
        <v>0</v>
      </c>
      <c r="P79" s="1518"/>
      <c r="Q79" s="1166"/>
      <c r="R79" s="1166"/>
      <c r="S79" s="1166"/>
      <c r="T79" s="1166"/>
      <c r="U79" s="1166"/>
      <c r="V79" s="1166"/>
      <c r="W79" s="1166"/>
      <c r="X79" s="1166"/>
      <c r="Y79" s="1166"/>
      <c r="Z79" s="1166"/>
      <c r="AA79" s="1166"/>
      <c r="AB79" s="1166"/>
      <c r="AC79" s="1166"/>
      <c r="AD79" s="1166"/>
      <c r="AE79" s="1166"/>
      <c r="AF79" s="1166"/>
      <c r="AG79" s="1166"/>
      <c r="AH79" s="1166"/>
      <c r="AI79" s="1166"/>
      <c r="AJ79" s="1166"/>
      <c r="AK79" s="1166"/>
      <c r="AL79" s="1166"/>
      <c r="AM79" s="1166"/>
      <c r="AN79" s="1166"/>
      <c r="AO79" s="1166"/>
      <c r="AP79" s="1166"/>
      <c r="AQ79" s="1166"/>
      <c r="AR79" s="1166"/>
      <c r="AS79" s="1166"/>
      <c r="AT79" s="1166"/>
      <c r="AU79" s="1166"/>
      <c r="AV79" s="1166"/>
      <c r="AW79" s="1166"/>
      <c r="AX79" s="1166"/>
      <c r="AY79" s="1166"/>
      <c r="AZ79" s="1166"/>
      <c r="BA79" s="1166"/>
      <c r="BB79" s="1166"/>
      <c r="BC79" s="1166"/>
      <c r="BD79" s="1166"/>
      <c r="BE79" s="1166"/>
      <c r="BF79" s="1166"/>
      <c r="BG79" s="1166"/>
      <c r="BH79" s="1166"/>
      <c r="BI79" s="1166"/>
      <c r="BJ79" s="1166"/>
      <c r="BK79" s="1166"/>
      <c r="BL79" s="1166"/>
      <c r="BM79" s="1166"/>
      <c r="BN79" s="1166"/>
      <c r="BO79" s="1166"/>
      <c r="BP79" s="1166"/>
      <c r="BQ79" s="1166"/>
      <c r="BR79" s="1166"/>
      <c r="BS79" s="1166"/>
      <c r="BT79" s="1166"/>
      <c r="BU79" s="1166"/>
      <c r="BV79" s="1166"/>
      <c r="BW79" s="1166"/>
      <c r="BX79" s="1166"/>
      <c r="BY79" s="1166"/>
      <c r="BZ79" s="1166"/>
      <c r="CA79" s="1166"/>
      <c r="CB79" s="1166"/>
      <c r="CC79" s="1166"/>
      <c r="CD79" s="1166"/>
      <c r="CE79" s="1166"/>
      <c r="CF79" s="1166"/>
      <c r="CG79" s="1166"/>
      <c r="CH79" s="1166"/>
      <c r="CI79" s="1166"/>
      <c r="CJ79" s="1166"/>
      <c r="CK79" s="1166"/>
      <c r="CL79" s="1166"/>
      <c r="CM79" s="1166"/>
      <c r="CN79" s="1166"/>
      <c r="CO79" s="1166"/>
      <c r="CP79" s="1166"/>
      <c r="CQ79" s="1166"/>
      <c r="CR79" s="1166"/>
      <c r="CS79" s="1166"/>
      <c r="CT79" s="1166"/>
      <c r="CU79" s="1166"/>
      <c r="CV79" s="1166"/>
      <c r="CW79" s="1166"/>
      <c r="CX79" s="1166"/>
      <c r="CY79" s="1166"/>
      <c r="CZ79" s="1166"/>
      <c r="DA79" s="1166"/>
      <c r="DB79" s="1166"/>
      <c r="DC79" s="1166"/>
      <c r="DD79" s="1166"/>
      <c r="DE79" s="1166"/>
      <c r="DF79" s="1166"/>
      <c r="DG79" s="1166"/>
      <c r="DH79" s="1166"/>
      <c r="DI79" s="1166"/>
      <c r="DJ79" s="1166"/>
      <c r="DK79" s="1166"/>
      <c r="DL79" s="1166"/>
      <c r="DM79" s="1166"/>
      <c r="DN79" s="1166"/>
      <c r="DO79" s="1166"/>
      <c r="DP79" s="1166"/>
      <c r="DQ79" s="1166"/>
      <c r="DR79" s="1166"/>
      <c r="DS79" s="1166"/>
      <c r="DT79" s="1166"/>
      <c r="DU79" s="1166"/>
      <c r="DV79" s="1166"/>
      <c r="DW79" s="1166"/>
      <c r="DX79" s="1166"/>
      <c r="DY79" s="1166"/>
      <c r="DZ79" s="1166"/>
      <c r="EA79" s="1166"/>
      <c r="EB79" s="1166"/>
      <c r="EC79" s="1166"/>
      <c r="ED79" s="1166"/>
      <c r="EE79" s="1166"/>
      <c r="EF79" s="1166"/>
      <c r="EG79" s="1166"/>
      <c r="EH79" s="1166"/>
      <c r="EI79" s="1166"/>
      <c r="EJ79" s="1166"/>
      <c r="EK79" s="1166"/>
      <c r="EL79" s="1166"/>
      <c r="EM79" s="1166"/>
      <c r="EN79" s="1166"/>
      <c r="EO79" s="1166"/>
      <c r="EP79" s="1166"/>
      <c r="EQ79" s="1166"/>
      <c r="ER79" s="1166"/>
      <c r="ES79" s="1166"/>
      <c r="ET79" s="1166"/>
      <c r="EU79" s="1166"/>
      <c r="EV79" s="1166"/>
      <c r="EW79" s="1166"/>
      <c r="EX79" s="1166"/>
      <c r="EY79" s="1166"/>
      <c r="EZ79" s="1166"/>
      <c r="FA79" s="1166"/>
      <c r="FB79" s="1166"/>
      <c r="FC79" s="1166"/>
      <c r="FD79" s="1166"/>
      <c r="FE79" s="1166"/>
      <c r="FF79" s="1166"/>
      <c r="FG79" s="1166"/>
      <c r="FH79" s="1166"/>
      <c r="FI79" s="1166"/>
      <c r="FJ79" s="1166"/>
      <c r="FK79" s="1166"/>
      <c r="FL79" s="1166"/>
      <c r="FM79" s="1166"/>
      <c r="FN79" s="1166"/>
      <c r="FO79" s="1166"/>
      <c r="FP79" s="1166"/>
      <c r="FQ79" s="1166"/>
      <c r="FR79" s="1166"/>
      <c r="FS79" s="1166"/>
      <c r="FT79" s="1166"/>
      <c r="FU79" s="1166"/>
      <c r="FV79" s="1166"/>
      <c r="FW79" s="1166"/>
      <c r="FX79" s="1166"/>
      <c r="FY79" s="1166"/>
      <c r="FZ79" s="1166"/>
      <c r="GA79" s="1166"/>
      <c r="GB79" s="1166"/>
      <c r="GC79" s="1166"/>
      <c r="GD79" s="1166"/>
      <c r="GE79" s="1166"/>
      <c r="GF79" s="1166"/>
      <c r="GG79" s="1166"/>
      <c r="GH79" s="1166"/>
      <c r="GI79" s="1166"/>
      <c r="GJ79" s="1166"/>
      <c r="GK79" s="1166"/>
      <c r="GL79" s="1166"/>
      <c r="GM79" s="1166"/>
      <c r="GN79" s="1166"/>
      <c r="GO79" s="1166"/>
      <c r="GP79" s="1166"/>
      <c r="GQ79" s="1166"/>
      <c r="GR79" s="1166"/>
      <c r="GS79" s="1166"/>
      <c r="GT79" s="1166"/>
      <c r="GU79" s="1166"/>
      <c r="GV79" s="1166"/>
      <c r="GW79" s="1166"/>
      <c r="GX79" s="1166"/>
      <c r="GY79" s="1166"/>
      <c r="GZ79" s="1166"/>
      <c r="HA79" s="1166"/>
      <c r="HB79" s="1166"/>
      <c r="HC79" s="1166"/>
      <c r="HD79" s="1166"/>
      <c r="HE79" s="1166"/>
      <c r="HF79" s="1166"/>
      <c r="HG79" s="1166"/>
      <c r="HH79" s="1166"/>
      <c r="HI79" s="1166"/>
      <c r="HJ79" s="1166"/>
      <c r="HK79" s="1166"/>
      <c r="HL79" s="1166"/>
      <c r="HM79" s="1166"/>
      <c r="HN79" s="1166"/>
      <c r="HO79" s="1166"/>
      <c r="HP79" s="1166"/>
      <c r="HQ79" s="1166"/>
      <c r="HR79" s="1166"/>
      <c r="HS79" s="1166"/>
      <c r="HT79" s="1166"/>
      <c r="HU79" s="1166"/>
      <c r="HV79" s="1166"/>
      <c r="HW79" s="1166"/>
      <c r="HX79" s="1166"/>
      <c r="HY79" s="1166"/>
      <c r="HZ79" s="1166"/>
      <c r="IA79" s="1166"/>
      <c r="IB79" s="1166"/>
      <c r="IC79" s="1166"/>
      <c r="ID79" s="1166"/>
      <c r="IE79" s="1166"/>
      <c r="IF79" s="1166"/>
      <c r="IG79" s="1166"/>
      <c r="IH79" s="1166"/>
      <c r="II79" s="1166"/>
      <c r="IJ79" s="1166"/>
      <c r="IK79" s="1166"/>
      <c r="IL79" s="1166"/>
      <c r="IM79" s="1166"/>
      <c r="IN79" s="1166"/>
      <c r="IO79" s="1166"/>
      <c r="IP79" s="1166"/>
      <c r="IQ79" s="1166"/>
      <c r="IR79" s="1166"/>
      <c r="IS79" s="1166"/>
      <c r="IT79" s="1166"/>
      <c r="IU79" s="1166"/>
      <c r="IV79" s="1166"/>
    </row>
    <row r="80" spans="1:256" s="1464" customFormat="1" ht="18" customHeight="1" x14ac:dyDescent="0.35">
      <c r="A80" s="1452">
        <v>71</v>
      </c>
      <c r="B80" s="1509"/>
      <c r="C80" s="1499"/>
      <c r="D80" s="1481" t="s">
        <v>233</v>
      </c>
      <c r="E80" s="1501"/>
      <c r="F80" s="1501"/>
      <c r="G80" s="1510"/>
      <c r="H80" s="1503"/>
      <c r="I80" s="1511">
        <f>SUM(I78:I79)</f>
        <v>400</v>
      </c>
      <c r="J80" s="1511">
        <f>SUM(J78:J79)</f>
        <v>52</v>
      </c>
      <c r="K80" s="1511">
        <f>SUM(K78:K79)</f>
        <v>10719</v>
      </c>
      <c r="L80" s="1504"/>
      <c r="M80" s="1504"/>
      <c r="N80" s="1514"/>
      <c r="O80" s="1222">
        <f>SUM(I80:N80)</f>
        <v>11171</v>
      </c>
      <c r="P80" s="1518"/>
      <c r="Q80" s="1166"/>
      <c r="R80" s="1166"/>
      <c r="S80" s="1166"/>
      <c r="T80" s="1166"/>
      <c r="U80" s="1166"/>
      <c r="V80" s="1166"/>
      <c r="W80" s="1166"/>
      <c r="X80" s="1166"/>
      <c r="Y80" s="1166"/>
      <c r="Z80" s="1166"/>
      <c r="AA80" s="1166"/>
      <c r="AB80" s="1166"/>
      <c r="AC80" s="1166"/>
      <c r="AD80" s="1166"/>
      <c r="AE80" s="1166"/>
      <c r="AF80" s="1166"/>
      <c r="AG80" s="1166"/>
      <c r="AH80" s="1166"/>
      <c r="AI80" s="1166"/>
      <c r="AJ80" s="1166"/>
      <c r="AK80" s="1166"/>
      <c r="AL80" s="1166"/>
      <c r="AM80" s="1166"/>
      <c r="AN80" s="1166"/>
      <c r="AO80" s="1166"/>
      <c r="AP80" s="1166"/>
      <c r="AQ80" s="1166"/>
      <c r="AR80" s="1166"/>
      <c r="AS80" s="1166"/>
      <c r="AT80" s="1166"/>
      <c r="AU80" s="1166"/>
      <c r="AV80" s="1166"/>
      <c r="AW80" s="1166"/>
      <c r="AX80" s="1166"/>
      <c r="AY80" s="1166"/>
      <c r="AZ80" s="1166"/>
      <c r="BA80" s="1166"/>
      <c r="BB80" s="1166"/>
      <c r="BC80" s="1166"/>
      <c r="BD80" s="1166"/>
      <c r="BE80" s="1166"/>
      <c r="BF80" s="1166"/>
      <c r="BG80" s="1166"/>
      <c r="BH80" s="1166"/>
      <c r="BI80" s="1166"/>
      <c r="BJ80" s="1166"/>
      <c r="BK80" s="1166"/>
      <c r="BL80" s="1166"/>
      <c r="BM80" s="1166"/>
      <c r="BN80" s="1166"/>
      <c r="BO80" s="1166"/>
      <c r="BP80" s="1166"/>
      <c r="BQ80" s="1166"/>
      <c r="BR80" s="1166"/>
      <c r="BS80" s="1166"/>
      <c r="BT80" s="1166"/>
      <c r="BU80" s="1166"/>
      <c r="BV80" s="1166"/>
      <c r="BW80" s="1166"/>
      <c r="BX80" s="1166"/>
      <c r="BY80" s="1166"/>
      <c r="BZ80" s="1166"/>
      <c r="CA80" s="1166"/>
      <c r="CB80" s="1166"/>
      <c r="CC80" s="1166"/>
      <c r="CD80" s="1166"/>
      <c r="CE80" s="1166"/>
      <c r="CF80" s="1166"/>
      <c r="CG80" s="1166"/>
      <c r="CH80" s="1166"/>
      <c r="CI80" s="1166"/>
      <c r="CJ80" s="1166"/>
      <c r="CK80" s="1166"/>
      <c r="CL80" s="1166"/>
      <c r="CM80" s="1166"/>
      <c r="CN80" s="1166"/>
      <c r="CO80" s="1166"/>
      <c r="CP80" s="1166"/>
      <c r="CQ80" s="1166"/>
      <c r="CR80" s="1166"/>
      <c r="CS80" s="1166"/>
      <c r="CT80" s="1166"/>
      <c r="CU80" s="1166"/>
      <c r="CV80" s="1166"/>
      <c r="CW80" s="1166"/>
      <c r="CX80" s="1166"/>
      <c r="CY80" s="1166"/>
      <c r="CZ80" s="1166"/>
      <c r="DA80" s="1166"/>
      <c r="DB80" s="1166"/>
      <c r="DC80" s="1166"/>
      <c r="DD80" s="1166"/>
      <c r="DE80" s="1166"/>
      <c r="DF80" s="1166"/>
      <c r="DG80" s="1166"/>
      <c r="DH80" s="1166"/>
      <c r="DI80" s="1166"/>
      <c r="DJ80" s="1166"/>
      <c r="DK80" s="1166"/>
      <c r="DL80" s="1166"/>
      <c r="DM80" s="1166"/>
      <c r="DN80" s="1166"/>
      <c r="DO80" s="1166"/>
      <c r="DP80" s="1166"/>
      <c r="DQ80" s="1166"/>
      <c r="DR80" s="1166"/>
      <c r="DS80" s="1166"/>
      <c r="DT80" s="1166"/>
      <c r="DU80" s="1166"/>
      <c r="DV80" s="1166"/>
      <c r="DW80" s="1166"/>
      <c r="DX80" s="1166"/>
      <c r="DY80" s="1166"/>
      <c r="DZ80" s="1166"/>
      <c r="EA80" s="1166"/>
      <c r="EB80" s="1166"/>
      <c r="EC80" s="1166"/>
      <c r="ED80" s="1166"/>
      <c r="EE80" s="1166"/>
      <c r="EF80" s="1166"/>
      <c r="EG80" s="1166"/>
      <c r="EH80" s="1166"/>
      <c r="EI80" s="1166"/>
      <c r="EJ80" s="1166"/>
      <c r="EK80" s="1166"/>
      <c r="EL80" s="1166"/>
      <c r="EM80" s="1166"/>
      <c r="EN80" s="1166"/>
      <c r="EO80" s="1166"/>
      <c r="EP80" s="1166"/>
      <c r="EQ80" s="1166"/>
      <c r="ER80" s="1166"/>
      <c r="ES80" s="1166"/>
      <c r="ET80" s="1166"/>
      <c r="EU80" s="1166"/>
      <c r="EV80" s="1166"/>
      <c r="EW80" s="1166"/>
      <c r="EX80" s="1166"/>
      <c r="EY80" s="1166"/>
      <c r="EZ80" s="1166"/>
      <c r="FA80" s="1166"/>
      <c r="FB80" s="1166"/>
      <c r="FC80" s="1166"/>
      <c r="FD80" s="1166"/>
      <c r="FE80" s="1166"/>
      <c r="FF80" s="1166"/>
      <c r="FG80" s="1166"/>
      <c r="FH80" s="1166"/>
      <c r="FI80" s="1166"/>
      <c r="FJ80" s="1166"/>
      <c r="FK80" s="1166"/>
      <c r="FL80" s="1166"/>
      <c r="FM80" s="1166"/>
      <c r="FN80" s="1166"/>
      <c r="FO80" s="1166"/>
      <c r="FP80" s="1166"/>
      <c r="FQ80" s="1166"/>
      <c r="FR80" s="1166"/>
      <c r="FS80" s="1166"/>
      <c r="FT80" s="1166"/>
      <c r="FU80" s="1166"/>
      <c r="FV80" s="1166"/>
      <c r="FW80" s="1166"/>
      <c r="FX80" s="1166"/>
      <c r="FY80" s="1166"/>
      <c r="FZ80" s="1166"/>
      <c r="GA80" s="1166"/>
      <c r="GB80" s="1166"/>
      <c r="GC80" s="1166"/>
      <c r="GD80" s="1166"/>
      <c r="GE80" s="1166"/>
      <c r="GF80" s="1166"/>
      <c r="GG80" s="1166"/>
      <c r="GH80" s="1166"/>
      <c r="GI80" s="1166"/>
      <c r="GJ80" s="1166"/>
      <c r="GK80" s="1166"/>
      <c r="GL80" s="1166"/>
      <c r="GM80" s="1166"/>
      <c r="GN80" s="1166"/>
      <c r="GO80" s="1166"/>
      <c r="GP80" s="1166"/>
      <c r="GQ80" s="1166"/>
      <c r="GR80" s="1166"/>
      <c r="GS80" s="1166"/>
      <c r="GT80" s="1166"/>
      <c r="GU80" s="1166"/>
      <c r="GV80" s="1166"/>
      <c r="GW80" s="1166"/>
      <c r="GX80" s="1166"/>
      <c r="GY80" s="1166"/>
      <c r="GZ80" s="1166"/>
      <c r="HA80" s="1166"/>
      <c r="HB80" s="1166"/>
      <c r="HC80" s="1166"/>
      <c r="HD80" s="1166"/>
      <c r="HE80" s="1166"/>
      <c r="HF80" s="1166"/>
      <c r="HG80" s="1166"/>
      <c r="HH80" s="1166"/>
      <c r="HI80" s="1166"/>
      <c r="HJ80" s="1166"/>
      <c r="HK80" s="1166"/>
      <c r="HL80" s="1166"/>
      <c r="HM80" s="1166"/>
      <c r="HN80" s="1166"/>
      <c r="HO80" s="1166"/>
      <c r="HP80" s="1166"/>
      <c r="HQ80" s="1166"/>
      <c r="HR80" s="1166"/>
      <c r="HS80" s="1166"/>
      <c r="HT80" s="1166"/>
      <c r="HU80" s="1166"/>
      <c r="HV80" s="1166"/>
      <c r="HW80" s="1166"/>
      <c r="HX80" s="1166"/>
      <c r="HY80" s="1166"/>
      <c r="HZ80" s="1166"/>
      <c r="IA80" s="1166"/>
      <c r="IB80" s="1166"/>
      <c r="IC80" s="1166"/>
      <c r="ID80" s="1166"/>
      <c r="IE80" s="1166"/>
      <c r="IF80" s="1166"/>
      <c r="IG80" s="1166"/>
      <c r="IH80" s="1166"/>
      <c r="II80" s="1166"/>
      <c r="IJ80" s="1166"/>
      <c r="IK80" s="1166"/>
      <c r="IL80" s="1166"/>
      <c r="IM80" s="1166"/>
      <c r="IN80" s="1166"/>
      <c r="IO80" s="1166"/>
      <c r="IP80" s="1166"/>
      <c r="IQ80" s="1166"/>
      <c r="IR80" s="1166"/>
      <c r="IS80" s="1166"/>
      <c r="IT80" s="1166"/>
      <c r="IU80" s="1166"/>
      <c r="IV80" s="1166"/>
    </row>
    <row r="81" spans="1:256" s="1464" customFormat="1" ht="22.5" customHeight="1" x14ac:dyDescent="0.35">
      <c r="A81" s="1452">
        <v>72</v>
      </c>
      <c r="B81" s="1509"/>
      <c r="C81" s="1262">
        <v>20</v>
      </c>
      <c r="D81" s="1223" t="s">
        <v>980</v>
      </c>
      <c r="E81" s="1467">
        <f>F81+G81+O85+P82</f>
        <v>9694</v>
      </c>
      <c r="F81" s="1501"/>
      <c r="G81" s="1510"/>
      <c r="H81" s="1516" t="s">
        <v>296</v>
      </c>
      <c r="I81" s="1504"/>
      <c r="J81" s="1504"/>
      <c r="K81" s="1504"/>
      <c r="L81" s="1504"/>
      <c r="M81" s="1504"/>
      <c r="N81" s="1514"/>
      <c r="O81" s="1507"/>
      <c r="P81" s="1508"/>
      <c r="Q81" s="1166"/>
      <c r="R81" s="1166"/>
      <c r="S81" s="1166"/>
      <c r="T81" s="1166"/>
      <c r="U81" s="1166"/>
      <c r="V81" s="1166"/>
      <c r="W81" s="1166"/>
      <c r="X81" s="1166"/>
      <c r="Y81" s="1166"/>
      <c r="Z81" s="1166"/>
      <c r="AA81" s="1166"/>
      <c r="AB81" s="1166"/>
      <c r="AC81" s="1166"/>
      <c r="AD81" s="1166"/>
      <c r="AE81" s="1166"/>
      <c r="AF81" s="1166"/>
      <c r="AG81" s="1166"/>
      <c r="AH81" s="1166"/>
      <c r="AI81" s="1166"/>
      <c r="AJ81" s="1166"/>
      <c r="AK81" s="1166"/>
      <c r="AL81" s="1166"/>
      <c r="AM81" s="1166"/>
      <c r="AN81" s="1166"/>
      <c r="AO81" s="1166"/>
      <c r="AP81" s="1166"/>
      <c r="AQ81" s="1166"/>
      <c r="AR81" s="1166"/>
      <c r="AS81" s="1166"/>
      <c r="AT81" s="1166"/>
      <c r="AU81" s="1166"/>
      <c r="AV81" s="1166"/>
      <c r="AW81" s="1166"/>
      <c r="AX81" s="1166"/>
      <c r="AY81" s="1166"/>
      <c r="AZ81" s="1166"/>
      <c r="BA81" s="1166"/>
      <c r="BB81" s="1166"/>
      <c r="BC81" s="1166"/>
      <c r="BD81" s="1166"/>
      <c r="BE81" s="1166"/>
      <c r="BF81" s="1166"/>
      <c r="BG81" s="1166"/>
      <c r="BH81" s="1166"/>
      <c r="BI81" s="1166"/>
      <c r="BJ81" s="1166"/>
      <c r="BK81" s="1166"/>
      <c r="BL81" s="1166"/>
      <c r="BM81" s="1166"/>
      <c r="BN81" s="1166"/>
      <c r="BO81" s="1166"/>
      <c r="BP81" s="1166"/>
      <c r="BQ81" s="1166"/>
      <c r="BR81" s="1166"/>
      <c r="BS81" s="1166"/>
      <c r="BT81" s="1166"/>
      <c r="BU81" s="1166"/>
      <c r="BV81" s="1166"/>
      <c r="BW81" s="1166"/>
      <c r="BX81" s="1166"/>
      <c r="BY81" s="1166"/>
      <c r="BZ81" s="1166"/>
      <c r="CA81" s="1166"/>
      <c r="CB81" s="1166"/>
      <c r="CC81" s="1166"/>
      <c r="CD81" s="1166"/>
      <c r="CE81" s="1166"/>
      <c r="CF81" s="1166"/>
      <c r="CG81" s="1166"/>
      <c r="CH81" s="1166"/>
      <c r="CI81" s="1166"/>
      <c r="CJ81" s="1166"/>
      <c r="CK81" s="1166"/>
      <c r="CL81" s="1166"/>
      <c r="CM81" s="1166"/>
      <c r="CN81" s="1166"/>
      <c r="CO81" s="1166"/>
      <c r="CP81" s="1166"/>
      <c r="CQ81" s="1166"/>
      <c r="CR81" s="1166"/>
      <c r="CS81" s="1166"/>
      <c r="CT81" s="1166"/>
      <c r="CU81" s="1166"/>
      <c r="CV81" s="1166"/>
      <c r="CW81" s="1166"/>
      <c r="CX81" s="1166"/>
      <c r="CY81" s="1166"/>
      <c r="CZ81" s="1166"/>
      <c r="DA81" s="1166"/>
      <c r="DB81" s="1166"/>
      <c r="DC81" s="1166"/>
      <c r="DD81" s="1166"/>
      <c r="DE81" s="1166"/>
      <c r="DF81" s="1166"/>
      <c r="DG81" s="1166"/>
      <c r="DH81" s="1166"/>
      <c r="DI81" s="1166"/>
      <c r="DJ81" s="1166"/>
      <c r="DK81" s="1166"/>
      <c r="DL81" s="1166"/>
      <c r="DM81" s="1166"/>
      <c r="DN81" s="1166"/>
      <c r="DO81" s="1166"/>
      <c r="DP81" s="1166"/>
      <c r="DQ81" s="1166"/>
      <c r="DR81" s="1166"/>
      <c r="DS81" s="1166"/>
      <c r="DT81" s="1166"/>
      <c r="DU81" s="1166"/>
      <c r="DV81" s="1166"/>
      <c r="DW81" s="1166"/>
      <c r="DX81" s="1166"/>
      <c r="DY81" s="1166"/>
      <c r="DZ81" s="1166"/>
      <c r="EA81" s="1166"/>
      <c r="EB81" s="1166"/>
      <c r="EC81" s="1166"/>
      <c r="ED81" s="1166"/>
      <c r="EE81" s="1166"/>
      <c r="EF81" s="1166"/>
      <c r="EG81" s="1166"/>
      <c r="EH81" s="1166"/>
      <c r="EI81" s="1166"/>
      <c r="EJ81" s="1166"/>
      <c r="EK81" s="1166"/>
      <c r="EL81" s="1166"/>
      <c r="EM81" s="1166"/>
      <c r="EN81" s="1166"/>
      <c r="EO81" s="1166"/>
      <c r="EP81" s="1166"/>
      <c r="EQ81" s="1166"/>
      <c r="ER81" s="1166"/>
      <c r="ES81" s="1166"/>
      <c r="ET81" s="1166"/>
      <c r="EU81" s="1166"/>
      <c r="EV81" s="1166"/>
      <c r="EW81" s="1166"/>
      <c r="EX81" s="1166"/>
      <c r="EY81" s="1166"/>
      <c r="EZ81" s="1166"/>
      <c r="FA81" s="1166"/>
      <c r="FB81" s="1166"/>
      <c r="FC81" s="1166"/>
      <c r="FD81" s="1166"/>
      <c r="FE81" s="1166"/>
      <c r="FF81" s="1166"/>
      <c r="FG81" s="1166"/>
      <c r="FH81" s="1166"/>
      <c r="FI81" s="1166"/>
      <c r="FJ81" s="1166"/>
      <c r="FK81" s="1166"/>
      <c r="FL81" s="1166"/>
      <c r="FM81" s="1166"/>
      <c r="FN81" s="1166"/>
      <c r="FO81" s="1166"/>
      <c r="FP81" s="1166"/>
      <c r="FQ81" s="1166"/>
      <c r="FR81" s="1166"/>
      <c r="FS81" s="1166"/>
      <c r="FT81" s="1166"/>
      <c r="FU81" s="1166"/>
      <c r="FV81" s="1166"/>
      <c r="FW81" s="1166"/>
      <c r="FX81" s="1166"/>
      <c r="FY81" s="1166"/>
      <c r="FZ81" s="1166"/>
      <c r="GA81" s="1166"/>
      <c r="GB81" s="1166"/>
      <c r="GC81" s="1166"/>
      <c r="GD81" s="1166"/>
      <c r="GE81" s="1166"/>
      <c r="GF81" s="1166"/>
      <c r="GG81" s="1166"/>
      <c r="GH81" s="1166"/>
      <c r="GI81" s="1166"/>
      <c r="GJ81" s="1166"/>
      <c r="GK81" s="1166"/>
      <c r="GL81" s="1166"/>
      <c r="GM81" s="1166"/>
      <c r="GN81" s="1166"/>
      <c r="GO81" s="1166"/>
      <c r="GP81" s="1166"/>
      <c r="GQ81" s="1166"/>
      <c r="GR81" s="1166"/>
      <c r="GS81" s="1166"/>
      <c r="GT81" s="1166"/>
      <c r="GU81" s="1166"/>
      <c r="GV81" s="1166"/>
      <c r="GW81" s="1166"/>
      <c r="GX81" s="1166"/>
      <c r="GY81" s="1166"/>
      <c r="GZ81" s="1166"/>
      <c r="HA81" s="1166"/>
      <c r="HB81" s="1166"/>
      <c r="HC81" s="1166"/>
      <c r="HD81" s="1166"/>
      <c r="HE81" s="1166"/>
      <c r="HF81" s="1166"/>
      <c r="HG81" s="1166"/>
      <c r="HH81" s="1166"/>
      <c r="HI81" s="1166"/>
      <c r="HJ81" s="1166"/>
      <c r="HK81" s="1166"/>
      <c r="HL81" s="1166"/>
      <c r="HM81" s="1166"/>
      <c r="HN81" s="1166"/>
      <c r="HO81" s="1166"/>
      <c r="HP81" s="1166"/>
      <c r="HQ81" s="1166"/>
      <c r="HR81" s="1166"/>
      <c r="HS81" s="1166"/>
      <c r="HT81" s="1166"/>
      <c r="HU81" s="1166"/>
      <c r="HV81" s="1166"/>
      <c r="HW81" s="1166"/>
      <c r="HX81" s="1166"/>
      <c r="HY81" s="1166"/>
      <c r="HZ81" s="1166"/>
      <c r="IA81" s="1166"/>
      <c r="IB81" s="1166"/>
      <c r="IC81" s="1166"/>
      <c r="ID81" s="1166"/>
      <c r="IE81" s="1166"/>
      <c r="IF81" s="1166"/>
      <c r="IG81" s="1166"/>
      <c r="IH81" s="1166"/>
      <c r="II81" s="1166"/>
      <c r="IJ81" s="1166"/>
      <c r="IK81" s="1166"/>
      <c r="IL81" s="1166"/>
      <c r="IM81" s="1166"/>
      <c r="IN81" s="1166"/>
      <c r="IO81" s="1166"/>
      <c r="IP81" s="1166"/>
      <c r="IQ81" s="1166"/>
      <c r="IR81" s="1166"/>
      <c r="IS81" s="1166"/>
      <c r="IT81" s="1166"/>
      <c r="IU81" s="1166"/>
      <c r="IV81" s="1166"/>
    </row>
    <row r="82" spans="1:256" s="1464" customFormat="1" ht="18" customHeight="1" x14ac:dyDescent="0.35">
      <c r="A82" s="1452">
        <v>73</v>
      </c>
      <c r="B82" s="1509"/>
      <c r="C82" s="1499"/>
      <c r="D82" s="1500" t="s">
        <v>230</v>
      </c>
      <c r="E82" s="1501"/>
      <c r="F82" s="1501"/>
      <c r="G82" s="1510"/>
      <c r="H82" s="1503"/>
      <c r="I82" s="1504"/>
      <c r="J82" s="1504"/>
      <c r="K82" s="1504">
        <v>3694</v>
      </c>
      <c r="L82" s="1504"/>
      <c r="M82" s="1504"/>
      <c r="N82" s="1514"/>
      <c r="O82" s="1507">
        <f>SUM(I82:N82)</f>
        <v>3694</v>
      </c>
      <c r="P82" s="1517">
        <v>6000</v>
      </c>
      <c r="Q82" s="1166"/>
      <c r="R82" s="1166"/>
      <c r="S82" s="1166"/>
      <c r="T82" s="1166"/>
      <c r="U82" s="1166"/>
      <c r="V82" s="1166"/>
      <c r="W82" s="1166"/>
      <c r="X82" s="1166"/>
      <c r="Y82" s="1166"/>
      <c r="Z82" s="1166"/>
      <c r="AA82" s="1166"/>
      <c r="AB82" s="1166"/>
      <c r="AC82" s="1166"/>
      <c r="AD82" s="1166"/>
      <c r="AE82" s="1166"/>
      <c r="AF82" s="1166"/>
      <c r="AG82" s="1166"/>
      <c r="AH82" s="1166"/>
      <c r="AI82" s="1166"/>
      <c r="AJ82" s="1166"/>
      <c r="AK82" s="1166"/>
      <c r="AL82" s="1166"/>
      <c r="AM82" s="1166"/>
      <c r="AN82" s="1166"/>
      <c r="AO82" s="1166"/>
      <c r="AP82" s="1166"/>
      <c r="AQ82" s="1166"/>
      <c r="AR82" s="1166"/>
      <c r="AS82" s="1166"/>
      <c r="AT82" s="1166"/>
      <c r="AU82" s="1166"/>
      <c r="AV82" s="1166"/>
      <c r="AW82" s="1166"/>
      <c r="AX82" s="1166"/>
      <c r="AY82" s="1166"/>
      <c r="AZ82" s="1166"/>
      <c r="BA82" s="1166"/>
      <c r="BB82" s="1166"/>
      <c r="BC82" s="1166"/>
      <c r="BD82" s="1166"/>
      <c r="BE82" s="1166"/>
      <c r="BF82" s="1166"/>
      <c r="BG82" s="1166"/>
      <c r="BH82" s="1166"/>
      <c r="BI82" s="1166"/>
      <c r="BJ82" s="1166"/>
      <c r="BK82" s="1166"/>
      <c r="BL82" s="1166"/>
      <c r="BM82" s="1166"/>
      <c r="BN82" s="1166"/>
      <c r="BO82" s="1166"/>
      <c r="BP82" s="1166"/>
      <c r="BQ82" s="1166"/>
      <c r="BR82" s="1166"/>
      <c r="BS82" s="1166"/>
      <c r="BT82" s="1166"/>
      <c r="BU82" s="1166"/>
      <c r="BV82" s="1166"/>
      <c r="BW82" s="1166"/>
      <c r="BX82" s="1166"/>
      <c r="BY82" s="1166"/>
      <c r="BZ82" s="1166"/>
      <c r="CA82" s="1166"/>
      <c r="CB82" s="1166"/>
      <c r="CC82" s="1166"/>
      <c r="CD82" s="1166"/>
      <c r="CE82" s="1166"/>
      <c r="CF82" s="1166"/>
      <c r="CG82" s="1166"/>
      <c r="CH82" s="1166"/>
      <c r="CI82" s="1166"/>
      <c r="CJ82" s="1166"/>
      <c r="CK82" s="1166"/>
      <c r="CL82" s="1166"/>
      <c r="CM82" s="1166"/>
      <c r="CN82" s="1166"/>
      <c r="CO82" s="1166"/>
      <c r="CP82" s="1166"/>
      <c r="CQ82" s="1166"/>
      <c r="CR82" s="1166"/>
      <c r="CS82" s="1166"/>
      <c r="CT82" s="1166"/>
      <c r="CU82" s="1166"/>
      <c r="CV82" s="1166"/>
      <c r="CW82" s="1166"/>
      <c r="CX82" s="1166"/>
      <c r="CY82" s="1166"/>
      <c r="CZ82" s="1166"/>
      <c r="DA82" s="1166"/>
      <c r="DB82" s="1166"/>
      <c r="DC82" s="1166"/>
      <c r="DD82" s="1166"/>
      <c r="DE82" s="1166"/>
      <c r="DF82" s="1166"/>
      <c r="DG82" s="1166"/>
      <c r="DH82" s="1166"/>
      <c r="DI82" s="1166"/>
      <c r="DJ82" s="1166"/>
      <c r="DK82" s="1166"/>
      <c r="DL82" s="1166"/>
      <c r="DM82" s="1166"/>
      <c r="DN82" s="1166"/>
      <c r="DO82" s="1166"/>
      <c r="DP82" s="1166"/>
      <c r="DQ82" s="1166"/>
      <c r="DR82" s="1166"/>
      <c r="DS82" s="1166"/>
      <c r="DT82" s="1166"/>
      <c r="DU82" s="1166"/>
      <c r="DV82" s="1166"/>
      <c r="DW82" s="1166"/>
      <c r="DX82" s="1166"/>
      <c r="DY82" s="1166"/>
      <c r="DZ82" s="1166"/>
      <c r="EA82" s="1166"/>
      <c r="EB82" s="1166"/>
      <c r="EC82" s="1166"/>
      <c r="ED82" s="1166"/>
      <c r="EE82" s="1166"/>
      <c r="EF82" s="1166"/>
      <c r="EG82" s="1166"/>
      <c r="EH82" s="1166"/>
      <c r="EI82" s="1166"/>
      <c r="EJ82" s="1166"/>
      <c r="EK82" s="1166"/>
      <c r="EL82" s="1166"/>
      <c r="EM82" s="1166"/>
      <c r="EN82" s="1166"/>
      <c r="EO82" s="1166"/>
      <c r="EP82" s="1166"/>
      <c r="EQ82" s="1166"/>
      <c r="ER82" s="1166"/>
      <c r="ES82" s="1166"/>
      <c r="ET82" s="1166"/>
      <c r="EU82" s="1166"/>
      <c r="EV82" s="1166"/>
      <c r="EW82" s="1166"/>
      <c r="EX82" s="1166"/>
      <c r="EY82" s="1166"/>
      <c r="EZ82" s="1166"/>
      <c r="FA82" s="1166"/>
      <c r="FB82" s="1166"/>
      <c r="FC82" s="1166"/>
      <c r="FD82" s="1166"/>
      <c r="FE82" s="1166"/>
      <c r="FF82" s="1166"/>
      <c r="FG82" s="1166"/>
      <c r="FH82" s="1166"/>
      <c r="FI82" s="1166"/>
      <c r="FJ82" s="1166"/>
      <c r="FK82" s="1166"/>
      <c r="FL82" s="1166"/>
      <c r="FM82" s="1166"/>
      <c r="FN82" s="1166"/>
      <c r="FO82" s="1166"/>
      <c r="FP82" s="1166"/>
      <c r="FQ82" s="1166"/>
      <c r="FR82" s="1166"/>
      <c r="FS82" s="1166"/>
      <c r="FT82" s="1166"/>
      <c r="FU82" s="1166"/>
      <c r="FV82" s="1166"/>
      <c r="FW82" s="1166"/>
      <c r="FX82" s="1166"/>
      <c r="FY82" s="1166"/>
      <c r="FZ82" s="1166"/>
      <c r="GA82" s="1166"/>
      <c r="GB82" s="1166"/>
      <c r="GC82" s="1166"/>
      <c r="GD82" s="1166"/>
      <c r="GE82" s="1166"/>
      <c r="GF82" s="1166"/>
      <c r="GG82" s="1166"/>
      <c r="GH82" s="1166"/>
      <c r="GI82" s="1166"/>
      <c r="GJ82" s="1166"/>
      <c r="GK82" s="1166"/>
      <c r="GL82" s="1166"/>
      <c r="GM82" s="1166"/>
      <c r="GN82" s="1166"/>
      <c r="GO82" s="1166"/>
      <c r="GP82" s="1166"/>
      <c r="GQ82" s="1166"/>
      <c r="GR82" s="1166"/>
      <c r="GS82" s="1166"/>
      <c r="GT82" s="1166"/>
      <c r="GU82" s="1166"/>
      <c r="GV82" s="1166"/>
      <c r="GW82" s="1166"/>
      <c r="GX82" s="1166"/>
      <c r="GY82" s="1166"/>
      <c r="GZ82" s="1166"/>
      <c r="HA82" s="1166"/>
      <c r="HB82" s="1166"/>
      <c r="HC82" s="1166"/>
      <c r="HD82" s="1166"/>
      <c r="HE82" s="1166"/>
      <c r="HF82" s="1166"/>
      <c r="HG82" s="1166"/>
      <c r="HH82" s="1166"/>
      <c r="HI82" s="1166"/>
      <c r="HJ82" s="1166"/>
      <c r="HK82" s="1166"/>
      <c r="HL82" s="1166"/>
      <c r="HM82" s="1166"/>
      <c r="HN82" s="1166"/>
      <c r="HO82" s="1166"/>
      <c r="HP82" s="1166"/>
      <c r="HQ82" s="1166"/>
      <c r="HR82" s="1166"/>
      <c r="HS82" s="1166"/>
      <c r="HT82" s="1166"/>
      <c r="HU82" s="1166"/>
      <c r="HV82" s="1166"/>
      <c r="HW82" s="1166"/>
      <c r="HX82" s="1166"/>
      <c r="HY82" s="1166"/>
      <c r="HZ82" s="1166"/>
      <c r="IA82" s="1166"/>
      <c r="IB82" s="1166"/>
      <c r="IC82" s="1166"/>
      <c r="ID82" s="1166"/>
      <c r="IE82" s="1166"/>
      <c r="IF82" s="1166"/>
      <c r="IG82" s="1166"/>
      <c r="IH82" s="1166"/>
      <c r="II82" s="1166"/>
      <c r="IJ82" s="1166"/>
      <c r="IK82" s="1166"/>
      <c r="IL82" s="1166"/>
      <c r="IM82" s="1166"/>
      <c r="IN82" s="1166"/>
      <c r="IO82" s="1166"/>
      <c r="IP82" s="1166"/>
      <c r="IQ82" s="1166"/>
      <c r="IR82" s="1166"/>
      <c r="IS82" s="1166"/>
      <c r="IT82" s="1166"/>
      <c r="IU82" s="1166"/>
      <c r="IV82" s="1166"/>
    </row>
    <row r="83" spans="1:256" s="1464" customFormat="1" ht="18" customHeight="1" x14ac:dyDescent="0.35">
      <c r="A83" s="1452">
        <v>74</v>
      </c>
      <c r="B83" s="1509"/>
      <c r="C83" s="1499"/>
      <c r="D83" s="1481" t="s">
        <v>231</v>
      </c>
      <c r="E83" s="1501"/>
      <c r="F83" s="1501"/>
      <c r="G83" s="1510"/>
      <c r="H83" s="1503"/>
      <c r="I83" s="1504"/>
      <c r="J83" s="1504"/>
      <c r="K83" s="1511">
        <v>3694</v>
      </c>
      <c r="L83" s="1504"/>
      <c r="M83" s="1504"/>
      <c r="N83" s="1514"/>
      <c r="O83" s="1289">
        <f>SUM(I83:N83)</f>
        <v>3694</v>
      </c>
      <c r="P83" s="1518"/>
      <c r="Q83" s="1166"/>
      <c r="R83" s="1166"/>
      <c r="S83" s="1166"/>
      <c r="T83" s="1166"/>
      <c r="U83" s="1166"/>
      <c r="V83" s="1166"/>
      <c r="W83" s="1166"/>
      <c r="X83" s="1166"/>
      <c r="Y83" s="1166"/>
      <c r="Z83" s="1166"/>
      <c r="AA83" s="1166"/>
      <c r="AB83" s="1166"/>
      <c r="AC83" s="1166"/>
      <c r="AD83" s="1166"/>
      <c r="AE83" s="1166"/>
      <c r="AF83" s="1166"/>
      <c r="AG83" s="1166"/>
      <c r="AH83" s="1166"/>
      <c r="AI83" s="1166"/>
      <c r="AJ83" s="1166"/>
      <c r="AK83" s="1166"/>
      <c r="AL83" s="1166"/>
      <c r="AM83" s="1166"/>
      <c r="AN83" s="1166"/>
      <c r="AO83" s="1166"/>
      <c r="AP83" s="1166"/>
      <c r="AQ83" s="1166"/>
      <c r="AR83" s="1166"/>
      <c r="AS83" s="1166"/>
      <c r="AT83" s="1166"/>
      <c r="AU83" s="1166"/>
      <c r="AV83" s="1166"/>
      <c r="AW83" s="1166"/>
      <c r="AX83" s="1166"/>
      <c r="AY83" s="1166"/>
      <c r="AZ83" s="1166"/>
      <c r="BA83" s="1166"/>
      <c r="BB83" s="1166"/>
      <c r="BC83" s="1166"/>
      <c r="BD83" s="1166"/>
      <c r="BE83" s="1166"/>
      <c r="BF83" s="1166"/>
      <c r="BG83" s="1166"/>
      <c r="BH83" s="1166"/>
      <c r="BI83" s="1166"/>
      <c r="BJ83" s="1166"/>
      <c r="BK83" s="1166"/>
      <c r="BL83" s="1166"/>
      <c r="BM83" s="1166"/>
      <c r="BN83" s="1166"/>
      <c r="BO83" s="1166"/>
      <c r="BP83" s="1166"/>
      <c r="BQ83" s="1166"/>
      <c r="BR83" s="1166"/>
      <c r="BS83" s="1166"/>
      <c r="BT83" s="1166"/>
      <c r="BU83" s="1166"/>
      <c r="BV83" s="1166"/>
      <c r="BW83" s="1166"/>
      <c r="BX83" s="1166"/>
      <c r="BY83" s="1166"/>
      <c r="BZ83" s="1166"/>
      <c r="CA83" s="1166"/>
      <c r="CB83" s="1166"/>
      <c r="CC83" s="1166"/>
      <c r="CD83" s="1166"/>
      <c r="CE83" s="1166"/>
      <c r="CF83" s="1166"/>
      <c r="CG83" s="1166"/>
      <c r="CH83" s="1166"/>
      <c r="CI83" s="1166"/>
      <c r="CJ83" s="1166"/>
      <c r="CK83" s="1166"/>
      <c r="CL83" s="1166"/>
      <c r="CM83" s="1166"/>
      <c r="CN83" s="1166"/>
      <c r="CO83" s="1166"/>
      <c r="CP83" s="1166"/>
      <c r="CQ83" s="1166"/>
      <c r="CR83" s="1166"/>
      <c r="CS83" s="1166"/>
      <c r="CT83" s="1166"/>
      <c r="CU83" s="1166"/>
      <c r="CV83" s="1166"/>
      <c r="CW83" s="1166"/>
      <c r="CX83" s="1166"/>
      <c r="CY83" s="1166"/>
      <c r="CZ83" s="1166"/>
      <c r="DA83" s="1166"/>
      <c r="DB83" s="1166"/>
      <c r="DC83" s="1166"/>
      <c r="DD83" s="1166"/>
      <c r="DE83" s="1166"/>
      <c r="DF83" s="1166"/>
      <c r="DG83" s="1166"/>
      <c r="DH83" s="1166"/>
      <c r="DI83" s="1166"/>
      <c r="DJ83" s="1166"/>
      <c r="DK83" s="1166"/>
      <c r="DL83" s="1166"/>
      <c r="DM83" s="1166"/>
      <c r="DN83" s="1166"/>
      <c r="DO83" s="1166"/>
      <c r="DP83" s="1166"/>
      <c r="DQ83" s="1166"/>
      <c r="DR83" s="1166"/>
      <c r="DS83" s="1166"/>
      <c r="DT83" s="1166"/>
      <c r="DU83" s="1166"/>
      <c r="DV83" s="1166"/>
      <c r="DW83" s="1166"/>
      <c r="DX83" s="1166"/>
      <c r="DY83" s="1166"/>
      <c r="DZ83" s="1166"/>
      <c r="EA83" s="1166"/>
      <c r="EB83" s="1166"/>
      <c r="EC83" s="1166"/>
      <c r="ED83" s="1166"/>
      <c r="EE83" s="1166"/>
      <c r="EF83" s="1166"/>
      <c r="EG83" s="1166"/>
      <c r="EH83" s="1166"/>
      <c r="EI83" s="1166"/>
      <c r="EJ83" s="1166"/>
      <c r="EK83" s="1166"/>
      <c r="EL83" s="1166"/>
      <c r="EM83" s="1166"/>
      <c r="EN83" s="1166"/>
      <c r="EO83" s="1166"/>
      <c r="EP83" s="1166"/>
      <c r="EQ83" s="1166"/>
      <c r="ER83" s="1166"/>
      <c r="ES83" s="1166"/>
      <c r="ET83" s="1166"/>
      <c r="EU83" s="1166"/>
      <c r="EV83" s="1166"/>
      <c r="EW83" s="1166"/>
      <c r="EX83" s="1166"/>
      <c r="EY83" s="1166"/>
      <c r="EZ83" s="1166"/>
      <c r="FA83" s="1166"/>
      <c r="FB83" s="1166"/>
      <c r="FC83" s="1166"/>
      <c r="FD83" s="1166"/>
      <c r="FE83" s="1166"/>
      <c r="FF83" s="1166"/>
      <c r="FG83" s="1166"/>
      <c r="FH83" s="1166"/>
      <c r="FI83" s="1166"/>
      <c r="FJ83" s="1166"/>
      <c r="FK83" s="1166"/>
      <c r="FL83" s="1166"/>
      <c r="FM83" s="1166"/>
      <c r="FN83" s="1166"/>
      <c r="FO83" s="1166"/>
      <c r="FP83" s="1166"/>
      <c r="FQ83" s="1166"/>
      <c r="FR83" s="1166"/>
      <c r="FS83" s="1166"/>
      <c r="FT83" s="1166"/>
      <c r="FU83" s="1166"/>
      <c r="FV83" s="1166"/>
      <c r="FW83" s="1166"/>
      <c r="FX83" s="1166"/>
      <c r="FY83" s="1166"/>
      <c r="FZ83" s="1166"/>
      <c r="GA83" s="1166"/>
      <c r="GB83" s="1166"/>
      <c r="GC83" s="1166"/>
      <c r="GD83" s="1166"/>
      <c r="GE83" s="1166"/>
      <c r="GF83" s="1166"/>
      <c r="GG83" s="1166"/>
      <c r="GH83" s="1166"/>
      <c r="GI83" s="1166"/>
      <c r="GJ83" s="1166"/>
      <c r="GK83" s="1166"/>
      <c r="GL83" s="1166"/>
      <c r="GM83" s="1166"/>
      <c r="GN83" s="1166"/>
      <c r="GO83" s="1166"/>
      <c r="GP83" s="1166"/>
      <c r="GQ83" s="1166"/>
      <c r="GR83" s="1166"/>
      <c r="GS83" s="1166"/>
      <c r="GT83" s="1166"/>
      <c r="GU83" s="1166"/>
      <c r="GV83" s="1166"/>
      <c r="GW83" s="1166"/>
      <c r="GX83" s="1166"/>
      <c r="GY83" s="1166"/>
      <c r="GZ83" s="1166"/>
      <c r="HA83" s="1166"/>
      <c r="HB83" s="1166"/>
      <c r="HC83" s="1166"/>
      <c r="HD83" s="1166"/>
      <c r="HE83" s="1166"/>
      <c r="HF83" s="1166"/>
      <c r="HG83" s="1166"/>
      <c r="HH83" s="1166"/>
      <c r="HI83" s="1166"/>
      <c r="HJ83" s="1166"/>
      <c r="HK83" s="1166"/>
      <c r="HL83" s="1166"/>
      <c r="HM83" s="1166"/>
      <c r="HN83" s="1166"/>
      <c r="HO83" s="1166"/>
      <c r="HP83" s="1166"/>
      <c r="HQ83" s="1166"/>
      <c r="HR83" s="1166"/>
      <c r="HS83" s="1166"/>
      <c r="HT83" s="1166"/>
      <c r="HU83" s="1166"/>
      <c r="HV83" s="1166"/>
      <c r="HW83" s="1166"/>
      <c r="HX83" s="1166"/>
      <c r="HY83" s="1166"/>
      <c r="HZ83" s="1166"/>
      <c r="IA83" s="1166"/>
      <c r="IB83" s="1166"/>
      <c r="IC83" s="1166"/>
      <c r="ID83" s="1166"/>
      <c r="IE83" s="1166"/>
      <c r="IF83" s="1166"/>
      <c r="IG83" s="1166"/>
      <c r="IH83" s="1166"/>
      <c r="II83" s="1166"/>
      <c r="IJ83" s="1166"/>
      <c r="IK83" s="1166"/>
      <c r="IL83" s="1166"/>
      <c r="IM83" s="1166"/>
      <c r="IN83" s="1166"/>
      <c r="IO83" s="1166"/>
      <c r="IP83" s="1166"/>
      <c r="IQ83" s="1166"/>
      <c r="IR83" s="1166"/>
      <c r="IS83" s="1166"/>
      <c r="IT83" s="1166"/>
      <c r="IU83" s="1166"/>
      <c r="IV83" s="1166"/>
    </row>
    <row r="84" spans="1:256" s="1464" customFormat="1" ht="18" customHeight="1" x14ac:dyDescent="0.35">
      <c r="A84" s="1452">
        <v>75</v>
      </c>
      <c r="B84" s="1509"/>
      <c r="C84" s="1499"/>
      <c r="D84" s="1484" t="s">
        <v>245</v>
      </c>
      <c r="E84" s="1501"/>
      <c r="F84" s="1501"/>
      <c r="G84" s="1510"/>
      <c r="H84" s="1503"/>
      <c r="I84" s="1504"/>
      <c r="J84" s="1504"/>
      <c r="K84" s="1504"/>
      <c r="L84" s="1504"/>
      <c r="M84" s="1504"/>
      <c r="N84" s="1514"/>
      <c r="O84" s="1217">
        <f>SUM(I84:N84)</f>
        <v>0</v>
      </c>
      <c r="P84" s="1518"/>
      <c r="Q84" s="1166"/>
      <c r="R84" s="1166"/>
      <c r="S84" s="1166"/>
      <c r="T84" s="1166"/>
      <c r="U84" s="1166"/>
      <c r="V84" s="1166"/>
      <c r="W84" s="1166"/>
      <c r="X84" s="1166"/>
      <c r="Y84" s="1166"/>
      <c r="Z84" s="1166"/>
      <c r="AA84" s="1166"/>
      <c r="AB84" s="1166"/>
      <c r="AC84" s="1166"/>
      <c r="AD84" s="1166"/>
      <c r="AE84" s="1166"/>
      <c r="AF84" s="1166"/>
      <c r="AG84" s="1166"/>
      <c r="AH84" s="1166"/>
      <c r="AI84" s="1166"/>
      <c r="AJ84" s="1166"/>
      <c r="AK84" s="1166"/>
      <c r="AL84" s="1166"/>
      <c r="AM84" s="1166"/>
      <c r="AN84" s="1166"/>
      <c r="AO84" s="1166"/>
      <c r="AP84" s="1166"/>
      <c r="AQ84" s="1166"/>
      <c r="AR84" s="1166"/>
      <c r="AS84" s="1166"/>
      <c r="AT84" s="1166"/>
      <c r="AU84" s="1166"/>
      <c r="AV84" s="1166"/>
      <c r="AW84" s="1166"/>
      <c r="AX84" s="1166"/>
      <c r="AY84" s="1166"/>
      <c r="AZ84" s="1166"/>
      <c r="BA84" s="1166"/>
      <c r="BB84" s="1166"/>
      <c r="BC84" s="1166"/>
      <c r="BD84" s="1166"/>
      <c r="BE84" s="1166"/>
      <c r="BF84" s="1166"/>
      <c r="BG84" s="1166"/>
      <c r="BH84" s="1166"/>
      <c r="BI84" s="1166"/>
      <c r="BJ84" s="1166"/>
      <c r="BK84" s="1166"/>
      <c r="BL84" s="1166"/>
      <c r="BM84" s="1166"/>
      <c r="BN84" s="1166"/>
      <c r="BO84" s="1166"/>
      <c r="BP84" s="1166"/>
      <c r="BQ84" s="1166"/>
      <c r="BR84" s="1166"/>
      <c r="BS84" s="1166"/>
      <c r="BT84" s="1166"/>
      <c r="BU84" s="1166"/>
      <c r="BV84" s="1166"/>
      <c r="BW84" s="1166"/>
      <c r="BX84" s="1166"/>
      <c r="BY84" s="1166"/>
      <c r="BZ84" s="1166"/>
      <c r="CA84" s="1166"/>
      <c r="CB84" s="1166"/>
      <c r="CC84" s="1166"/>
      <c r="CD84" s="1166"/>
      <c r="CE84" s="1166"/>
      <c r="CF84" s="1166"/>
      <c r="CG84" s="1166"/>
      <c r="CH84" s="1166"/>
      <c r="CI84" s="1166"/>
      <c r="CJ84" s="1166"/>
      <c r="CK84" s="1166"/>
      <c r="CL84" s="1166"/>
      <c r="CM84" s="1166"/>
      <c r="CN84" s="1166"/>
      <c r="CO84" s="1166"/>
      <c r="CP84" s="1166"/>
      <c r="CQ84" s="1166"/>
      <c r="CR84" s="1166"/>
      <c r="CS84" s="1166"/>
      <c r="CT84" s="1166"/>
      <c r="CU84" s="1166"/>
      <c r="CV84" s="1166"/>
      <c r="CW84" s="1166"/>
      <c r="CX84" s="1166"/>
      <c r="CY84" s="1166"/>
      <c r="CZ84" s="1166"/>
      <c r="DA84" s="1166"/>
      <c r="DB84" s="1166"/>
      <c r="DC84" s="1166"/>
      <c r="DD84" s="1166"/>
      <c r="DE84" s="1166"/>
      <c r="DF84" s="1166"/>
      <c r="DG84" s="1166"/>
      <c r="DH84" s="1166"/>
      <c r="DI84" s="1166"/>
      <c r="DJ84" s="1166"/>
      <c r="DK84" s="1166"/>
      <c r="DL84" s="1166"/>
      <c r="DM84" s="1166"/>
      <c r="DN84" s="1166"/>
      <c r="DO84" s="1166"/>
      <c r="DP84" s="1166"/>
      <c r="DQ84" s="1166"/>
      <c r="DR84" s="1166"/>
      <c r="DS84" s="1166"/>
      <c r="DT84" s="1166"/>
      <c r="DU84" s="1166"/>
      <c r="DV84" s="1166"/>
      <c r="DW84" s="1166"/>
      <c r="DX84" s="1166"/>
      <c r="DY84" s="1166"/>
      <c r="DZ84" s="1166"/>
      <c r="EA84" s="1166"/>
      <c r="EB84" s="1166"/>
      <c r="EC84" s="1166"/>
      <c r="ED84" s="1166"/>
      <c r="EE84" s="1166"/>
      <c r="EF84" s="1166"/>
      <c r="EG84" s="1166"/>
      <c r="EH84" s="1166"/>
      <c r="EI84" s="1166"/>
      <c r="EJ84" s="1166"/>
      <c r="EK84" s="1166"/>
      <c r="EL84" s="1166"/>
      <c r="EM84" s="1166"/>
      <c r="EN84" s="1166"/>
      <c r="EO84" s="1166"/>
      <c r="EP84" s="1166"/>
      <c r="EQ84" s="1166"/>
      <c r="ER84" s="1166"/>
      <c r="ES84" s="1166"/>
      <c r="ET84" s="1166"/>
      <c r="EU84" s="1166"/>
      <c r="EV84" s="1166"/>
      <c r="EW84" s="1166"/>
      <c r="EX84" s="1166"/>
      <c r="EY84" s="1166"/>
      <c r="EZ84" s="1166"/>
      <c r="FA84" s="1166"/>
      <c r="FB84" s="1166"/>
      <c r="FC84" s="1166"/>
      <c r="FD84" s="1166"/>
      <c r="FE84" s="1166"/>
      <c r="FF84" s="1166"/>
      <c r="FG84" s="1166"/>
      <c r="FH84" s="1166"/>
      <c r="FI84" s="1166"/>
      <c r="FJ84" s="1166"/>
      <c r="FK84" s="1166"/>
      <c r="FL84" s="1166"/>
      <c r="FM84" s="1166"/>
      <c r="FN84" s="1166"/>
      <c r="FO84" s="1166"/>
      <c r="FP84" s="1166"/>
      <c r="FQ84" s="1166"/>
      <c r="FR84" s="1166"/>
      <c r="FS84" s="1166"/>
      <c r="FT84" s="1166"/>
      <c r="FU84" s="1166"/>
      <c r="FV84" s="1166"/>
      <c r="FW84" s="1166"/>
      <c r="FX84" s="1166"/>
      <c r="FY84" s="1166"/>
      <c r="FZ84" s="1166"/>
      <c r="GA84" s="1166"/>
      <c r="GB84" s="1166"/>
      <c r="GC84" s="1166"/>
      <c r="GD84" s="1166"/>
      <c r="GE84" s="1166"/>
      <c r="GF84" s="1166"/>
      <c r="GG84" s="1166"/>
      <c r="GH84" s="1166"/>
      <c r="GI84" s="1166"/>
      <c r="GJ84" s="1166"/>
      <c r="GK84" s="1166"/>
      <c r="GL84" s="1166"/>
      <c r="GM84" s="1166"/>
      <c r="GN84" s="1166"/>
      <c r="GO84" s="1166"/>
      <c r="GP84" s="1166"/>
      <c r="GQ84" s="1166"/>
      <c r="GR84" s="1166"/>
      <c r="GS84" s="1166"/>
      <c r="GT84" s="1166"/>
      <c r="GU84" s="1166"/>
      <c r="GV84" s="1166"/>
      <c r="GW84" s="1166"/>
      <c r="GX84" s="1166"/>
      <c r="GY84" s="1166"/>
      <c r="GZ84" s="1166"/>
      <c r="HA84" s="1166"/>
      <c r="HB84" s="1166"/>
      <c r="HC84" s="1166"/>
      <c r="HD84" s="1166"/>
      <c r="HE84" s="1166"/>
      <c r="HF84" s="1166"/>
      <c r="HG84" s="1166"/>
      <c r="HH84" s="1166"/>
      <c r="HI84" s="1166"/>
      <c r="HJ84" s="1166"/>
      <c r="HK84" s="1166"/>
      <c r="HL84" s="1166"/>
      <c r="HM84" s="1166"/>
      <c r="HN84" s="1166"/>
      <c r="HO84" s="1166"/>
      <c r="HP84" s="1166"/>
      <c r="HQ84" s="1166"/>
      <c r="HR84" s="1166"/>
      <c r="HS84" s="1166"/>
      <c r="HT84" s="1166"/>
      <c r="HU84" s="1166"/>
      <c r="HV84" s="1166"/>
      <c r="HW84" s="1166"/>
      <c r="HX84" s="1166"/>
      <c r="HY84" s="1166"/>
      <c r="HZ84" s="1166"/>
      <c r="IA84" s="1166"/>
      <c r="IB84" s="1166"/>
      <c r="IC84" s="1166"/>
      <c r="ID84" s="1166"/>
      <c r="IE84" s="1166"/>
      <c r="IF84" s="1166"/>
      <c r="IG84" s="1166"/>
      <c r="IH84" s="1166"/>
      <c r="II84" s="1166"/>
      <c r="IJ84" s="1166"/>
      <c r="IK84" s="1166"/>
      <c r="IL84" s="1166"/>
      <c r="IM84" s="1166"/>
      <c r="IN84" s="1166"/>
      <c r="IO84" s="1166"/>
      <c r="IP84" s="1166"/>
      <c r="IQ84" s="1166"/>
      <c r="IR84" s="1166"/>
      <c r="IS84" s="1166"/>
      <c r="IT84" s="1166"/>
      <c r="IU84" s="1166"/>
      <c r="IV84" s="1166"/>
    </row>
    <row r="85" spans="1:256" s="1464" customFormat="1" ht="18" customHeight="1" x14ac:dyDescent="0.35">
      <c r="A85" s="1452">
        <v>76</v>
      </c>
      <c r="B85" s="1509"/>
      <c r="C85" s="1499"/>
      <c r="D85" s="1481" t="s">
        <v>233</v>
      </c>
      <c r="E85" s="1501"/>
      <c r="F85" s="1501"/>
      <c r="G85" s="1510"/>
      <c r="H85" s="1503"/>
      <c r="I85" s="1504"/>
      <c r="J85" s="1504"/>
      <c r="K85" s="1511">
        <f>SUM(K83:K84)</f>
        <v>3694</v>
      </c>
      <c r="L85" s="1504"/>
      <c r="M85" s="1504"/>
      <c r="N85" s="1514"/>
      <c r="O85" s="1222">
        <f>SUM(I85:N85)</f>
        <v>3694</v>
      </c>
      <c r="P85" s="1518"/>
      <c r="Q85" s="1166"/>
      <c r="R85" s="1166"/>
      <c r="S85" s="1166"/>
      <c r="T85" s="1166"/>
      <c r="U85" s="1166"/>
      <c r="V85" s="1166"/>
      <c r="W85" s="1166"/>
      <c r="X85" s="1166"/>
      <c r="Y85" s="1166"/>
      <c r="Z85" s="1166"/>
      <c r="AA85" s="1166"/>
      <c r="AB85" s="1166"/>
      <c r="AC85" s="1166"/>
      <c r="AD85" s="1166"/>
      <c r="AE85" s="1166"/>
      <c r="AF85" s="1166"/>
      <c r="AG85" s="1166"/>
      <c r="AH85" s="1166"/>
      <c r="AI85" s="1166"/>
      <c r="AJ85" s="1166"/>
      <c r="AK85" s="1166"/>
      <c r="AL85" s="1166"/>
      <c r="AM85" s="1166"/>
      <c r="AN85" s="1166"/>
      <c r="AO85" s="1166"/>
      <c r="AP85" s="1166"/>
      <c r="AQ85" s="1166"/>
      <c r="AR85" s="1166"/>
      <c r="AS85" s="1166"/>
      <c r="AT85" s="1166"/>
      <c r="AU85" s="1166"/>
      <c r="AV85" s="1166"/>
      <c r="AW85" s="1166"/>
      <c r="AX85" s="1166"/>
      <c r="AY85" s="1166"/>
      <c r="AZ85" s="1166"/>
      <c r="BA85" s="1166"/>
      <c r="BB85" s="1166"/>
      <c r="BC85" s="1166"/>
      <c r="BD85" s="1166"/>
      <c r="BE85" s="1166"/>
      <c r="BF85" s="1166"/>
      <c r="BG85" s="1166"/>
      <c r="BH85" s="1166"/>
      <c r="BI85" s="1166"/>
      <c r="BJ85" s="1166"/>
      <c r="BK85" s="1166"/>
      <c r="BL85" s="1166"/>
      <c r="BM85" s="1166"/>
      <c r="BN85" s="1166"/>
      <c r="BO85" s="1166"/>
      <c r="BP85" s="1166"/>
      <c r="BQ85" s="1166"/>
      <c r="BR85" s="1166"/>
      <c r="BS85" s="1166"/>
      <c r="BT85" s="1166"/>
      <c r="BU85" s="1166"/>
      <c r="BV85" s="1166"/>
      <c r="BW85" s="1166"/>
      <c r="BX85" s="1166"/>
      <c r="BY85" s="1166"/>
      <c r="BZ85" s="1166"/>
      <c r="CA85" s="1166"/>
      <c r="CB85" s="1166"/>
      <c r="CC85" s="1166"/>
      <c r="CD85" s="1166"/>
      <c r="CE85" s="1166"/>
      <c r="CF85" s="1166"/>
      <c r="CG85" s="1166"/>
      <c r="CH85" s="1166"/>
      <c r="CI85" s="1166"/>
      <c r="CJ85" s="1166"/>
      <c r="CK85" s="1166"/>
      <c r="CL85" s="1166"/>
      <c r="CM85" s="1166"/>
      <c r="CN85" s="1166"/>
      <c r="CO85" s="1166"/>
      <c r="CP85" s="1166"/>
      <c r="CQ85" s="1166"/>
      <c r="CR85" s="1166"/>
      <c r="CS85" s="1166"/>
      <c r="CT85" s="1166"/>
      <c r="CU85" s="1166"/>
      <c r="CV85" s="1166"/>
      <c r="CW85" s="1166"/>
      <c r="CX85" s="1166"/>
      <c r="CY85" s="1166"/>
      <c r="CZ85" s="1166"/>
      <c r="DA85" s="1166"/>
      <c r="DB85" s="1166"/>
      <c r="DC85" s="1166"/>
      <c r="DD85" s="1166"/>
      <c r="DE85" s="1166"/>
      <c r="DF85" s="1166"/>
      <c r="DG85" s="1166"/>
      <c r="DH85" s="1166"/>
      <c r="DI85" s="1166"/>
      <c r="DJ85" s="1166"/>
      <c r="DK85" s="1166"/>
      <c r="DL85" s="1166"/>
      <c r="DM85" s="1166"/>
      <c r="DN85" s="1166"/>
      <c r="DO85" s="1166"/>
      <c r="DP85" s="1166"/>
      <c r="DQ85" s="1166"/>
      <c r="DR85" s="1166"/>
      <c r="DS85" s="1166"/>
      <c r="DT85" s="1166"/>
      <c r="DU85" s="1166"/>
      <c r="DV85" s="1166"/>
      <c r="DW85" s="1166"/>
      <c r="DX85" s="1166"/>
      <c r="DY85" s="1166"/>
      <c r="DZ85" s="1166"/>
      <c r="EA85" s="1166"/>
      <c r="EB85" s="1166"/>
      <c r="EC85" s="1166"/>
      <c r="ED85" s="1166"/>
      <c r="EE85" s="1166"/>
      <c r="EF85" s="1166"/>
      <c r="EG85" s="1166"/>
      <c r="EH85" s="1166"/>
      <c r="EI85" s="1166"/>
      <c r="EJ85" s="1166"/>
      <c r="EK85" s="1166"/>
      <c r="EL85" s="1166"/>
      <c r="EM85" s="1166"/>
      <c r="EN85" s="1166"/>
      <c r="EO85" s="1166"/>
      <c r="EP85" s="1166"/>
      <c r="EQ85" s="1166"/>
      <c r="ER85" s="1166"/>
      <c r="ES85" s="1166"/>
      <c r="ET85" s="1166"/>
      <c r="EU85" s="1166"/>
      <c r="EV85" s="1166"/>
      <c r="EW85" s="1166"/>
      <c r="EX85" s="1166"/>
      <c r="EY85" s="1166"/>
      <c r="EZ85" s="1166"/>
      <c r="FA85" s="1166"/>
      <c r="FB85" s="1166"/>
      <c r="FC85" s="1166"/>
      <c r="FD85" s="1166"/>
      <c r="FE85" s="1166"/>
      <c r="FF85" s="1166"/>
      <c r="FG85" s="1166"/>
      <c r="FH85" s="1166"/>
      <c r="FI85" s="1166"/>
      <c r="FJ85" s="1166"/>
      <c r="FK85" s="1166"/>
      <c r="FL85" s="1166"/>
      <c r="FM85" s="1166"/>
      <c r="FN85" s="1166"/>
      <c r="FO85" s="1166"/>
      <c r="FP85" s="1166"/>
      <c r="FQ85" s="1166"/>
      <c r="FR85" s="1166"/>
      <c r="FS85" s="1166"/>
      <c r="FT85" s="1166"/>
      <c r="FU85" s="1166"/>
      <c r="FV85" s="1166"/>
      <c r="FW85" s="1166"/>
      <c r="FX85" s="1166"/>
      <c r="FY85" s="1166"/>
      <c r="FZ85" s="1166"/>
      <c r="GA85" s="1166"/>
      <c r="GB85" s="1166"/>
      <c r="GC85" s="1166"/>
      <c r="GD85" s="1166"/>
      <c r="GE85" s="1166"/>
      <c r="GF85" s="1166"/>
      <c r="GG85" s="1166"/>
      <c r="GH85" s="1166"/>
      <c r="GI85" s="1166"/>
      <c r="GJ85" s="1166"/>
      <c r="GK85" s="1166"/>
      <c r="GL85" s="1166"/>
      <c r="GM85" s="1166"/>
      <c r="GN85" s="1166"/>
      <c r="GO85" s="1166"/>
      <c r="GP85" s="1166"/>
      <c r="GQ85" s="1166"/>
      <c r="GR85" s="1166"/>
      <c r="GS85" s="1166"/>
      <c r="GT85" s="1166"/>
      <c r="GU85" s="1166"/>
      <c r="GV85" s="1166"/>
      <c r="GW85" s="1166"/>
      <c r="GX85" s="1166"/>
      <c r="GY85" s="1166"/>
      <c r="GZ85" s="1166"/>
      <c r="HA85" s="1166"/>
      <c r="HB85" s="1166"/>
      <c r="HC85" s="1166"/>
      <c r="HD85" s="1166"/>
      <c r="HE85" s="1166"/>
      <c r="HF85" s="1166"/>
      <c r="HG85" s="1166"/>
      <c r="HH85" s="1166"/>
      <c r="HI85" s="1166"/>
      <c r="HJ85" s="1166"/>
      <c r="HK85" s="1166"/>
      <c r="HL85" s="1166"/>
      <c r="HM85" s="1166"/>
      <c r="HN85" s="1166"/>
      <c r="HO85" s="1166"/>
      <c r="HP85" s="1166"/>
      <c r="HQ85" s="1166"/>
      <c r="HR85" s="1166"/>
      <c r="HS85" s="1166"/>
      <c r="HT85" s="1166"/>
      <c r="HU85" s="1166"/>
      <c r="HV85" s="1166"/>
      <c r="HW85" s="1166"/>
      <c r="HX85" s="1166"/>
      <c r="HY85" s="1166"/>
      <c r="HZ85" s="1166"/>
      <c r="IA85" s="1166"/>
      <c r="IB85" s="1166"/>
      <c r="IC85" s="1166"/>
      <c r="ID85" s="1166"/>
      <c r="IE85" s="1166"/>
      <c r="IF85" s="1166"/>
      <c r="IG85" s="1166"/>
      <c r="IH85" s="1166"/>
      <c r="II85" s="1166"/>
      <c r="IJ85" s="1166"/>
      <c r="IK85" s="1166"/>
      <c r="IL85" s="1166"/>
      <c r="IM85" s="1166"/>
      <c r="IN85" s="1166"/>
      <c r="IO85" s="1166"/>
      <c r="IP85" s="1166"/>
      <c r="IQ85" s="1166"/>
      <c r="IR85" s="1166"/>
      <c r="IS85" s="1166"/>
      <c r="IT85" s="1166"/>
      <c r="IU85" s="1166"/>
      <c r="IV85" s="1166"/>
    </row>
    <row r="86" spans="1:256" s="1464" customFormat="1" ht="22.5" customHeight="1" x14ac:dyDescent="0.35">
      <c r="A86" s="1452">
        <v>77</v>
      </c>
      <c r="B86" s="1509"/>
      <c r="C86" s="1262">
        <v>21</v>
      </c>
      <c r="D86" s="1223" t="s">
        <v>981</v>
      </c>
      <c r="E86" s="1467">
        <f>F86+G86+O90+P87</f>
        <v>0</v>
      </c>
      <c r="F86" s="1501"/>
      <c r="G86" s="1510"/>
      <c r="H86" s="1516" t="s">
        <v>296</v>
      </c>
      <c r="I86" s="1504"/>
      <c r="J86" s="1504"/>
      <c r="K86" s="1504"/>
      <c r="L86" s="1504"/>
      <c r="M86" s="1504"/>
      <c r="N86" s="1514"/>
      <c r="O86" s="1507"/>
      <c r="P86" s="1508"/>
      <c r="Q86" s="1166"/>
      <c r="R86" s="1166"/>
      <c r="S86" s="1166"/>
      <c r="T86" s="1166"/>
      <c r="U86" s="1166"/>
      <c r="V86" s="1166"/>
      <c r="W86" s="1166"/>
      <c r="X86" s="1166"/>
      <c r="Y86" s="1166"/>
      <c r="Z86" s="1166"/>
      <c r="AA86" s="1166"/>
      <c r="AB86" s="1166"/>
      <c r="AC86" s="1166"/>
      <c r="AD86" s="1166"/>
      <c r="AE86" s="1166"/>
      <c r="AF86" s="1166"/>
      <c r="AG86" s="1166"/>
      <c r="AH86" s="1166"/>
      <c r="AI86" s="1166"/>
      <c r="AJ86" s="1166"/>
      <c r="AK86" s="1166"/>
      <c r="AL86" s="1166"/>
      <c r="AM86" s="1166"/>
      <c r="AN86" s="1166"/>
      <c r="AO86" s="1166"/>
      <c r="AP86" s="1166"/>
      <c r="AQ86" s="1166"/>
      <c r="AR86" s="1166"/>
      <c r="AS86" s="1166"/>
      <c r="AT86" s="1166"/>
      <c r="AU86" s="1166"/>
      <c r="AV86" s="1166"/>
      <c r="AW86" s="1166"/>
      <c r="AX86" s="1166"/>
      <c r="AY86" s="1166"/>
      <c r="AZ86" s="1166"/>
      <c r="BA86" s="1166"/>
      <c r="BB86" s="1166"/>
      <c r="BC86" s="1166"/>
      <c r="BD86" s="1166"/>
      <c r="BE86" s="1166"/>
      <c r="BF86" s="1166"/>
      <c r="BG86" s="1166"/>
      <c r="BH86" s="1166"/>
      <c r="BI86" s="1166"/>
      <c r="BJ86" s="1166"/>
      <c r="BK86" s="1166"/>
      <c r="BL86" s="1166"/>
      <c r="BM86" s="1166"/>
      <c r="BN86" s="1166"/>
      <c r="BO86" s="1166"/>
      <c r="BP86" s="1166"/>
      <c r="BQ86" s="1166"/>
      <c r="BR86" s="1166"/>
      <c r="BS86" s="1166"/>
      <c r="BT86" s="1166"/>
      <c r="BU86" s="1166"/>
      <c r="BV86" s="1166"/>
      <c r="BW86" s="1166"/>
      <c r="BX86" s="1166"/>
      <c r="BY86" s="1166"/>
      <c r="BZ86" s="1166"/>
      <c r="CA86" s="1166"/>
      <c r="CB86" s="1166"/>
      <c r="CC86" s="1166"/>
      <c r="CD86" s="1166"/>
      <c r="CE86" s="1166"/>
      <c r="CF86" s="1166"/>
      <c r="CG86" s="1166"/>
      <c r="CH86" s="1166"/>
      <c r="CI86" s="1166"/>
      <c r="CJ86" s="1166"/>
      <c r="CK86" s="1166"/>
      <c r="CL86" s="1166"/>
      <c r="CM86" s="1166"/>
      <c r="CN86" s="1166"/>
      <c r="CO86" s="1166"/>
      <c r="CP86" s="1166"/>
      <c r="CQ86" s="1166"/>
      <c r="CR86" s="1166"/>
      <c r="CS86" s="1166"/>
      <c r="CT86" s="1166"/>
      <c r="CU86" s="1166"/>
      <c r="CV86" s="1166"/>
      <c r="CW86" s="1166"/>
      <c r="CX86" s="1166"/>
      <c r="CY86" s="1166"/>
      <c r="CZ86" s="1166"/>
      <c r="DA86" s="1166"/>
      <c r="DB86" s="1166"/>
      <c r="DC86" s="1166"/>
      <c r="DD86" s="1166"/>
      <c r="DE86" s="1166"/>
      <c r="DF86" s="1166"/>
      <c r="DG86" s="1166"/>
      <c r="DH86" s="1166"/>
      <c r="DI86" s="1166"/>
      <c r="DJ86" s="1166"/>
      <c r="DK86" s="1166"/>
      <c r="DL86" s="1166"/>
      <c r="DM86" s="1166"/>
      <c r="DN86" s="1166"/>
      <c r="DO86" s="1166"/>
      <c r="DP86" s="1166"/>
      <c r="DQ86" s="1166"/>
      <c r="DR86" s="1166"/>
      <c r="DS86" s="1166"/>
      <c r="DT86" s="1166"/>
      <c r="DU86" s="1166"/>
      <c r="DV86" s="1166"/>
      <c r="DW86" s="1166"/>
      <c r="DX86" s="1166"/>
      <c r="DY86" s="1166"/>
      <c r="DZ86" s="1166"/>
      <c r="EA86" s="1166"/>
      <c r="EB86" s="1166"/>
      <c r="EC86" s="1166"/>
      <c r="ED86" s="1166"/>
      <c r="EE86" s="1166"/>
      <c r="EF86" s="1166"/>
      <c r="EG86" s="1166"/>
      <c r="EH86" s="1166"/>
      <c r="EI86" s="1166"/>
      <c r="EJ86" s="1166"/>
      <c r="EK86" s="1166"/>
      <c r="EL86" s="1166"/>
      <c r="EM86" s="1166"/>
      <c r="EN86" s="1166"/>
      <c r="EO86" s="1166"/>
      <c r="EP86" s="1166"/>
      <c r="EQ86" s="1166"/>
      <c r="ER86" s="1166"/>
      <c r="ES86" s="1166"/>
      <c r="ET86" s="1166"/>
      <c r="EU86" s="1166"/>
      <c r="EV86" s="1166"/>
      <c r="EW86" s="1166"/>
      <c r="EX86" s="1166"/>
      <c r="EY86" s="1166"/>
      <c r="EZ86" s="1166"/>
      <c r="FA86" s="1166"/>
      <c r="FB86" s="1166"/>
      <c r="FC86" s="1166"/>
      <c r="FD86" s="1166"/>
      <c r="FE86" s="1166"/>
      <c r="FF86" s="1166"/>
      <c r="FG86" s="1166"/>
      <c r="FH86" s="1166"/>
      <c r="FI86" s="1166"/>
      <c r="FJ86" s="1166"/>
      <c r="FK86" s="1166"/>
      <c r="FL86" s="1166"/>
      <c r="FM86" s="1166"/>
      <c r="FN86" s="1166"/>
      <c r="FO86" s="1166"/>
      <c r="FP86" s="1166"/>
      <c r="FQ86" s="1166"/>
      <c r="FR86" s="1166"/>
      <c r="FS86" s="1166"/>
      <c r="FT86" s="1166"/>
      <c r="FU86" s="1166"/>
      <c r="FV86" s="1166"/>
      <c r="FW86" s="1166"/>
      <c r="FX86" s="1166"/>
      <c r="FY86" s="1166"/>
      <c r="FZ86" s="1166"/>
      <c r="GA86" s="1166"/>
      <c r="GB86" s="1166"/>
      <c r="GC86" s="1166"/>
      <c r="GD86" s="1166"/>
      <c r="GE86" s="1166"/>
      <c r="GF86" s="1166"/>
      <c r="GG86" s="1166"/>
      <c r="GH86" s="1166"/>
      <c r="GI86" s="1166"/>
      <c r="GJ86" s="1166"/>
      <c r="GK86" s="1166"/>
      <c r="GL86" s="1166"/>
      <c r="GM86" s="1166"/>
      <c r="GN86" s="1166"/>
      <c r="GO86" s="1166"/>
      <c r="GP86" s="1166"/>
      <c r="GQ86" s="1166"/>
      <c r="GR86" s="1166"/>
      <c r="GS86" s="1166"/>
      <c r="GT86" s="1166"/>
      <c r="GU86" s="1166"/>
      <c r="GV86" s="1166"/>
      <c r="GW86" s="1166"/>
      <c r="GX86" s="1166"/>
      <c r="GY86" s="1166"/>
      <c r="GZ86" s="1166"/>
      <c r="HA86" s="1166"/>
      <c r="HB86" s="1166"/>
      <c r="HC86" s="1166"/>
      <c r="HD86" s="1166"/>
      <c r="HE86" s="1166"/>
      <c r="HF86" s="1166"/>
      <c r="HG86" s="1166"/>
      <c r="HH86" s="1166"/>
      <c r="HI86" s="1166"/>
      <c r="HJ86" s="1166"/>
      <c r="HK86" s="1166"/>
      <c r="HL86" s="1166"/>
      <c r="HM86" s="1166"/>
      <c r="HN86" s="1166"/>
      <c r="HO86" s="1166"/>
      <c r="HP86" s="1166"/>
      <c r="HQ86" s="1166"/>
      <c r="HR86" s="1166"/>
      <c r="HS86" s="1166"/>
      <c r="HT86" s="1166"/>
      <c r="HU86" s="1166"/>
      <c r="HV86" s="1166"/>
      <c r="HW86" s="1166"/>
      <c r="HX86" s="1166"/>
      <c r="HY86" s="1166"/>
      <c r="HZ86" s="1166"/>
      <c r="IA86" s="1166"/>
      <c r="IB86" s="1166"/>
      <c r="IC86" s="1166"/>
      <c r="ID86" s="1166"/>
      <c r="IE86" s="1166"/>
      <c r="IF86" s="1166"/>
      <c r="IG86" s="1166"/>
      <c r="IH86" s="1166"/>
      <c r="II86" s="1166"/>
      <c r="IJ86" s="1166"/>
      <c r="IK86" s="1166"/>
      <c r="IL86" s="1166"/>
      <c r="IM86" s="1166"/>
      <c r="IN86" s="1166"/>
      <c r="IO86" s="1166"/>
      <c r="IP86" s="1166"/>
      <c r="IQ86" s="1166"/>
      <c r="IR86" s="1166"/>
      <c r="IS86" s="1166"/>
      <c r="IT86" s="1166"/>
      <c r="IU86" s="1166"/>
      <c r="IV86" s="1166"/>
    </row>
    <row r="87" spans="1:256" s="1464" customFormat="1" ht="18" customHeight="1" x14ac:dyDescent="0.35">
      <c r="A87" s="1452">
        <v>78</v>
      </c>
      <c r="B87" s="1509"/>
      <c r="C87" s="1499"/>
      <c r="D87" s="1500" t="s">
        <v>230</v>
      </c>
      <c r="E87" s="1501"/>
      <c r="F87" s="1501"/>
      <c r="G87" s="1510"/>
      <c r="H87" s="1503"/>
      <c r="I87" s="1504"/>
      <c r="J87" s="1504"/>
      <c r="K87" s="1504">
        <v>500</v>
      </c>
      <c r="L87" s="1504"/>
      <c r="M87" s="1504"/>
      <c r="N87" s="1514"/>
      <c r="O87" s="1507">
        <f>SUM(I87:N87)</f>
        <v>500</v>
      </c>
      <c r="P87" s="1519"/>
      <c r="Q87" s="1166"/>
      <c r="R87" s="1166"/>
      <c r="S87" s="1166"/>
      <c r="T87" s="1166"/>
      <c r="U87" s="1166"/>
      <c r="V87" s="1166"/>
      <c r="W87" s="1166"/>
      <c r="X87" s="1166"/>
      <c r="Y87" s="1166"/>
      <c r="Z87" s="1166"/>
      <c r="AA87" s="1166"/>
      <c r="AB87" s="1166"/>
      <c r="AC87" s="1166"/>
      <c r="AD87" s="1166"/>
      <c r="AE87" s="1166"/>
      <c r="AF87" s="1166"/>
      <c r="AG87" s="1166"/>
      <c r="AH87" s="1166"/>
      <c r="AI87" s="1166"/>
      <c r="AJ87" s="1166"/>
      <c r="AK87" s="1166"/>
      <c r="AL87" s="1166"/>
      <c r="AM87" s="1166"/>
      <c r="AN87" s="1166"/>
      <c r="AO87" s="1166"/>
      <c r="AP87" s="1166"/>
      <c r="AQ87" s="1166"/>
      <c r="AR87" s="1166"/>
      <c r="AS87" s="1166"/>
      <c r="AT87" s="1166"/>
      <c r="AU87" s="1166"/>
      <c r="AV87" s="1166"/>
      <c r="AW87" s="1166"/>
      <c r="AX87" s="1166"/>
      <c r="AY87" s="1166"/>
      <c r="AZ87" s="1166"/>
      <c r="BA87" s="1166"/>
      <c r="BB87" s="1166"/>
      <c r="BC87" s="1166"/>
      <c r="BD87" s="1166"/>
      <c r="BE87" s="1166"/>
      <c r="BF87" s="1166"/>
      <c r="BG87" s="1166"/>
      <c r="BH87" s="1166"/>
      <c r="BI87" s="1166"/>
      <c r="BJ87" s="1166"/>
      <c r="BK87" s="1166"/>
      <c r="BL87" s="1166"/>
      <c r="BM87" s="1166"/>
      <c r="BN87" s="1166"/>
      <c r="BO87" s="1166"/>
      <c r="BP87" s="1166"/>
      <c r="BQ87" s="1166"/>
      <c r="BR87" s="1166"/>
      <c r="BS87" s="1166"/>
      <c r="BT87" s="1166"/>
      <c r="BU87" s="1166"/>
      <c r="BV87" s="1166"/>
      <c r="BW87" s="1166"/>
      <c r="BX87" s="1166"/>
      <c r="BY87" s="1166"/>
      <c r="BZ87" s="1166"/>
      <c r="CA87" s="1166"/>
      <c r="CB87" s="1166"/>
      <c r="CC87" s="1166"/>
      <c r="CD87" s="1166"/>
      <c r="CE87" s="1166"/>
      <c r="CF87" s="1166"/>
      <c r="CG87" s="1166"/>
      <c r="CH87" s="1166"/>
      <c r="CI87" s="1166"/>
      <c r="CJ87" s="1166"/>
      <c r="CK87" s="1166"/>
      <c r="CL87" s="1166"/>
      <c r="CM87" s="1166"/>
      <c r="CN87" s="1166"/>
      <c r="CO87" s="1166"/>
      <c r="CP87" s="1166"/>
      <c r="CQ87" s="1166"/>
      <c r="CR87" s="1166"/>
      <c r="CS87" s="1166"/>
      <c r="CT87" s="1166"/>
      <c r="CU87" s="1166"/>
      <c r="CV87" s="1166"/>
      <c r="CW87" s="1166"/>
      <c r="CX87" s="1166"/>
      <c r="CY87" s="1166"/>
      <c r="CZ87" s="1166"/>
      <c r="DA87" s="1166"/>
      <c r="DB87" s="1166"/>
      <c r="DC87" s="1166"/>
      <c r="DD87" s="1166"/>
      <c r="DE87" s="1166"/>
      <c r="DF87" s="1166"/>
      <c r="DG87" s="1166"/>
      <c r="DH87" s="1166"/>
      <c r="DI87" s="1166"/>
      <c r="DJ87" s="1166"/>
      <c r="DK87" s="1166"/>
      <c r="DL87" s="1166"/>
      <c r="DM87" s="1166"/>
      <c r="DN87" s="1166"/>
      <c r="DO87" s="1166"/>
      <c r="DP87" s="1166"/>
      <c r="DQ87" s="1166"/>
      <c r="DR87" s="1166"/>
      <c r="DS87" s="1166"/>
      <c r="DT87" s="1166"/>
      <c r="DU87" s="1166"/>
      <c r="DV87" s="1166"/>
      <c r="DW87" s="1166"/>
      <c r="DX87" s="1166"/>
      <c r="DY87" s="1166"/>
      <c r="DZ87" s="1166"/>
      <c r="EA87" s="1166"/>
      <c r="EB87" s="1166"/>
      <c r="EC87" s="1166"/>
      <c r="ED87" s="1166"/>
      <c r="EE87" s="1166"/>
      <c r="EF87" s="1166"/>
      <c r="EG87" s="1166"/>
      <c r="EH87" s="1166"/>
      <c r="EI87" s="1166"/>
      <c r="EJ87" s="1166"/>
      <c r="EK87" s="1166"/>
      <c r="EL87" s="1166"/>
      <c r="EM87" s="1166"/>
      <c r="EN87" s="1166"/>
      <c r="EO87" s="1166"/>
      <c r="EP87" s="1166"/>
      <c r="EQ87" s="1166"/>
      <c r="ER87" s="1166"/>
      <c r="ES87" s="1166"/>
      <c r="ET87" s="1166"/>
      <c r="EU87" s="1166"/>
      <c r="EV87" s="1166"/>
      <c r="EW87" s="1166"/>
      <c r="EX87" s="1166"/>
      <c r="EY87" s="1166"/>
      <c r="EZ87" s="1166"/>
      <c r="FA87" s="1166"/>
      <c r="FB87" s="1166"/>
      <c r="FC87" s="1166"/>
      <c r="FD87" s="1166"/>
      <c r="FE87" s="1166"/>
      <c r="FF87" s="1166"/>
      <c r="FG87" s="1166"/>
      <c r="FH87" s="1166"/>
      <c r="FI87" s="1166"/>
      <c r="FJ87" s="1166"/>
      <c r="FK87" s="1166"/>
      <c r="FL87" s="1166"/>
      <c r="FM87" s="1166"/>
      <c r="FN87" s="1166"/>
      <c r="FO87" s="1166"/>
      <c r="FP87" s="1166"/>
      <c r="FQ87" s="1166"/>
      <c r="FR87" s="1166"/>
      <c r="FS87" s="1166"/>
      <c r="FT87" s="1166"/>
      <c r="FU87" s="1166"/>
      <c r="FV87" s="1166"/>
      <c r="FW87" s="1166"/>
      <c r="FX87" s="1166"/>
      <c r="FY87" s="1166"/>
      <c r="FZ87" s="1166"/>
      <c r="GA87" s="1166"/>
      <c r="GB87" s="1166"/>
      <c r="GC87" s="1166"/>
      <c r="GD87" s="1166"/>
      <c r="GE87" s="1166"/>
      <c r="GF87" s="1166"/>
      <c r="GG87" s="1166"/>
      <c r="GH87" s="1166"/>
      <c r="GI87" s="1166"/>
      <c r="GJ87" s="1166"/>
      <c r="GK87" s="1166"/>
      <c r="GL87" s="1166"/>
      <c r="GM87" s="1166"/>
      <c r="GN87" s="1166"/>
      <c r="GO87" s="1166"/>
      <c r="GP87" s="1166"/>
      <c r="GQ87" s="1166"/>
      <c r="GR87" s="1166"/>
      <c r="GS87" s="1166"/>
      <c r="GT87" s="1166"/>
      <c r="GU87" s="1166"/>
      <c r="GV87" s="1166"/>
      <c r="GW87" s="1166"/>
      <c r="GX87" s="1166"/>
      <c r="GY87" s="1166"/>
      <c r="GZ87" s="1166"/>
      <c r="HA87" s="1166"/>
      <c r="HB87" s="1166"/>
      <c r="HC87" s="1166"/>
      <c r="HD87" s="1166"/>
      <c r="HE87" s="1166"/>
      <c r="HF87" s="1166"/>
      <c r="HG87" s="1166"/>
      <c r="HH87" s="1166"/>
      <c r="HI87" s="1166"/>
      <c r="HJ87" s="1166"/>
      <c r="HK87" s="1166"/>
      <c r="HL87" s="1166"/>
      <c r="HM87" s="1166"/>
      <c r="HN87" s="1166"/>
      <c r="HO87" s="1166"/>
      <c r="HP87" s="1166"/>
      <c r="HQ87" s="1166"/>
      <c r="HR87" s="1166"/>
      <c r="HS87" s="1166"/>
      <c r="HT87" s="1166"/>
      <c r="HU87" s="1166"/>
      <c r="HV87" s="1166"/>
      <c r="HW87" s="1166"/>
      <c r="HX87" s="1166"/>
      <c r="HY87" s="1166"/>
      <c r="HZ87" s="1166"/>
      <c r="IA87" s="1166"/>
      <c r="IB87" s="1166"/>
      <c r="IC87" s="1166"/>
      <c r="ID87" s="1166"/>
      <c r="IE87" s="1166"/>
      <c r="IF87" s="1166"/>
      <c r="IG87" s="1166"/>
      <c r="IH87" s="1166"/>
      <c r="II87" s="1166"/>
      <c r="IJ87" s="1166"/>
      <c r="IK87" s="1166"/>
      <c r="IL87" s="1166"/>
      <c r="IM87" s="1166"/>
      <c r="IN87" s="1166"/>
      <c r="IO87" s="1166"/>
      <c r="IP87" s="1166"/>
      <c r="IQ87" s="1166"/>
      <c r="IR87" s="1166"/>
      <c r="IS87" s="1166"/>
      <c r="IT87" s="1166"/>
      <c r="IU87" s="1166"/>
      <c r="IV87" s="1166"/>
    </row>
    <row r="88" spans="1:256" s="1464" customFormat="1" ht="18" customHeight="1" x14ac:dyDescent="0.35">
      <c r="A88" s="1452">
        <v>79</v>
      </c>
      <c r="B88" s="1509"/>
      <c r="C88" s="1499"/>
      <c r="D88" s="1481" t="s">
        <v>231</v>
      </c>
      <c r="E88" s="1501"/>
      <c r="F88" s="1501"/>
      <c r="G88" s="1510"/>
      <c r="H88" s="1503"/>
      <c r="I88" s="1511"/>
      <c r="J88" s="1511"/>
      <c r="K88" s="1511">
        <v>0</v>
      </c>
      <c r="L88" s="1511"/>
      <c r="M88" s="1511"/>
      <c r="N88" s="1512"/>
      <c r="O88" s="1289">
        <f>SUM(I88:N88)</f>
        <v>0</v>
      </c>
      <c r="P88" s="1519"/>
      <c r="Q88" s="1166"/>
      <c r="R88" s="1166"/>
      <c r="S88" s="1166"/>
      <c r="T88" s="1166"/>
      <c r="U88" s="1166"/>
      <c r="V88" s="1166"/>
      <c r="W88" s="1166"/>
      <c r="X88" s="1166"/>
      <c r="Y88" s="1166"/>
      <c r="Z88" s="1166"/>
      <c r="AA88" s="1166"/>
      <c r="AB88" s="1166"/>
      <c r="AC88" s="1166"/>
      <c r="AD88" s="1166"/>
      <c r="AE88" s="1166"/>
      <c r="AF88" s="1166"/>
      <c r="AG88" s="1166"/>
      <c r="AH88" s="1166"/>
      <c r="AI88" s="1166"/>
      <c r="AJ88" s="1166"/>
      <c r="AK88" s="1166"/>
      <c r="AL88" s="1166"/>
      <c r="AM88" s="1166"/>
      <c r="AN88" s="1166"/>
      <c r="AO88" s="1166"/>
      <c r="AP88" s="1166"/>
      <c r="AQ88" s="1166"/>
      <c r="AR88" s="1166"/>
      <c r="AS88" s="1166"/>
      <c r="AT88" s="1166"/>
      <c r="AU88" s="1166"/>
      <c r="AV88" s="1166"/>
      <c r="AW88" s="1166"/>
      <c r="AX88" s="1166"/>
      <c r="AY88" s="1166"/>
      <c r="AZ88" s="1166"/>
      <c r="BA88" s="1166"/>
      <c r="BB88" s="1166"/>
      <c r="BC88" s="1166"/>
      <c r="BD88" s="1166"/>
      <c r="BE88" s="1166"/>
      <c r="BF88" s="1166"/>
      <c r="BG88" s="1166"/>
      <c r="BH88" s="1166"/>
      <c r="BI88" s="1166"/>
      <c r="BJ88" s="1166"/>
      <c r="BK88" s="1166"/>
      <c r="BL88" s="1166"/>
      <c r="BM88" s="1166"/>
      <c r="BN88" s="1166"/>
      <c r="BO88" s="1166"/>
      <c r="BP88" s="1166"/>
      <c r="BQ88" s="1166"/>
      <c r="BR88" s="1166"/>
      <c r="BS88" s="1166"/>
      <c r="BT88" s="1166"/>
      <c r="BU88" s="1166"/>
      <c r="BV88" s="1166"/>
      <c r="BW88" s="1166"/>
      <c r="BX88" s="1166"/>
      <c r="BY88" s="1166"/>
      <c r="BZ88" s="1166"/>
      <c r="CA88" s="1166"/>
      <c r="CB88" s="1166"/>
      <c r="CC88" s="1166"/>
      <c r="CD88" s="1166"/>
      <c r="CE88" s="1166"/>
      <c r="CF88" s="1166"/>
      <c r="CG88" s="1166"/>
      <c r="CH88" s="1166"/>
      <c r="CI88" s="1166"/>
      <c r="CJ88" s="1166"/>
      <c r="CK88" s="1166"/>
      <c r="CL88" s="1166"/>
      <c r="CM88" s="1166"/>
      <c r="CN88" s="1166"/>
      <c r="CO88" s="1166"/>
      <c r="CP88" s="1166"/>
      <c r="CQ88" s="1166"/>
      <c r="CR88" s="1166"/>
      <c r="CS88" s="1166"/>
      <c r="CT88" s="1166"/>
      <c r="CU88" s="1166"/>
      <c r="CV88" s="1166"/>
      <c r="CW88" s="1166"/>
      <c r="CX88" s="1166"/>
      <c r="CY88" s="1166"/>
      <c r="CZ88" s="1166"/>
      <c r="DA88" s="1166"/>
      <c r="DB88" s="1166"/>
      <c r="DC88" s="1166"/>
      <c r="DD88" s="1166"/>
      <c r="DE88" s="1166"/>
      <c r="DF88" s="1166"/>
      <c r="DG88" s="1166"/>
      <c r="DH88" s="1166"/>
      <c r="DI88" s="1166"/>
      <c r="DJ88" s="1166"/>
      <c r="DK88" s="1166"/>
      <c r="DL88" s="1166"/>
      <c r="DM88" s="1166"/>
      <c r="DN88" s="1166"/>
      <c r="DO88" s="1166"/>
      <c r="DP88" s="1166"/>
      <c r="DQ88" s="1166"/>
      <c r="DR88" s="1166"/>
      <c r="DS88" s="1166"/>
      <c r="DT88" s="1166"/>
      <c r="DU88" s="1166"/>
      <c r="DV88" s="1166"/>
      <c r="DW88" s="1166"/>
      <c r="DX88" s="1166"/>
      <c r="DY88" s="1166"/>
      <c r="DZ88" s="1166"/>
      <c r="EA88" s="1166"/>
      <c r="EB88" s="1166"/>
      <c r="EC88" s="1166"/>
      <c r="ED88" s="1166"/>
      <c r="EE88" s="1166"/>
      <c r="EF88" s="1166"/>
      <c r="EG88" s="1166"/>
      <c r="EH88" s="1166"/>
      <c r="EI88" s="1166"/>
      <c r="EJ88" s="1166"/>
      <c r="EK88" s="1166"/>
      <c r="EL88" s="1166"/>
      <c r="EM88" s="1166"/>
      <c r="EN88" s="1166"/>
      <c r="EO88" s="1166"/>
      <c r="EP88" s="1166"/>
      <c r="EQ88" s="1166"/>
      <c r="ER88" s="1166"/>
      <c r="ES88" s="1166"/>
      <c r="ET88" s="1166"/>
      <c r="EU88" s="1166"/>
      <c r="EV88" s="1166"/>
      <c r="EW88" s="1166"/>
      <c r="EX88" s="1166"/>
      <c r="EY88" s="1166"/>
      <c r="EZ88" s="1166"/>
      <c r="FA88" s="1166"/>
      <c r="FB88" s="1166"/>
      <c r="FC88" s="1166"/>
      <c r="FD88" s="1166"/>
      <c r="FE88" s="1166"/>
      <c r="FF88" s="1166"/>
      <c r="FG88" s="1166"/>
      <c r="FH88" s="1166"/>
      <c r="FI88" s="1166"/>
      <c r="FJ88" s="1166"/>
      <c r="FK88" s="1166"/>
      <c r="FL88" s="1166"/>
      <c r="FM88" s="1166"/>
      <c r="FN88" s="1166"/>
      <c r="FO88" s="1166"/>
      <c r="FP88" s="1166"/>
      <c r="FQ88" s="1166"/>
      <c r="FR88" s="1166"/>
      <c r="FS88" s="1166"/>
      <c r="FT88" s="1166"/>
      <c r="FU88" s="1166"/>
      <c r="FV88" s="1166"/>
      <c r="FW88" s="1166"/>
      <c r="FX88" s="1166"/>
      <c r="FY88" s="1166"/>
      <c r="FZ88" s="1166"/>
      <c r="GA88" s="1166"/>
      <c r="GB88" s="1166"/>
      <c r="GC88" s="1166"/>
      <c r="GD88" s="1166"/>
      <c r="GE88" s="1166"/>
      <c r="GF88" s="1166"/>
      <c r="GG88" s="1166"/>
      <c r="GH88" s="1166"/>
      <c r="GI88" s="1166"/>
      <c r="GJ88" s="1166"/>
      <c r="GK88" s="1166"/>
      <c r="GL88" s="1166"/>
      <c r="GM88" s="1166"/>
      <c r="GN88" s="1166"/>
      <c r="GO88" s="1166"/>
      <c r="GP88" s="1166"/>
      <c r="GQ88" s="1166"/>
      <c r="GR88" s="1166"/>
      <c r="GS88" s="1166"/>
      <c r="GT88" s="1166"/>
      <c r="GU88" s="1166"/>
      <c r="GV88" s="1166"/>
      <c r="GW88" s="1166"/>
      <c r="GX88" s="1166"/>
      <c r="GY88" s="1166"/>
      <c r="GZ88" s="1166"/>
      <c r="HA88" s="1166"/>
      <c r="HB88" s="1166"/>
      <c r="HC88" s="1166"/>
      <c r="HD88" s="1166"/>
      <c r="HE88" s="1166"/>
      <c r="HF88" s="1166"/>
      <c r="HG88" s="1166"/>
      <c r="HH88" s="1166"/>
      <c r="HI88" s="1166"/>
      <c r="HJ88" s="1166"/>
      <c r="HK88" s="1166"/>
      <c r="HL88" s="1166"/>
      <c r="HM88" s="1166"/>
      <c r="HN88" s="1166"/>
      <c r="HO88" s="1166"/>
      <c r="HP88" s="1166"/>
      <c r="HQ88" s="1166"/>
      <c r="HR88" s="1166"/>
      <c r="HS88" s="1166"/>
      <c r="HT88" s="1166"/>
      <c r="HU88" s="1166"/>
      <c r="HV88" s="1166"/>
      <c r="HW88" s="1166"/>
      <c r="HX88" s="1166"/>
      <c r="HY88" s="1166"/>
      <c r="HZ88" s="1166"/>
      <c r="IA88" s="1166"/>
      <c r="IB88" s="1166"/>
      <c r="IC88" s="1166"/>
      <c r="ID88" s="1166"/>
      <c r="IE88" s="1166"/>
      <c r="IF88" s="1166"/>
      <c r="IG88" s="1166"/>
      <c r="IH88" s="1166"/>
      <c r="II88" s="1166"/>
      <c r="IJ88" s="1166"/>
      <c r="IK88" s="1166"/>
      <c r="IL88" s="1166"/>
      <c r="IM88" s="1166"/>
      <c r="IN88" s="1166"/>
      <c r="IO88" s="1166"/>
      <c r="IP88" s="1166"/>
      <c r="IQ88" s="1166"/>
      <c r="IR88" s="1166"/>
      <c r="IS88" s="1166"/>
      <c r="IT88" s="1166"/>
      <c r="IU88" s="1166"/>
      <c r="IV88" s="1166"/>
    </row>
    <row r="89" spans="1:256" s="1464" customFormat="1" ht="18" customHeight="1" x14ac:dyDescent="0.35">
      <c r="A89" s="1452">
        <v>80</v>
      </c>
      <c r="B89" s="1465"/>
      <c r="C89" s="1187"/>
      <c r="D89" s="1388" t="s">
        <v>245</v>
      </c>
      <c r="E89" s="1468"/>
      <c r="F89" s="1468"/>
      <c r="G89" s="1520"/>
      <c r="H89" s="1479"/>
      <c r="I89" s="1471"/>
      <c r="J89" s="1471"/>
      <c r="K89" s="1521"/>
      <c r="L89" s="1471"/>
      <c r="M89" s="1471"/>
      <c r="N89" s="1522"/>
      <c r="O89" s="1217">
        <f>SUM(I89:N89)</f>
        <v>0</v>
      </c>
      <c r="P89" s="1523"/>
      <c r="Q89" s="1166"/>
      <c r="R89" s="1166"/>
      <c r="S89" s="1166"/>
      <c r="T89" s="1166"/>
      <c r="U89" s="1166"/>
      <c r="V89" s="1166"/>
      <c r="W89" s="1166"/>
      <c r="X89" s="1166"/>
      <c r="Y89" s="1166"/>
      <c r="Z89" s="1166"/>
      <c r="AA89" s="1166"/>
      <c r="AB89" s="1166"/>
      <c r="AC89" s="1166"/>
      <c r="AD89" s="1166"/>
      <c r="AE89" s="1166"/>
      <c r="AF89" s="1166"/>
      <c r="AG89" s="1166"/>
      <c r="AH89" s="1166"/>
      <c r="AI89" s="1166"/>
      <c r="AJ89" s="1166"/>
      <c r="AK89" s="1166"/>
      <c r="AL89" s="1166"/>
      <c r="AM89" s="1166"/>
      <c r="AN89" s="1166"/>
      <c r="AO89" s="1166"/>
      <c r="AP89" s="1166"/>
      <c r="AQ89" s="1166"/>
      <c r="AR89" s="1166"/>
      <c r="AS89" s="1166"/>
      <c r="AT89" s="1166"/>
      <c r="AU89" s="1166"/>
      <c r="AV89" s="1166"/>
      <c r="AW89" s="1166"/>
      <c r="AX89" s="1166"/>
      <c r="AY89" s="1166"/>
      <c r="AZ89" s="1166"/>
      <c r="BA89" s="1166"/>
      <c r="BB89" s="1166"/>
      <c r="BC89" s="1166"/>
      <c r="BD89" s="1166"/>
      <c r="BE89" s="1166"/>
      <c r="BF89" s="1166"/>
      <c r="BG89" s="1166"/>
      <c r="BH89" s="1166"/>
      <c r="BI89" s="1166"/>
      <c r="BJ89" s="1166"/>
      <c r="BK89" s="1166"/>
      <c r="BL89" s="1166"/>
      <c r="BM89" s="1166"/>
      <c r="BN89" s="1166"/>
      <c r="BO89" s="1166"/>
      <c r="BP89" s="1166"/>
      <c r="BQ89" s="1166"/>
      <c r="BR89" s="1166"/>
      <c r="BS89" s="1166"/>
      <c r="BT89" s="1166"/>
      <c r="BU89" s="1166"/>
      <c r="BV89" s="1166"/>
      <c r="BW89" s="1166"/>
      <c r="BX89" s="1166"/>
      <c r="BY89" s="1166"/>
      <c r="BZ89" s="1166"/>
      <c r="CA89" s="1166"/>
      <c r="CB89" s="1166"/>
      <c r="CC89" s="1166"/>
      <c r="CD89" s="1166"/>
      <c r="CE89" s="1166"/>
      <c r="CF89" s="1166"/>
      <c r="CG89" s="1166"/>
      <c r="CH89" s="1166"/>
      <c r="CI89" s="1166"/>
      <c r="CJ89" s="1166"/>
      <c r="CK89" s="1166"/>
      <c r="CL89" s="1166"/>
      <c r="CM89" s="1166"/>
      <c r="CN89" s="1166"/>
      <c r="CO89" s="1166"/>
      <c r="CP89" s="1166"/>
      <c r="CQ89" s="1166"/>
      <c r="CR89" s="1166"/>
      <c r="CS89" s="1166"/>
      <c r="CT89" s="1166"/>
      <c r="CU89" s="1166"/>
      <c r="CV89" s="1166"/>
      <c r="CW89" s="1166"/>
      <c r="CX89" s="1166"/>
      <c r="CY89" s="1166"/>
      <c r="CZ89" s="1166"/>
      <c r="DA89" s="1166"/>
      <c r="DB89" s="1166"/>
      <c r="DC89" s="1166"/>
      <c r="DD89" s="1166"/>
      <c r="DE89" s="1166"/>
      <c r="DF89" s="1166"/>
      <c r="DG89" s="1166"/>
      <c r="DH89" s="1166"/>
      <c r="DI89" s="1166"/>
      <c r="DJ89" s="1166"/>
      <c r="DK89" s="1166"/>
      <c r="DL89" s="1166"/>
      <c r="DM89" s="1166"/>
      <c r="DN89" s="1166"/>
      <c r="DO89" s="1166"/>
      <c r="DP89" s="1166"/>
      <c r="DQ89" s="1166"/>
      <c r="DR89" s="1166"/>
      <c r="DS89" s="1166"/>
      <c r="DT89" s="1166"/>
      <c r="DU89" s="1166"/>
      <c r="DV89" s="1166"/>
      <c r="DW89" s="1166"/>
      <c r="DX89" s="1166"/>
      <c r="DY89" s="1166"/>
      <c r="DZ89" s="1166"/>
      <c r="EA89" s="1166"/>
      <c r="EB89" s="1166"/>
      <c r="EC89" s="1166"/>
      <c r="ED89" s="1166"/>
      <c r="EE89" s="1166"/>
      <c r="EF89" s="1166"/>
      <c r="EG89" s="1166"/>
      <c r="EH89" s="1166"/>
      <c r="EI89" s="1166"/>
      <c r="EJ89" s="1166"/>
      <c r="EK89" s="1166"/>
      <c r="EL89" s="1166"/>
      <c r="EM89" s="1166"/>
      <c r="EN89" s="1166"/>
      <c r="EO89" s="1166"/>
      <c r="EP89" s="1166"/>
      <c r="EQ89" s="1166"/>
      <c r="ER89" s="1166"/>
      <c r="ES89" s="1166"/>
      <c r="ET89" s="1166"/>
      <c r="EU89" s="1166"/>
      <c r="EV89" s="1166"/>
      <c r="EW89" s="1166"/>
      <c r="EX89" s="1166"/>
      <c r="EY89" s="1166"/>
      <c r="EZ89" s="1166"/>
      <c r="FA89" s="1166"/>
      <c r="FB89" s="1166"/>
      <c r="FC89" s="1166"/>
      <c r="FD89" s="1166"/>
      <c r="FE89" s="1166"/>
      <c r="FF89" s="1166"/>
      <c r="FG89" s="1166"/>
      <c r="FH89" s="1166"/>
      <c r="FI89" s="1166"/>
      <c r="FJ89" s="1166"/>
      <c r="FK89" s="1166"/>
      <c r="FL89" s="1166"/>
      <c r="FM89" s="1166"/>
      <c r="FN89" s="1166"/>
      <c r="FO89" s="1166"/>
      <c r="FP89" s="1166"/>
      <c r="FQ89" s="1166"/>
      <c r="FR89" s="1166"/>
      <c r="FS89" s="1166"/>
      <c r="FT89" s="1166"/>
      <c r="FU89" s="1166"/>
      <c r="FV89" s="1166"/>
      <c r="FW89" s="1166"/>
      <c r="FX89" s="1166"/>
      <c r="FY89" s="1166"/>
      <c r="FZ89" s="1166"/>
      <c r="GA89" s="1166"/>
      <c r="GB89" s="1166"/>
      <c r="GC89" s="1166"/>
      <c r="GD89" s="1166"/>
      <c r="GE89" s="1166"/>
      <c r="GF89" s="1166"/>
      <c r="GG89" s="1166"/>
      <c r="GH89" s="1166"/>
      <c r="GI89" s="1166"/>
      <c r="GJ89" s="1166"/>
      <c r="GK89" s="1166"/>
      <c r="GL89" s="1166"/>
      <c r="GM89" s="1166"/>
      <c r="GN89" s="1166"/>
      <c r="GO89" s="1166"/>
      <c r="GP89" s="1166"/>
      <c r="GQ89" s="1166"/>
      <c r="GR89" s="1166"/>
      <c r="GS89" s="1166"/>
      <c r="GT89" s="1166"/>
      <c r="GU89" s="1166"/>
      <c r="GV89" s="1166"/>
      <c r="GW89" s="1166"/>
      <c r="GX89" s="1166"/>
      <c r="GY89" s="1166"/>
      <c r="GZ89" s="1166"/>
      <c r="HA89" s="1166"/>
      <c r="HB89" s="1166"/>
      <c r="HC89" s="1166"/>
      <c r="HD89" s="1166"/>
      <c r="HE89" s="1166"/>
      <c r="HF89" s="1166"/>
      <c r="HG89" s="1166"/>
      <c r="HH89" s="1166"/>
      <c r="HI89" s="1166"/>
      <c r="HJ89" s="1166"/>
      <c r="HK89" s="1166"/>
      <c r="HL89" s="1166"/>
      <c r="HM89" s="1166"/>
      <c r="HN89" s="1166"/>
      <c r="HO89" s="1166"/>
      <c r="HP89" s="1166"/>
      <c r="HQ89" s="1166"/>
      <c r="HR89" s="1166"/>
      <c r="HS89" s="1166"/>
      <c r="HT89" s="1166"/>
      <c r="HU89" s="1166"/>
      <c r="HV89" s="1166"/>
      <c r="HW89" s="1166"/>
      <c r="HX89" s="1166"/>
      <c r="HY89" s="1166"/>
      <c r="HZ89" s="1166"/>
      <c r="IA89" s="1166"/>
      <c r="IB89" s="1166"/>
      <c r="IC89" s="1166"/>
      <c r="ID89" s="1166"/>
      <c r="IE89" s="1166"/>
      <c r="IF89" s="1166"/>
      <c r="IG89" s="1166"/>
      <c r="IH89" s="1166"/>
      <c r="II89" s="1166"/>
      <c r="IJ89" s="1166"/>
      <c r="IK89" s="1166"/>
      <c r="IL89" s="1166"/>
      <c r="IM89" s="1166"/>
      <c r="IN89" s="1166"/>
      <c r="IO89" s="1166"/>
      <c r="IP89" s="1166"/>
      <c r="IQ89" s="1166"/>
      <c r="IR89" s="1166"/>
      <c r="IS89" s="1166"/>
      <c r="IT89" s="1166"/>
      <c r="IU89" s="1166"/>
      <c r="IV89" s="1166"/>
    </row>
    <row r="90" spans="1:256" s="1464" customFormat="1" ht="18" customHeight="1" x14ac:dyDescent="0.35">
      <c r="A90" s="1452">
        <v>81</v>
      </c>
      <c r="B90" s="1498"/>
      <c r="C90" s="1499"/>
      <c r="D90" s="1524" t="s">
        <v>233</v>
      </c>
      <c r="E90" s="1501"/>
      <c r="F90" s="1501"/>
      <c r="G90" s="1510"/>
      <c r="H90" s="1503"/>
      <c r="I90" s="1504"/>
      <c r="J90" s="1504"/>
      <c r="K90" s="1511">
        <f>SUM(K88:K89)</f>
        <v>0</v>
      </c>
      <c r="L90" s="1504"/>
      <c r="M90" s="1504"/>
      <c r="N90" s="1514"/>
      <c r="O90" s="1289">
        <f>SUM(I90:N90)</f>
        <v>0</v>
      </c>
      <c r="P90" s="1519"/>
      <c r="Q90" s="1166"/>
      <c r="R90" s="1166"/>
      <c r="S90" s="1166"/>
      <c r="T90" s="1166"/>
      <c r="U90" s="1166"/>
      <c r="V90" s="1166"/>
      <c r="W90" s="1166"/>
      <c r="X90" s="1166"/>
      <c r="Y90" s="1166"/>
      <c r="Z90" s="1166"/>
      <c r="AA90" s="1166"/>
      <c r="AB90" s="1166"/>
      <c r="AC90" s="1166"/>
      <c r="AD90" s="1166"/>
      <c r="AE90" s="1166"/>
      <c r="AF90" s="1166"/>
      <c r="AG90" s="1166"/>
      <c r="AH90" s="1166"/>
      <c r="AI90" s="1166"/>
      <c r="AJ90" s="1166"/>
      <c r="AK90" s="1166"/>
      <c r="AL90" s="1166"/>
      <c r="AM90" s="1166"/>
      <c r="AN90" s="1166"/>
      <c r="AO90" s="1166"/>
      <c r="AP90" s="1166"/>
      <c r="AQ90" s="1166"/>
      <c r="AR90" s="1166"/>
      <c r="AS90" s="1166"/>
      <c r="AT90" s="1166"/>
      <c r="AU90" s="1166"/>
      <c r="AV90" s="1166"/>
      <c r="AW90" s="1166"/>
      <c r="AX90" s="1166"/>
      <c r="AY90" s="1166"/>
      <c r="AZ90" s="1166"/>
      <c r="BA90" s="1166"/>
      <c r="BB90" s="1166"/>
      <c r="BC90" s="1166"/>
      <c r="BD90" s="1166"/>
      <c r="BE90" s="1166"/>
      <c r="BF90" s="1166"/>
      <c r="BG90" s="1166"/>
      <c r="BH90" s="1166"/>
      <c r="BI90" s="1166"/>
      <c r="BJ90" s="1166"/>
      <c r="BK90" s="1166"/>
      <c r="BL90" s="1166"/>
      <c r="BM90" s="1166"/>
      <c r="BN90" s="1166"/>
      <c r="BO90" s="1166"/>
      <c r="BP90" s="1166"/>
      <c r="BQ90" s="1166"/>
      <c r="BR90" s="1166"/>
      <c r="BS90" s="1166"/>
      <c r="BT90" s="1166"/>
      <c r="BU90" s="1166"/>
      <c r="BV90" s="1166"/>
      <c r="BW90" s="1166"/>
      <c r="BX90" s="1166"/>
      <c r="BY90" s="1166"/>
      <c r="BZ90" s="1166"/>
      <c r="CA90" s="1166"/>
      <c r="CB90" s="1166"/>
      <c r="CC90" s="1166"/>
      <c r="CD90" s="1166"/>
      <c r="CE90" s="1166"/>
      <c r="CF90" s="1166"/>
      <c r="CG90" s="1166"/>
      <c r="CH90" s="1166"/>
      <c r="CI90" s="1166"/>
      <c r="CJ90" s="1166"/>
      <c r="CK90" s="1166"/>
      <c r="CL90" s="1166"/>
      <c r="CM90" s="1166"/>
      <c r="CN90" s="1166"/>
      <c r="CO90" s="1166"/>
      <c r="CP90" s="1166"/>
      <c r="CQ90" s="1166"/>
      <c r="CR90" s="1166"/>
      <c r="CS90" s="1166"/>
      <c r="CT90" s="1166"/>
      <c r="CU90" s="1166"/>
      <c r="CV90" s="1166"/>
      <c r="CW90" s="1166"/>
      <c r="CX90" s="1166"/>
      <c r="CY90" s="1166"/>
      <c r="CZ90" s="1166"/>
      <c r="DA90" s="1166"/>
      <c r="DB90" s="1166"/>
      <c r="DC90" s="1166"/>
      <c r="DD90" s="1166"/>
      <c r="DE90" s="1166"/>
      <c r="DF90" s="1166"/>
      <c r="DG90" s="1166"/>
      <c r="DH90" s="1166"/>
      <c r="DI90" s="1166"/>
      <c r="DJ90" s="1166"/>
      <c r="DK90" s="1166"/>
      <c r="DL90" s="1166"/>
      <c r="DM90" s="1166"/>
      <c r="DN90" s="1166"/>
      <c r="DO90" s="1166"/>
      <c r="DP90" s="1166"/>
      <c r="DQ90" s="1166"/>
      <c r="DR90" s="1166"/>
      <c r="DS90" s="1166"/>
      <c r="DT90" s="1166"/>
      <c r="DU90" s="1166"/>
      <c r="DV90" s="1166"/>
      <c r="DW90" s="1166"/>
      <c r="DX90" s="1166"/>
      <c r="DY90" s="1166"/>
      <c r="DZ90" s="1166"/>
      <c r="EA90" s="1166"/>
      <c r="EB90" s="1166"/>
      <c r="EC90" s="1166"/>
      <c r="ED90" s="1166"/>
      <c r="EE90" s="1166"/>
      <c r="EF90" s="1166"/>
      <c r="EG90" s="1166"/>
      <c r="EH90" s="1166"/>
      <c r="EI90" s="1166"/>
      <c r="EJ90" s="1166"/>
      <c r="EK90" s="1166"/>
      <c r="EL90" s="1166"/>
      <c r="EM90" s="1166"/>
      <c r="EN90" s="1166"/>
      <c r="EO90" s="1166"/>
      <c r="EP90" s="1166"/>
      <c r="EQ90" s="1166"/>
      <c r="ER90" s="1166"/>
      <c r="ES90" s="1166"/>
      <c r="ET90" s="1166"/>
      <c r="EU90" s="1166"/>
      <c r="EV90" s="1166"/>
      <c r="EW90" s="1166"/>
      <c r="EX90" s="1166"/>
      <c r="EY90" s="1166"/>
      <c r="EZ90" s="1166"/>
      <c r="FA90" s="1166"/>
      <c r="FB90" s="1166"/>
      <c r="FC90" s="1166"/>
      <c r="FD90" s="1166"/>
      <c r="FE90" s="1166"/>
      <c r="FF90" s="1166"/>
      <c r="FG90" s="1166"/>
      <c r="FH90" s="1166"/>
      <c r="FI90" s="1166"/>
      <c r="FJ90" s="1166"/>
      <c r="FK90" s="1166"/>
      <c r="FL90" s="1166"/>
      <c r="FM90" s="1166"/>
      <c r="FN90" s="1166"/>
      <c r="FO90" s="1166"/>
      <c r="FP90" s="1166"/>
      <c r="FQ90" s="1166"/>
      <c r="FR90" s="1166"/>
      <c r="FS90" s="1166"/>
      <c r="FT90" s="1166"/>
      <c r="FU90" s="1166"/>
      <c r="FV90" s="1166"/>
      <c r="FW90" s="1166"/>
      <c r="FX90" s="1166"/>
      <c r="FY90" s="1166"/>
      <c r="FZ90" s="1166"/>
      <c r="GA90" s="1166"/>
      <c r="GB90" s="1166"/>
      <c r="GC90" s="1166"/>
      <c r="GD90" s="1166"/>
      <c r="GE90" s="1166"/>
      <c r="GF90" s="1166"/>
      <c r="GG90" s="1166"/>
      <c r="GH90" s="1166"/>
      <c r="GI90" s="1166"/>
      <c r="GJ90" s="1166"/>
      <c r="GK90" s="1166"/>
      <c r="GL90" s="1166"/>
      <c r="GM90" s="1166"/>
      <c r="GN90" s="1166"/>
      <c r="GO90" s="1166"/>
      <c r="GP90" s="1166"/>
      <c r="GQ90" s="1166"/>
      <c r="GR90" s="1166"/>
      <c r="GS90" s="1166"/>
      <c r="GT90" s="1166"/>
      <c r="GU90" s="1166"/>
      <c r="GV90" s="1166"/>
      <c r="GW90" s="1166"/>
      <c r="GX90" s="1166"/>
      <c r="GY90" s="1166"/>
      <c r="GZ90" s="1166"/>
      <c r="HA90" s="1166"/>
      <c r="HB90" s="1166"/>
      <c r="HC90" s="1166"/>
      <c r="HD90" s="1166"/>
      <c r="HE90" s="1166"/>
      <c r="HF90" s="1166"/>
      <c r="HG90" s="1166"/>
      <c r="HH90" s="1166"/>
      <c r="HI90" s="1166"/>
      <c r="HJ90" s="1166"/>
      <c r="HK90" s="1166"/>
      <c r="HL90" s="1166"/>
      <c r="HM90" s="1166"/>
      <c r="HN90" s="1166"/>
      <c r="HO90" s="1166"/>
      <c r="HP90" s="1166"/>
      <c r="HQ90" s="1166"/>
      <c r="HR90" s="1166"/>
      <c r="HS90" s="1166"/>
      <c r="HT90" s="1166"/>
      <c r="HU90" s="1166"/>
      <c r="HV90" s="1166"/>
      <c r="HW90" s="1166"/>
      <c r="HX90" s="1166"/>
      <c r="HY90" s="1166"/>
      <c r="HZ90" s="1166"/>
      <c r="IA90" s="1166"/>
      <c r="IB90" s="1166"/>
      <c r="IC90" s="1166"/>
      <c r="ID90" s="1166"/>
      <c r="IE90" s="1166"/>
      <c r="IF90" s="1166"/>
      <c r="IG90" s="1166"/>
      <c r="IH90" s="1166"/>
      <c r="II90" s="1166"/>
      <c r="IJ90" s="1166"/>
      <c r="IK90" s="1166"/>
      <c r="IL90" s="1166"/>
      <c r="IM90" s="1166"/>
      <c r="IN90" s="1166"/>
      <c r="IO90" s="1166"/>
      <c r="IP90" s="1166"/>
      <c r="IQ90" s="1166"/>
      <c r="IR90" s="1166"/>
      <c r="IS90" s="1166"/>
      <c r="IT90" s="1166"/>
      <c r="IU90" s="1166"/>
      <c r="IV90" s="1166"/>
    </row>
    <row r="91" spans="1:256" s="1464" customFormat="1" ht="22.5" customHeight="1" x14ac:dyDescent="0.35">
      <c r="A91" s="1452">
        <v>82</v>
      </c>
      <c r="B91" s="1525"/>
      <c r="C91" s="1187">
        <v>22</v>
      </c>
      <c r="D91" s="1526" t="s">
        <v>982</v>
      </c>
      <c r="E91" s="1520">
        <f>F91+G91+O94</f>
        <v>19296</v>
      </c>
      <c r="F91" s="1468"/>
      <c r="G91" s="1520"/>
      <c r="H91" s="1479" t="s">
        <v>296</v>
      </c>
      <c r="I91" s="1471"/>
      <c r="J91" s="1471"/>
      <c r="K91" s="1482"/>
      <c r="L91" s="1471"/>
      <c r="M91" s="1471"/>
      <c r="N91" s="1522"/>
      <c r="O91" s="1222"/>
      <c r="P91" s="1523"/>
      <c r="Q91" s="1166"/>
      <c r="R91" s="1166"/>
      <c r="S91" s="1166"/>
      <c r="T91" s="1166"/>
      <c r="U91" s="1166"/>
      <c r="V91" s="1166"/>
      <c r="W91" s="1166"/>
      <c r="X91" s="1166"/>
      <c r="Y91" s="1166"/>
      <c r="Z91" s="1166"/>
      <c r="AA91" s="1166"/>
      <c r="AB91" s="1166"/>
      <c r="AC91" s="1166"/>
      <c r="AD91" s="1166"/>
      <c r="AE91" s="1166"/>
      <c r="AF91" s="1166"/>
      <c r="AG91" s="1166"/>
      <c r="AH91" s="1166"/>
      <c r="AI91" s="1166"/>
      <c r="AJ91" s="1166"/>
      <c r="AK91" s="1166"/>
      <c r="AL91" s="1166"/>
      <c r="AM91" s="1166"/>
      <c r="AN91" s="1166"/>
      <c r="AO91" s="1166"/>
      <c r="AP91" s="1166"/>
      <c r="AQ91" s="1166"/>
      <c r="AR91" s="1166"/>
      <c r="AS91" s="1166"/>
      <c r="AT91" s="1166"/>
      <c r="AU91" s="1166"/>
      <c r="AV91" s="1166"/>
      <c r="AW91" s="1166"/>
      <c r="AX91" s="1166"/>
      <c r="AY91" s="1166"/>
      <c r="AZ91" s="1166"/>
      <c r="BA91" s="1166"/>
      <c r="BB91" s="1166"/>
      <c r="BC91" s="1166"/>
      <c r="BD91" s="1166"/>
      <c r="BE91" s="1166"/>
      <c r="BF91" s="1166"/>
      <c r="BG91" s="1166"/>
      <c r="BH91" s="1166"/>
      <c r="BI91" s="1166"/>
      <c r="BJ91" s="1166"/>
      <c r="BK91" s="1166"/>
      <c r="BL91" s="1166"/>
      <c r="BM91" s="1166"/>
      <c r="BN91" s="1166"/>
      <c r="BO91" s="1166"/>
      <c r="BP91" s="1166"/>
      <c r="BQ91" s="1166"/>
      <c r="BR91" s="1166"/>
      <c r="BS91" s="1166"/>
      <c r="BT91" s="1166"/>
      <c r="BU91" s="1166"/>
      <c r="BV91" s="1166"/>
      <c r="BW91" s="1166"/>
      <c r="BX91" s="1166"/>
      <c r="BY91" s="1166"/>
      <c r="BZ91" s="1166"/>
      <c r="CA91" s="1166"/>
      <c r="CB91" s="1166"/>
      <c r="CC91" s="1166"/>
      <c r="CD91" s="1166"/>
      <c r="CE91" s="1166"/>
      <c r="CF91" s="1166"/>
      <c r="CG91" s="1166"/>
      <c r="CH91" s="1166"/>
      <c r="CI91" s="1166"/>
      <c r="CJ91" s="1166"/>
      <c r="CK91" s="1166"/>
      <c r="CL91" s="1166"/>
      <c r="CM91" s="1166"/>
      <c r="CN91" s="1166"/>
      <c r="CO91" s="1166"/>
      <c r="CP91" s="1166"/>
      <c r="CQ91" s="1166"/>
      <c r="CR91" s="1166"/>
      <c r="CS91" s="1166"/>
      <c r="CT91" s="1166"/>
      <c r="CU91" s="1166"/>
      <c r="CV91" s="1166"/>
      <c r="CW91" s="1166"/>
      <c r="CX91" s="1166"/>
      <c r="CY91" s="1166"/>
      <c r="CZ91" s="1166"/>
      <c r="DA91" s="1166"/>
      <c r="DB91" s="1166"/>
      <c r="DC91" s="1166"/>
      <c r="DD91" s="1166"/>
      <c r="DE91" s="1166"/>
      <c r="DF91" s="1166"/>
      <c r="DG91" s="1166"/>
      <c r="DH91" s="1166"/>
      <c r="DI91" s="1166"/>
      <c r="DJ91" s="1166"/>
      <c r="DK91" s="1166"/>
      <c r="DL91" s="1166"/>
      <c r="DM91" s="1166"/>
      <c r="DN91" s="1166"/>
      <c r="DO91" s="1166"/>
      <c r="DP91" s="1166"/>
      <c r="DQ91" s="1166"/>
      <c r="DR91" s="1166"/>
      <c r="DS91" s="1166"/>
      <c r="DT91" s="1166"/>
      <c r="DU91" s="1166"/>
      <c r="DV91" s="1166"/>
      <c r="DW91" s="1166"/>
      <c r="DX91" s="1166"/>
      <c r="DY91" s="1166"/>
      <c r="DZ91" s="1166"/>
      <c r="EA91" s="1166"/>
      <c r="EB91" s="1166"/>
      <c r="EC91" s="1166"/>
      <c r="ED91" s="1166"/>
      <c r="EE91" s="1166"/>
      <c r="EF91" s="1166"/>
      <c r="EG91" s="1166"/>
      <c r="EH91" s="1166"/>
      <c r="EI91" s="1166"/>
      <c r="EJ91" s="1166"/>
      <c r="EK91" s="1166"/>
      <c r="EL91" s="1166"/>
      <c r="EM91" s="1166"/>
      <c r="EN91" s="1166"/>
      <c r="EO91" s="1166"/>
      <c r="EP91" s="1166"/>
      <c r="EQ91" s="1166"/>
      <c r="ER91" s="1166"/>
      <c r="ES91" s="1166"/>
      <c r="ET91" s="1166"/>
      <c r="EU91" s="1166"/>
      <c r="EV91" s="1166"/>
      <c r="EW91" s="1166"/>
      <c r="EX91" s="1166"/>
      <c r="EY91" s="1166"/>
      <c r="EZ91" s="1166"/>
      <c r="FA91" s="1166"/>
      <c r="FB91" s="1166"/>
      <c r="FC91" s="1166"/>
      <c r="FD91" s="1166"/>
      <c r="FE91" s="1166"/>
      <c r="FF91" s="1166"/>
      <c r="FG91" s="1166"/>
      <c r="FH91" s="1166"/>
      <c r="FI91" s="1166"/>
      <c r="FJ91" s="1166"/>
      <c r="FK91" s="1166"/>
      <c r="FL91" s="1166"/>
      <c r="FM91" s="1166"/>
      <c r="FN91" s="1166"/>
      <c r="FO91" s="1166"/>
      <c r="FP91" s="1166"/>
      <c r="FQ91" s="1166"/>
      <c r="FR91" s="1166"/>
      <c r="FS91" s="1166"/>
      <c r="FT91" s="1166"/>
      <c r="FU91" s="1166"/>
      <c r="FV91" s="1166"/>
      <c r="FW91" s="1166"/>
      <c r="FX91" s="1166"/>
      <c r="FY91" s="1166"/>
      <c r="FZ91" s="1166"/>
      <c r="GA91" s="1166"/>
      <c r="GB91" s="1166"/>
      <c r="GC91" s="1166"/>
      <c r="GD91" s="1166"/>
      <c r="GE91" s="1166"/>
      <c r="GF91" s="1166"/>
      <c r="GG91" s="1166"/>
      <c r="GH91" s="1166"/>
      <c r="GI91" s="1166"/>
      <c r="GJ91" s="1166"/>
      <c r="GK91" s="1166"/>
      <c r="GL91" s="1166"/>
      <c r="GM91" s="1166"/>
      <c r="GN91" s="1166"/>
      <c r="GO91" s="1166"/>
      <c r="GP91" s="1166"/>
      <c r="GQ91" s="1166"/>
      <c r="GR91" s="1166"/>
      <c r="GS91" s="1166"/>
      <c r="GT91" s="1166"/>
      <c r="GU91" s="1166"/>
      <c r="GV91" s="1166"/>
      <c r="GW91" s="1166"/>
      <c r="GX91" s="1166"/>
      <c r="GY91" s="1166"/>
      <c r="GZ91" s="1166"/>
      <c r="HA91" s="1166"/>
      <c r="HB91" s="1166"/>
      <c r="HC91" s="1166"/>
      <c r="HD91" s="1166"/>
      <c r="HE91" s="1166"/>
      <c r="HF91" s="1166"/>
      <c r="HG91" s="1166"/>
      <c r="HH91" s="1166"/>
      <c r="HI91" s="1166"/>
      <c r="HJ91" s="1166"/>
      <c r="HK91" s="1166"/>
      <c r="HL91" s="1166"/>
      <c r="HM91" s="1166"/>
      <c r="HN91" s="1166"/>
      <c r="HO91" s="1166"/>
      <c r="HP91" s="1166"/>
      <c r="HQ91" s="1166"/>
      <c r="HR91" s="1166"/>
      <c r="HS91" s="1166"/>
      <c r="HT91" s="1166"/>
      <c r="HU91" s="1166"/>
      <c r="HV91" s="1166"/>
      <c r="HW91" s="1166"/>
      <c r="HX91" s="1166"/>
      <c r="HY91" s="1166"/>
      <c r="HZ91" s="1166"/>
      <c r="IA91" s="1166"/>
      <c r="IB91" s="1166"/>
      <c r="IC91" s="1166"/>
      <c r="ID91" s="1166"/>
      <c r="IE91" s="1166"/>
      <c r="IF91" s="1166"/>
      <c r="IG91" s="1166"/>
      <c r="IH91" s="1166"/>
      <c r="II91" s="1166"/>
      <c r="IJ91" s="1166"/>
      <c r="IK91" s="1166"/>
      <c r="IL91" s="1166"/>
      <c r="IM91" s="1166"/>
      <c r="IN91" s="1166"/>
      <c r="IO91" s="1166"/>
      <c r="IP91" s="1166"/>
      <c r="IQ91" s="1166"/>
      <c r="IR91" s="1166"/>
      <c r="IS91" s="1166"/>
      <c r="IT91" s="1166"/>
      <c r="IU91" s="1166"/>
      <c r="IV91" s="1166"/>
    </row>
    <row r="92" spans="1:256" s="1464" customFormat="1" ht="18" customHeight="1" x14ac:dyDescent="0.35">
      <c r="A92" s="1452">
        <v>83</v>
      </c>
      <c r="B92" s="1525"/>
      <c r="C92" s="1187"/>
      <c r="D92" s="1290" t="s">
        <v>231</v>
      </c>
      <c r="E92" s="1520"/>
      <c r="F92" s="1468"/>
      <c r="G92" s="1520"/>
      <c r="H92" s="1479"/>
      <c r="I92" s="1471"/>
      <c r="J92" s="1471"/>
      <c r="K92" s="1482">
        <v>19296</v>
      </c>
      <c r="L92" s="1471"/>
      <c r="M92" s="1471"/>
      <c r="N92" s="1522"/>
      <c r="O92" s="1289">
        <f>SUM(I92:N92)</f>
        <v>19296</v>
      </c>
      <c r="P92" s="1523"/>
      <c r="Q92" s="1166"/>
      <c r="R92" s="1166"/>
      <c r="S92" s="1166"/>
      <c r="T92" s="1166"/>
      <c r="U92" s="1166"/>
      <c r="V92" s="1166"/>
      <c r="W92" s="1166"/>
      <c r="X92" s="1166"/>
      <c r="Y92" s="1166"/>
      <c r="Z92" s="1166"/>
      <c r="AA92" s="1166"/>
      <c r="AB92" s="1166"/>
      <c r="AC92" s="1166"/>
      <c r="AD92" s="1166"/>
      <c r="AE92" s="1166"/>
      <c r="AF92" s="1166"/>
      <c r="AG92" s="1166"/>
      <c r="AH92" s="1166"/>
      <c r="AI92" s="1166"/>
      <c r="AJ92" s="1166"/>
      <c r="AK92" s="1166"/>
      <c r="AL92" s="1166"/>
      <c r="AM92" s="1166"/>
      <c r="AN92" s="1166"/>
      <c r="AO92" s="1166"/>
      <c r="AP92" s="1166"/>
      <c r="AQ92" s="1166"/>
      <c r="AR92" s="1166"/>
      <c r="AS92" s="1166"/>
      <c r="AT92" s="1166"/>
      <c r="AU92" s="1166"/>
      <c r="AV92" s="1166"/>
      <c r="AW92" s="1166"/>
      <c r="AX92" s="1166"/>
      <c r="AY92" s="1166"/>
      <c r="AZ92" s="1166"/>
      <c r="BA92" s="1166"/>
      <c r="BB92" s="1166"/>
      <c r="BC92" s="1166"/>
      <c r="BD92" s="1166"/>
      <c r="BE92" s="1166"/>
      <c r="BF92" s="1166"/>
      <c r="BG92" s="1166"/>
      <c r="BH92" s="1166"/>
      <c r="BI92" s="1166"/>
      <c r="BJ92" s="1166"/>
      <c r="BK92" s="1166"/>
      <c r="BL92" s="1166"/>
      <c r="BM92" s="1166"/>
      <c r="BN92" s="1166"/>
      <c r="BO92" s="1166"/>
      <c r="BP92" s="1166"/>
      <c r="BQ92" s="1166"/>
      <c r="BR92" s="1166"/>
      <c r="BS92" s="1166"/>
      <c r="BT92" s="1166"/>
      <c r="BU92" s="1166"/>
      <c r="BV92" s="1166"/>
      <c r="BW92" s="1166"/>
      <c r="BX92" s="1166"/>
      <c r="BY92" s="1166"/>
      <c r="BZ92" s="1166"/>
      <c r="CA92" s="1166"/>
      <c r="CB92" s="1166"/>
      <c r="CC92" s="1166"/>
      <c r="CD92" s="1166"/>
      <c r="CE92" s="1166"/>
      <c r="CF92" s="1166"/>
      <c r="CG92" s="1166"/>
      <c r="CH92" s="1166"/>
      <c r="CI92" s="1166"/>
      <c r="CJ92" s="1166"/>
      <c r="CK92" s="1166"/>
      <c r="CL92" s="1166"/>
      <c r="CM92" s="1166"/>
      <c r="CN92" s="1166"/>
      <c r="CO92" s="1166"/>
      <c r="CP92" s="1166"/>
      <c r="CQ92" s="1166"/>
      <c r="CR92" s="1166"/>
      <c r="CS92" s="1166"/>
      <c r="CT92" s="1166"/>
      <c r="CU92" s="1166"/>
      <c r="CV92" s="1166"/>
      <c r="CW92" s="1166"/>
      <c r="CX92" s="1166"/>
      <c r="CY92" s="1166"/>
      <c r="CZ92" s="1166"/>
      <c r="DA92" s="1166"/>
      <c r="DB92" s="1166"/>
      <c r="DC92" s="1166"/>
      <c r="DD92" s="1166"/>
      <c r="DE92" s="1166"/>
      <c r="DF92" s="1166"/>
      <c r="DG92" s="1166"/>
      <c r="DH92" s="1166"/>
      <c r="DI92" s="1166"/>
      <c r="DJ92" s="1166"/>
      <c r="DK92" s="1166"/>
      <c r="DL92" s="1166"/>
      <c r="DM92" s="1166"/>
      <c r="DN92" s="1166"/>
      <c r="DO92" s="1166"/>
      <c r="DP92" s="1166"/>
      <c r="DQ92" s="1166"/>
      <c r="DR92" s="1166"/>
      <c r="DS92" s="1166"/>
      <c r="DT92" s="1166"/>
      <c r="DU92" s="1166"/>
      <c r="DV92" s="1166"/>
      <c r="DW92" s="1166"/>
      <c r="DX92" s="1166"/>
      <c r="DY92" s="1166"/>
      <c r="DZ92" s="1166"/>
      <c r="EA92" s="1166"/>
      <c r="EB92" s="1166"/>
      <c r="EC92" s="1166"/>
      <c r="ED92" s="1166"/>
      <c r="EE92" s="1166"/>
      <c r="EF92" s="1166"/>
      <c r="EG92" s="1166"/>
      <c r="EH92" s="1166"/>
      <c r="EI92" s="1166"/>
      <c r="EJ92" s="1166"/>
      <c r="EK92" s="1166"/>
      <c r="EL92" s="1166"/>
      <c r="EM92" s="1166"/>
      <c r="EN92" s="1166"/>
      <c r="EO92" s="1166"/>
      <c r="EP92" s="1166"/>
      <c r="EQ92" s="1166"/>
      <c r="ER92" s="1166"/>
      <c r="ES92" s="1166"/>
      <c r="ET92" s="1166"/>
      <c r="EU92" s="1166"/>
      <c r="EV92" s="1166"/>
      <c r="EW92" s="1166"/>
      <c r="EX92" s="1166"/>
      <c r="EY92" s="1166"/>
      <c r="EZ92" s="1166"/>
      <c r="FA92" s="1166"/>
      <c r="FB92" s="1166"/>
      <c r="FC92" s="1166"/>
      <c r="FD92" s="1166"/>
      <c r="FE92" s="1166"/>
      <c r="FF92" s="1166"/>
      <c r="FG92" s="1166"/>
      <c r="FH92" s="1166"/>
      <c r="FI92" s="1166"/>
      <c r="FJ92" s="1166"/>
      <c r="FK92" s="1166"/>
      <c r="FL92" s="1166"/>
      <c r="FM92" s="1166"/>
      <c r="FN92" s="1166"/>
      <c r="FO92" s="1166"/>
      <c r="FP92" s="1166"/>
      <c r="FQ92" s="1166"/>
      <c r="FR92" s="1166"/>
      <c r="FS92" s="1166"/>
      <c r="FT92" s="1166"/>
      <c r="FU92" s="1166"/>
      <c r="FV92" s="1166"/>
      <c r="FW92" s="1166"/>
      <c r="FX92" s="1166"/>
      <c r="FY92" s="1166"/>
      <c r="FZ92" s="1166"/>
      <c r="GA92" s="1166"/>
      <c r="GB92" s="1166"/>
      <c r="GC92" s="1166"/>
      <c r="GD92" s="1166"/>
      <c r="GE92" s="1166"/>
      <c r="GF92" s="1166"/>
      <c r="GG92" s="1166"/>
      <c r="GH92" s="1166"/>
      <c r="GI92" s="1166"/>
      <c r="GJ92" s="1166"/>
      <c r="GK92" s="1166"/>
      <c r="GL92" s="1166"/>
      <c r="GM92" s="1166"/>
      <c r="GN92" s="1166"/>
      <c r="GO92" s="1166"/>
      <c r="GP92" s="1166"/>
      <c r="GQ92" s="1166"/>
      <c r="GR92" s="1166"/>
      <c r="GS92" s="1166"/>
      <c r="GT92" s="1166"/>
      <c r="GU92" s="1166"/>
      <c r="GV92" s="1166"/>
      <c r="GW92" s="1166"/>
      <c r="GX92" s="1166"/>
      <c r="GY92" s="1166"/>
      <c r="GZ92" s="1166"/>
      <c r="HA92" s="1166"/>
      <c r="HB92" s="1166"/>
      <c r="HC92" s="1166"/>
      <c r="HD92" s="1166"/>
      <c r="HE92" s="1166"/>
      <c r="HF92" s="1166"/>
      <c r="HG92" s="1166"/>
      <c r="HH92" s="1166"/>
      <c r="HI92" s="1166"/>
      <c r="HJ92" s="1166"/>
      <c r="HK92" s="1166"/>
      <c r="HL92" s="1166"/>
      <c r="HM92" s="1166"/>
      <c r="HN92" s="1166"/>
      <c r="HO92" s="1166"/>
      <c r="HP92" s="1166"/>
      <c r="HQ92" s="1166"/>
      <c r="HR92" s="1166"/>
      <c r="HS92" s="1166"/>
      <c r="HT92" s="1166"/>
      <c r="HU92" s="1166"/>
      <c r="HV92" s="1166"/>
      <c r="HW92" s="1166"/>
      <c r="HX92" s="1166"/>
      <c r="HY92" s="1166"/>
      <c r="HZ92" s="1166"/>
      <c r="IA92" s="1166"/>
      <c r="IB92" s="1166"/>
      <c r="IC92" s="1166"/>
      <c r="ID92" s="1166"/>
      <c r="IE92" s="1166"/>
      <c r="IF92" s="1166"/>
      <c r="IG92" s="1166"/>
      <c r="IH92" s="1166"/>
      <c r="II92" s="1166"/>
      <c r="IJ92" s="1166"/>
      <c r="IK92" s="1166"/>
      <c r="IL92" s="1166"/>
      <c r="IM92" s="1166"/>
      <c r="IN92" s="1166"/>
      <c r="IO92" s="1166"/>
      <c r="IP92" s="1166"/>
      <c r="IQ92" s="1166"/>
      <c r="IR92" s="1166"/>
      <c r="IS92" s="1166"/>
      <c r="IT92" s="1166"/>
      <c r="IU92" s="1166"/>
      <c r="IV92" s="1166"/>
    </row>
    <row r="93" spans="1:256" s="1464" customFormat="1" ht="18" customHeight="1" x14ac:dyDescent="0.35">
      <c r="A93" s="1452">
        <v>84</v>
      </c>
      <c r="B93" s="1525"/>
      <c r="C93" s="1187"/>
      <c r="D93" s="1388" t="s">
        <v>245</v>
      </c>
      <c r="E93" s="1468"/>
      <c r="F93" s="1468"/>
      <c r="G93" s="1520"/>
      <c r="H93" s="1479"/>
      <c r="I93" s="1471"/>
      <c r="J93" s="1471"/>
      <c r="K93" s="1521"/>
      <c r="L93" s="1471"/>
      <c r="M93" s="1471"/>
      <c r="N93" s="1522"/>
      <c r="O93" s="1217">
        <f>SUM(I93:N93)</f>
        <v>0</v>
      </c>
      <c r="P93" s="1523"/>
      <c r="Q93" s="1166"/>
      <c r="R93" s="1166"/>
      <c r="S93" s="1166"/>
      <c r="T93" s="1166"/>
      <c r="U93" s="1166"/>
      <c r="V93" s="1166"/>
      <c r="W93" s="1166"/>
      <c r="X93" s="1166"/>
      <c r="Y93" s="1166"/>
      <c r="Z93" s="1166"/>
      <c r="AA93" s="1166"/>
      <c r="AB93" s="1166"/>
      <c r="AC93" s="1166"/>
      <c r="AD93" s="1166"/>
      <c r="AE93" s="1166"/>
      <c r="AF93" s="1166"/>
      <c r="AG93" s="1166"/>
      <c r="AH93" s="1166"/>
      <c r="AI93" s="1166"/>
      <c r="AJ93" s="1166"/>
      <c r="AK93" s="1166"/>
      <c r="AL93" s="1166"/>
      <c r="AM93" s="1166"/>
      <c r="AN93" s="1166"/>
      <c r="AO93" s="1166"/>
      <c r="AP93" s="1166"/>
      <c r="AQ93" s="1166"/>
      <c r="AR93" s="1166"/>
      <c r="AS93" s="1166"/>
      <c r="AT93" s="1166"/>
      <c r="AU93" s="1166"/>
      <c r="AV93" s="1166"/>
      <c r="AW93" s="1166"/>
      <c r="AX93" s="1166"/>
      <c r="AY93" s="1166"/>
      <c r="AZ93" s="1166"/>
      <c r="BA93" s="1166"/>
      <c r="BB93" s="1166"/>
      <c r="BC93" s="1166"/>
      <c r="BD93" s="1166"/>
      <c r="BE93" s="1166"/>
      <c r="BF93" s="1166"/>
      <c r="BG93" s="1166"/>
      <c r="BH93" s="1166"/>
      <c r="BI93" s="1166"/>
      <c r="BJ93" s="1166"/>
      <c r="BK93" s="1166"/>
      <c r="BL93" s="1166"/>
      <c r="BM93" s="1166"/>
      <c r="BN93" s="1166"/>
      <c r="BO93" s="1166"/>
      <c r="BP93" s="1166"/>
      <c r="BQ93" s="1166"/>
      <c r="BR93" s="1166"/>
      <c r="BS93" s="1166"/>
      <c r="BT93" s="1166"/>
      <c r="BU93" s="1166"/>
      <c r="BV93" s="1166"/>
      <c r="BW93" s="1166"/>
      <c r="BX93" s="1166"/>
      <c r="BY93" s="1166"/>
      <c r="BZ93" s="1166"/>
      <c r="CA93" s="1166"/>
      <c r="CB93" s="1166"/>
      <c r="CC93" s="1166"/>
      <c r="CD93" s="1166"/>
      <c r="CE93" s="1166"/>
      <c r="CF93" s="1166"/>
      <c r="CG93" s="1166"/>
      <c r="CH93" s="1166"/>
      <c r="CI93" s="1166"/>
      <c r="CJ93" s="1166"/>
      <c r="CK93" s="1166"/>
      <c r="CL93" s="1166"/>
      <c r="CM93" s="1166"/>
      <c r="CN93" s="1166"/>
      <c r="CO93" s="1166"/>
      <c r="CP93" s="1166"/>
      <c r="CQ93" s="1166"/>
      <c r="CR93" s="1166"/>
      <c r="CS93" s="1166"/>
      <c r="CT93" s="1166"/>
      <c r="CU93" s="1166"/>
      <c r="CV93" s="1166"/>
      <c r="CW93" s="1166"/>
      <c r="CX93" s="1166"/>
      <c r="CY93" s="1166"/>
      <c r="CZ93" s="1166"/>
      <c r="DA93" s="1166"/>
      <c r="DB93" s="1166"/>
      <c r="DC93" s="1166"/>
      <c r="DD93" s="1166"/>
      <c r="DE93" s="1166"/>
      <c r="DF93" s="1166"/>
      <c r="DG93" s="1166"/>
      <c r="DH93" s="1166"/>
      <c r="DI93" s="1166"/>
      <c r="DJ93" s="1166"/>
      <c r="DK93" s="1166"/>
      <c r="DL93" s="1166"/>
      <c r="DM93" s="1166"/>
      <c r="DN93" s="1166"/>
      <c r="DO93" s="1166"/>
      <c r="DP93" s="1166"/>
      <c r="DQ93" s="1166"/>
      <c r="DR93" s="1166"/>
      <c r="DS93" s="1166"/>
      <c r="DT93" s="1166"/>
      <c r="DU93" s="1166"/>
      <c r="DV93" s="1166"/>
      <c r="DW93" s="1166"/>
      <c r="DX93" s="1166"/>
      <c r="DY93" s="1166"/>
      <c r="DZ93" s="1166"/>
      <c r="EA93" s="1166"/>
      <c r="EB93" s="1166"/>
      <c r="EC93" s="1166"/>
      <c r="ED93" s="1166"/>
      <c r="EE93" s="1166"/>
      <c r="EF93" s="1166"/>
      <c r="EG93" s="1166"/>
      <c r="EH93" s="1166"/>
      <c r="EI93" s="1166"/>
      <c r="EJ93" s="1166"/>
      <c r="EK93" s="1166"/>
      <c r="EL93" s="1166"/>
      <c r="EM93" s="1166"/>
      <c r="EN93" s="1166"/>
      <c r="EO93" s="1166"/>
      <c r="EP93" s="1166"/>
      <c r="EQ93" s="1166"/>
      <c r="ER93" s="1166"/>
      <c r="ES93" s="1166"/>
      <c r="ET93" s="1166"/>
      <c r="EU93" s="1166"/>
      <c r="EV93" s="1166"/>
      <c r="EW93" s="1166"/>
      <c r="EX93" s="1166"/>
      <c r="EY93" s="1166"/>
      <c r="EZ93" s="1166"/>
      <c r="FA93" s="1166"/>
      <c r="FB93" s="1166"/>
      <c r="FC93" s="1166"/>
      <c r="FD93" s="1166"/>
      <c r="FE93" s="1166"/>
      <c r="FF93" s="1166"/>
      <c r="FG93" s="1166"/>
      <c r="FH93" s="1166"/>
      <c r="FI93" s="1166"/>
      <c r="FJ93" s="1166"/>
      <c r="FK93" s="1166"/>
      <c r="FL93" s="1166"/>
      <c r="FM93" s="1166"/>
      <c r="FN93" s="1166"/>
      <c r="FO93" s="1166"/>
      <c r="FP93" s="1166"/>
      <c r="FQ93" s="1166"/>
      <c r="FR93" s="1166"/>
      <c r="FS93" s="1166"/>
      <c r="FT93" s="1166"/>
      <c r="FU93" s="1166"/>
      <c r="FV93" s="1166"/>
      <c r="FW93" s="1166"/>
      <c r="FX93" s="1166"/>
      <c r="FY93" s="1166"/>
      <c r="FZ93" s="1166"/>
      <c r="GA93" s="1166"/>
      <c r="GB93" s="1166"/>
      <c r="GC93" s="1166"/>
      <c r="GD93" s="1166"/>
      <c r="GE93" s="1166"/>
      <c r="GF93" s="1166"/>
      <c r="GG93" s="1166"/>
      <c r="GH93" s="1166"/>
      <c r="GI93" s="1166"/>
      <c r="GJ93" s="1166"/>
      <c r="GK93" s="1166"/>
      <c r="GL93" s="1166"/>
      <c r="GM93" s="1166"/>
      <c r="GN93" s="1166"/>
      <c r="GO93" s="1166"/>
      <c r="GP93" s="1166"/>
      <c r="GQ93" s="1166"/>
      <c r="GR93" s="1166"/>
      <c r="GS93" s="1166"/>
      <c r="GT93" s="1166"/>
      <c r="GU93" s="1166"/>
      <c r="GV93" s="1166"/>
      <c r="GW93" s="1166"/>
      <c r="GX93" s="1166"/>
      <c r="GY93" s="1166"/>
      <c r="GZ93" s="1166"/>
      <c r="HA93" s="1166"/>
      <c r="HB93" s="1166"/>
      <c r="HC93" s="1166"/>
      <c r="HD93" s="1166"/>
      <c r="HE93" s="1166"/>
      <c r="HF93" s="1166"/>
      <c r="HG93" s="1166"/>
      <c r="HH93" s="1166"/>
      <c r="HI93" s="1166"/>
      <c r="HJ93" s="1166"/>
      <c r="HK93" s="1166"/>
      <c r="HL93" s="1166"/>
      <c r="HM93" s="1166"/>
      <c r="HN93" s="1166"/>
      <c r="HO93" s="1166"/>
      <c r="HP93" s="1166"/>
      <c r="HQ93" s="1166"/>
      <c r="HR93" s="1166"/>
      <c r="HS93" s="1166"/>
      <c r="HT93" s="1166"/>
      <c r="HU93" s="1166"/>
      <c r="HV93" s="1166"/>
      <c r="HW93" s="1166"/>
      <c r="HX93" s="1166"/>
      <c r="HY93" s="1166"/>
      <c r="HZ93" s="1166"/>
      <c r="IA93" s="1166"/>
      <c r="IB93" s="1166"/>
      <c r="IC93" s="1166"/>
      <c r="ID93" s="1166"/>
      <c r="IE93" s="1166"/>
      <c r="IF93" s="1166"/>
      <c r="IG93" s="1166"/>
      <c r="IH93" s="1166"/>
      <c r="II93" s="1166"/>
      <c r="IJ93" s="1166"/>
      <c r="IK93" s="1166"/>
      <c r="IL93" s="1166"/>
      <c r="IM93" s="1166"/>
      <c r="IN93" s="1166"/>
      <c r="IO93" s="1166"/>
      <c r="IP93" s="1166"/>
      <c r="IQ93" s="1166"/>
      <c r="IR93" s="1166"/>
      <c r="IS93" s="1166"/>
      <c r="IT93" s="1166"/>
      <c r="IU93" s="1166"/>
      <c r="IV93" s="1166"/>
    </row>
    <row r="94" spans="1:256" s="1464" customFormat="1" ht="18" customHeight="1" x14ac:dyDescent="0.35">
      <c r="A94" s="1452">
        <v>85</v>
      </c>
      <c r="B94" s="1509"/>
      <c r="C94" s="1499"/>
      <c r="D94" s="1524" t="s">
        <v>233</v>
      </c>
      <c r="E94" s="1501"/>
      <c r="F94" s="1501"/>
      <c r="G94" s="1510"/>
      <c r="H94" s="1503"/>
      <c r="I94" s="1504"/>
      <c r="J94" s="1504"/>
      <c r="K94" s="1511">
        <f>SUM(K92:K93)</f>
        <v>19296</v>
      </c>
      <c r="L94" s="1504"/>
      <c r="M94" s="1504"/>
      <c r="N94" s="1514"/>
      <c r="O94" s="1289">
        <f>SUM(I94:N94)</f>
        <v>19296</v>
      </c>
      <c r="P94" s="1519"/>
      <c r="Q94" s="1166"/>
      <c r="R94" s="1166"/>
      <c r="S94" s="1166"/>
      <c r="T94" s="1166"/>
      <c r="U94" s="1166"/>
      <c r="V94" s="1166"/>
      <c r="W94" s="1166"/>
      <c r="X94" s="1166"/>
      <c r="Y94" s="1166"/>
      <c r="Z94" s="1166"/>
      <c r="AA94" s="1166"/>
      <c r="AB94" s="1166"/>
      <c r="AC94" s="1166"/>
      <c r="AD94" s="1166"/>
      <c r="AE94" s="1166"/>
      <c r="AF94" s="1166"/>
      <c r="AG94" s="1166"/>
      <c r="AH94" s="1166"/>
      <c r="AI94" s="1166"/>
      <c r="AJ94" s="1166"/>
      <c r="AK94" s="1166"/>
      <c r="AL94" s="1166"/>
      <c r="AM94" s="1166"/>
      <c r="AN94" s="1166"/>
      <c r="AO94" s="1166"/>
      <c r="AP94" s="1166"/>
      <c r="AQ94" s="1166"/>
      <c r="AR94" s="1166"/>
      <c r="AS94" s="1166"/>
      <c r="AT94" s="1166"/>
      <c r="AU94" s="1166"/>
      <c r="AV94" s="1166"/>
      <c r="AW94" s="1166"/>
      <c r="AX94" s="1166"/>
      <c r="AY94" s="1166"/>
      <c r="AZ94" s="1166"/>
      <c r="BA94" s="1166"/>
      <c r="BB94" s="1166"/>
      <c r="BC94" s="1166"/>
      <c r="BD94" s="1166"/>
      <c r="BE94" s="1166"/>
      <c r="BF94" s="1166"/>
      <c r="BG94" s="1166"/>
      <c r="BH94" s="1166"/>
      <c r="BI94" s="1166"/>
      <c r="BJ94" s="1166"/>
      <c r="BK94" s="1166"/>
      <c r="BL94" s="1166"/>
      <c r="BM94" s="1166"/>
      <c r="BN94" s="1166"/>
      <c r="BO94" s="1166"/>
      <c r="BP94" s="1166"/>
      <c r="BQ94" s="1166"/>
      <c r="BR94" s="1166"/>
      <c r="BS94" s="1166"/>
      <c r="BT94" s="1166"/>
      <c r="BU94" s="1166"/>
      <c r="BV94" s="1166"/>
      <c r="BW94" s="1166"/>
      <c r="BX94" s="1166"/>
      <c r="BY94" s="1166"/>
      <c r="BZ94" s="1166"/>
      <c r="CA94" s="1166"/>
      <c r="CB94" s="1166"/>
      <c r="CC94" s="1166"/>
      <c r="CD94" s="1166"/>
      <c r="CE94" s="1166"/>
      <c r="CF94" s="1166"/>
      <c r="CG94" s="1166"/>
      <c r="CH94" s="1166"/>
      <c r="CI94" s="1166"/>
      <c r="CJ94" s="1166"/>
      <c r="CK94" s="1166"/>
      <c r="CL94" s="1166"/>
      <c r="CM94" s="1166"/>
      <c r="CN94" s="1166"/>
      <c r="CO94" s="1166"/>
      <c r="CP94" s="1166"/>
      <c r="CQ94" s="1166"/>
      <c r="CR94" s="1166"/>
      <c r="CS94" s="1166"/>
      <c r="CT94" s="1166"/>
      <c r="CU94" s="1166"/>
      <c r="CV94" s="1166"/>
      <c r="CW94" s="1166"/>
      <c r="CX94" s="1166"/>
      <c r="CY94" s="1166"/>
      <c r="CZ94" s="1166"/>
      <c r="DA94" s="1166"/>
      <c r="DB94" s="1166"/>
      <c r="DC94" s="1166"/>
      <c r="DD94" s="1166"/>
      <c r="DE94" s="1166"/>
      <c r="DF94" s="1166"/>
      <c r="DG94" s="1166"/>
      <c r="DH94" s="1166"/>
      <c r="DI94" s="1166"/>
      <c r="DJ94" s="1166"/>
      <c r="DK94" s="1166"/>
      <c r="DL94" s="1166"/>
      <c r="DM94" s="1166"/>
      <c r="DN94" s="1166"/>
      <c r="DO94" s="1166"/>
      <c r="DP94" s="1166"/>
      <c r="DQ94" s="1166"/>
      <c r="DR94" s="1166"/>
      <c r="DS94" s="1166"/>
      <c r="DT94" s="1166"/>
      <c r="DU94" s="1166"/>
      <c r="DV94" s="1166"/>
      <c r="DW94" s="1166"/>
      <c r="DX94" s="1166"/>
      <c r="DY94" s="1166"/>
      <c r="DZ94" s="1166"/>
      <c r="EA94" s="1166"/>
      <c r="EB94" s="1166"/>
      <c r="EC94" s="1166"/>
      <c r="ED94" s="1166"/>
      <c r="EE94" s="1166"/>
      <c r="EF94" s="1166"/>
      <c r="EG94" s="1166"/>
      <c r="EH94" s="1166"/>
      <c r="EI94" s="1166"/>
      <c r="EJ94" s="1166"/>
      <c r="EK94" s="1166"/>
      <c r="EL94" s="1166"/>
      <c r="EM94" s="1166"/>
      <c r="EN94" s="1166"/>
      <c r="EO94" s="1166"/>
      <c r="EP94" s="1166"/>
      <c r="EQ94" s="1166"/>
      <c r="ER94" s="1166"/>
      <c r="ES94" s="1166"/>
      <c r="ET94" s="1166"/>
      <c r="EU94" s="1166"/>
      <c r="EV94" s="1166"/>
      <c r="EW94" s="1166"/>
      <c r="EX94" s="1166"/>
      <c r="EY94" s="1166"/>
      <c r="EZ94" s="1166"/>
      <c r="FA94" s="1166"/>
      <c r="FB94" s="1166"/>
      <c r="FC94" s="1166"/>
      <c r="FD94" s="1166"/>
      <c r="FE94" s="1166"/>
      <c r="FF94" s="1166"/>
      <c r="FG94" s="1166"/>
      <c r="FH94" s="1166"/>
      <c r="FI94" s="1166"/>
      <c r="FJ94" s="1166"/>
      <c r="FK94" s="1166"/>
      <c r="FL94" s="1166"/>
      <c r="FM94" s="1166"/>
      <c r="FN94" s="1166"/>
      <c r="FO94" s="1166"/>
      <c r="FP94" s="1166"/>
      <c r="FQ94" s="1166"/>
      <c r="FR94" s="1166"/>
      <c r="FS94" s="1166"/>
      <c r="FT94" s="1166"/>
      <c r="FU94" s="1166"/>
      <c r="FV94" s="1166"/>
      <c r="FW94" s="1166"/>
      <c r="FX94" s="1166"/>
      <c r="FY94" s="1166"/>
      <c r="FZ94" s="1166"/>
      <c r="GA94" s="1166"/>
      <c r="GB94" s="1166"/>
      <c r="GC94" s="1166"/>
      <c r="GD94" s="1166"/>
      <c r="GE94" s="1166"/>
      <c r="GF94" s="1166"/>
      <c r="GG94" s="1166"/>
      <c r="GH94" s="1166"/>
      <c r="GI94" s="1166"/>
      <c r="GJ94" s="1166"/>
      <c r="GK94" s="1166"/>
      <c r="GL94" s="1166"/>
      <c r="GM94" s="1166"/>
      <c r="GN94" s="1166"/>
      <c r="GO94" s="1166"/>
      <c r="GP94" s="1166"/>
      <c r="GQ94" s="1166"/>
      <c r="GR94" s="1166"/>
      <c r="GS94" s="1166"/>
      <c r="GT94" s="1166"/>
      <c r="GU94" s="1166"/>
      <c r="GV94" s="1166"/>
      <c r="GW94" s="1166"/>
      <c r="GX94" s="1166"/>
      <c r="GY94" s="1166"/>
      <c r="GZ94" s="1166"/>
      <c r="HA94" s="1166"/>
      <c r="HB94" s="1166"/>
      <c r="HC94" s="1166"/>
      <c r="HD94" s="1166"/>
      <c r="HE94" s="1166"/>
      <c r="HF94" s="1166"/>
      <c r="HG94" s="1166"/>
      <c r="HH94" s="1166"/>
      <c r="HI94" s="1166"/>
      <c r="HJ94" s="1166"/>
      <c r="HK94" s="1166"/>
      <c r="HL94" s="1166"/>
      <c r="HM94" s="1166"/>
      <c r="HN94" s="1166"/>
      <c r="HO94" s="1166"/>
      <c r="HP94" s="1166"/>
      <c r="HQ94" s="1166"/>
      <c r="HR94" s="1166"/>
      <c r="HS94" s="1166"/>
      <c r="HT94" s="1166"/>
      <c r="HU94" s="1166"/>
      <c r="HV94" s="1166"/>
      <c r="HW94" s="1166"/>
      <c r="HX94" s="1166"/>
      <c r="HY94" s="1166"/>
      <c r="HZ94" s="1166"/>
      <c r="IA94" s="1166"/>
      <c r="IB94" s="1166"/>
      <c r="IC94" s="1166"/>
      <c r="ID94" s="1166"/>
      <c r="IE94" s="1166"/>
      <c r="IF94" s="1166"/>
      <c r="IG94" s="1166"/>
      <c r="IH94" s="1166"/>
      <c r="II94" s="1166"/>
      <c r="IJ94" s="1166"/>
      <c r="IK94" s="1166"/>
      <c r="IL94" s="1166"/>
      <c r="IM94" s="1166"/>
      <c r="IN94" s="1166"/>
      <c r="IO94" s="1166"/>
      <c r="IP94" s="1166"/>
      <c r="IQ94" s="1166"/>
      <c r="IR94" s="1166"/>
      <c r="IS94" s="1166"/>
      <c r="IT94" s="1166"/>
      <c r="IU94" s="1166"/>
      <c r="IV94" s="1166"/>
    </row>
    <row r="95" spans="1:256" s="1464" customFormat="1" ht="35.25" customHeight="1" x14ac:dyDescent="0.35">
      <c r="A95" s="1452">
        <v>86</v>
      </c>
      <c r="B95" s="1509"/>
      <c r="C95" s="1499">
        <v>23</v>
      </c>
      <c r="D95" s="1526" t="s">
        <v>5</v>
      </c>
      <c r="E95" s="1527">
        <f>F95+G95+O97</f>
        <v>227212</v>
      </c>
      <c r="F95" s="1501"/>
      <c r="G95" s="1510"/>
      <c r="H95" s="1516" t="s">
        <v>296</v>
      </c>
      <c r="I95" s="1504"/>
      <c r="J95" s="1504"/>
      <c r="K95" s="1511"/>
      <c r="L95" s="1504"/>
      <c r="M95" s="1504"/>
      <c r="N95" s="1514"/>
      <c r="O95" s="1289"/>
      <c r="P95" s="1519"/>
      <c r="Q95" s="1166"/>
      <c r="R95" s="1166"/>
      <c r="S95" s="1166"/>
      <c r="T95" s="1166"/>
      <c r="U95" s="1166"/>
      <c r="V95" s="1166"/>
      <c r="W95" s="1166"/>
      <c r="X95" s="1166"/>
      <c r="Y95" s="1166"/>
      <c r="Z95" s="1166"/>
      <c r="AA95" s="1166"/>
      <c r="AB95" s="1166"/>
      <c r="AC95" s="1166"/>
      <c r="AD95" s="1166"/>
      <c r="AE95" s="1166"/>
      <c r="AF95" s="1166"/>
      <c r="AG95" s="1166"/>
      <c r="AH95" s="1166"/>
      <c r="AI95" s="1166"/>
      <c r="AJ95" s="1166"/>
      <c r="AK95" s="1166"/>
      <c r="AL95" s="1166"/>
      <c r="AM95" s="1166"/>
      <c r="AN95" s="1166"/>
      <c r="AO95" s="1166"/>
      <c r="AP95" s="1166"/>
      <c r="AQ95" s="1166"/>
      <c r="AR95" s="1166"/>
      <c r="AS95" s="1166"/>
      <c r="AT95" s="1166"/>
      <c r="AU95" s="1166"/>
      <c r="AV95" s="1166"/>
      <c r="AW95" s="1166"/>
      <c r="AX95" s="1166"/>
      <c r="AY95" s="1166"/>
      <c r="AZ95" s="1166"/>
      <c r="BA95" s="1166"/>
      <c r="BB95" s="1166"/>
      <c r="BC95" s="1166"/>
      <c r="BD95" s="1166"/>
      <c r="BE95" s="1166"/>
      <c r="BF95" s="1166"/>
      <c r="BG95" s="1166"/>
      <c r="BH95" s="1166"/>
      <c r="BI95" s="1166"/>
      <c r="BJ95" s="1166"/>
      <c r="BK95" s="1166"/>
      <c r="BL95" s="1166"/>
      <c r="BM95" s="1166"/>
      <c r="BN95" s="1166"/>
      <c r="BO95" s="1166"/>
      <c r="BP95" s="1166"/>
      <c r="BQ95" s="1166"/>
      <c r="BR95" s="1166"/>
      <c r="BS95" s="1166"/>
      <c r="BT95" s="1166"/>
      <c r="BU95" s="1166"/>
      <c r="BV95" s="1166"/>
      <c r="BW95" s="1166"/>
      <c r="BX95" s="1166"/>
      <c r="BY95" s="1166"/>
      <c r="BZ95" s="1166"/>
      <c r="CA95" s="1166"/>
      <c r="CB95" s="1166"/>
      <c r="CC95" s="1166"/>
      <c r="CD95" s="1166"/>
      <c r="CE95" s="1166"/>
      <c r="CF95" s="1166"/>
      <c r="CG95" s="1166"/>
      <c r="CH95" s="1166"/>
      <c r="CI95" s="1166"/>
      <c r="CJ95" s="1166"/>
      <c r="CK95" s="1166"/>
      <c r="CL95" s="1166"/>
      <c r="CM95" s="1166"/>
      <c r="CN95" s="1166"/>
      <c r="CO95" s="1166"/>
      <c r="CP95" s="1166"/>
      <c r="CQ95" s="1166"/>
      <c r="CR95" s="1166"/>
      <c r="CS95" s="1166"/>
      <c r="CT95" s="1166"/>
      <c r="CU95" s="1166"/>
      <c r="CV95" s="1166"/>
      <c r="CW95" s="1166"/>
      <c r="CX95" s="1166"/>
      <c r="CY95" s="1166"/>
      <c r="CZ95" s="1166"/>
      <c r="DA95" s="1166"/>
      <c r="DB95" s="1166"/>
      <c r="DC95" s="1166"/>
      <c r="DD95" s="1166"/>
      <c r="DE95" s="1166"/>
      <c r="DF95" s="1166"/>
      <c r="DG95" s="1166"/>
      <c r="DH95" s="1166"/>
      <c r="DI95" s="1166"/>
      <c r="DJ95" s="1166"/>
      <c r="DK95" s="1166"/>
      <c r="DL95" s="1166"/>
      <c r="DM95" s="1166"/>
      <c r="DN95" s="1166"/>
      <c r="DO95" s="1166"/>
      <c r="DP95" s="1166"/>
      <c r="DQ95" s="1166"/>
      <c r="DR95" s="1166"/>
      <c r="DS95" s="1166"/>
      <c r="DT95" s="1166"/>
      <c r="DU95" s="1166"/>
      <c r="DV95" s="1166"/>
      <c r="DW95" s="1166"/>
      <c r="DX95" s="1166"/>
      <c r="DY95" s="1166"/>
      <c r="DZ95" s="1166"/>
      <c r="EA95" s="1166"/>
      <c r="EB95" s="1166"/>
      <c r="EC95" s="1166"/>
      <c r="ED95" s="1166"/>
      <c r="EE95" s="1166"/>
      <c r="EF95" s="1166"/>
      <c r="EG95" s="1166"/>
      <c r="EH95" s="1166"/>
      <c r="EI95" s="1166"/>
      <c r="EJ95" s="1166"/>
      <c r="EK95" s="1166"/>
      <c r="EL95" s="1166"/>
      <c r="EM95" s="1166"/>
      <c r="EN95" s="1166"/>
      <c r="EO95" s="1166"/>
      <c r="EP95" s="1166"/>
      <c r="EQ95" s="1166"/>
      <c r="ER95" s="1166"/>
      <c r="ES95" s="1166"/>
      <c r="ET95" s="1166"/>
      <c r="EU95" s="1166"/>
      <c r="EV95" s="1166"/>
      <c r="EW95" s="1166"/>
      <c r="EX95" s="1166"/>
      <c r="EY95" s="1166"/>
      <c r="EZ95" s="1166"/>
      <c r="FA95" s="1166"/>
      <c r="FB95" s="1166"/>
      <c r="FC95" s="1166"/>
      <c r="FD95" s="1166"/>
      <c r="FE95" s="1166"/>
      <c r="FF95" s="1166"/>
      <c r="FG95" s="1166"/>
      <c r="FH95" s="1166"/>
      <c r="FI95" s="1166"/>
      <c r="FJ95" s="1166"/>
      <c r="FK95" s="1166"/>
      <c r="FL95" s="1166"/>
      <c r="FM95" s="1166"/>
      <c r="FN95" s="1166"/>
      <c r="FO95" s="1166"/>
      <c r="FP95" s="1166"/>
      <c r="FQ95" s="1166"/>
      <c r="FR95" s="1166"/>
      <c r="FS95" s="1166"/>
      <c r="FT95" s="1166"/>
      <c r="FU95" s="1166"/>
      <c r="FV95" s="1166"/>
      <c r="FW95" s="1166"/>
      <c r="FX95" s="1166"/>
      <c r="FY95" s="1166"/>
      <c r="FZ95" s="1166"/>
      <c r="GA95" s="1166"/>
      <c r="GB95" s="1166"/>
      <c r="GC95" s="1166"/>
      <c r="GD95" s="1166"/>
      <c r="GE95" s="1166"/>
      <c r="GF95" s="1166"/>
      <c r="GG95" s="1166"/>
      <c r="GH95" s="1166"/>
      <c r="GI95" s="1166"/>
      <c r="GJ95" s="1166"/>
      <c r="GK95" s="1166"/>
      <c r="GL95" s="1166"/>
      <c r="GM95" s="1166"/>
      <c r="GN95" s="1166"/>
      <c r="GO95" s="1166"/>
      <c r="GP95" s="1166"/>
      <c r="GQ95" s="1166"/>
      <c r="GR95" s="1166"/>
      <c r="GS95" s="1166"/>
      <c r="GT95" s="1166"/>
      <c r="GU95" s="1166"/>
      <c r="GV95" s="1166"/>
      <c r="GW95" s="1166"/>
      <c r="GX95" s="1166"/>
      <c r="GY95" s="1166"/>
      <c r="GZ95" s="1166"/>
      <c r="HA95" s="1166"/>
      <c r="HB95" s="1166"/>
      <c r="HC95" s="1166"/>
      <c r="HD95" s="1166"/>
      <c r="HE95" s="1166"/>
      <c r="HF95" s="1166"/>
      <c r="HG95" s="1166"/>
      <c r="HH95" s="1166"/>
      <c r="HI95" s="1166"/>
      <c r="HJ95" s="1166"/>
      <c r="HK95" s="1166"/>
      <c r="HL95" s="1166"/>
      <c r="HM95" s="1166"/>
      <c r="HN95" s="1166"/>
      <c r="HO95" s="1166"/>
      <c r="HP95" s="1166"/>
      <c r="HQ95" s="1166"/>
      <c r="HR95" s="1166"/>
      <c r="HS95" s="1166"/>
      <c r="HT95" s="1166"/>
      <c r="HU95" s="1166"/>
      <c r="HV95" s="1166"/>
      <c r="HW95" s="1166"/>
      <c r="HX95" s="1166"/>
      <c r="HY95" s="1166"/>
      <c r="HZ95" s="1166"/>
      <c r="IA95" s="1166"/>
      <c r="IB95" s="1166"/>
      <c r="IC95" s="1166"/>
      <c r="ID95" s="1166"/>
      <c r="IE95" s="1166"/>
      <c r="IF95" s="1166"/>
      <c r="IG95" s="1166"/>
      <c r="IH95" s="1166"/>
      <c r="II95" s="1166"/>
      <c r="IJ95" s="1166"/>
      <c r="IK95" s="1166"/>
      <c r="IL95" s="1166"/>
      <c r="IM95" s="1166"/>
      <c r="IN95" s="1166"/>
      <c r="IO95" s="1166"/>
      <c r="IP95" s="1166"/>
      <c r="IQ95" s="1166"/>
      <c r="IR95" s="1166"/>
      <c r="IS95" s="1166"/>
      <c r="IT95" s="1166"/>
      <c r="IU95" s="1166"/>
      <c r="IV95" s="1166"/>
    </row>
    <row r="96" spans="1:256" s="1464" customFormat="1" ht="18" customHeight="1" x14ac:dyDescent="0.35">
      <c r="A96" s="1452">
        <v>87</v>
      </c>
      <c r="B96" s="1525"/>
      <c r="C96" s="1187"/>
      <c r="D96" s="1388" t="s">
        <v>245</v>
      </c>
      <c r="E96" s="1468"/>
      <c r="F96" s="1468"/>
      <c r="G96" s="1520"/>
      <c r="H96" s="1479"/>
      <c r="I96" s="1471"/>
      <c r="J96" s="1471"/>
      <c r="K96" s="1521">
        <v>1800</v>
      </c>
      <c r="L96" s="1521"/>
      <c r="M96" s="1521">
        <v>225412</v>
      </c>
      <c r="N96" s="1522"/>
      <c r="O96" s="1217">
        <f>SUM(I96:N96)</f>
        <v>227212</v>
      </c>
      <c r="P96" s="1523"/>
      <c r="Q96" s="1166"/>
      <c r="R96" s="1166"/>
      <c r="S96" s="1166"/>
      <c r="T96" s="1166"/>
      <c r="U96" s="1166"/>
      <c r="V96" s="1166"/>
      <c r="W96" s="1166"/>
      <c r="X96" s="1166"/>
      <c r="Y96" s="1166"/>
      <c r="Z96" s="1166"/>
      <c r="AA96" s="1166"/>
      <c r="AB96" s="1166"/>
      <c r="AC96" s="1166"/>
      <c r="AD96" s="1166"/>
      <c r="AE96" s="1166"/>
      <c r="AF96" s="1166"/>
      <c r="AG96" s="1166"/>
      <c r="AH96" s="1166"/>
      <c r="AI96" s="1166"/>
      <c r="AJ96" s="1166"/>
      <c r="AK96" s="1166"/>
      <c r="AL96" s="1166"/>
      <c r="AM96" s="1166"/>
      <c r="AN96" s="1166"/>
      <c r="AO96" s="1166"/>
      <c r="AP96" s="1166"/>
      <c r="AQ96" s="1166"/>
      <c r="AR96" s="1166"/>
      <c r="AS96" s="1166"/>
      <c r="AT96" s="1166"/>
      <c r="AU96" s="1166"/>
      <c r="AV96" s="1166"/>
      <c r="AW96" s="1166"/>
      <c r="AX96" s="1166"/>
      <c r="AY96" s="1166"/>
      <c r="AZ96" s="1166"/>
      <c r="BA96" s="1166"/>
      <c r="BB96" s="1166"/>
      <c r="BC96" s="1166"/>
      <c r="BD96" s="1166"/>
      <c r="BE96" s="1166"/>
      <c r="BF96" s="1166"/>
      <c r="BG96" s="1166"/>
      <c r="BH96" s="1166"/>
      <c r="BI96" s="1166"/>
      <c r="BJ96" s="1166"/>
      <c r="BK96" s="1166"/>
      <c r="BL96" s="1166"/>
      <c r="BM96" s="1166"/>
      <c r="BN96" s="1166"/>
      <c r="BO96" s="1166"/>
      <c r="BP96" s="1166"/>
      <c r="BQ96" s="1166"/>
      <c r="BR96" s="1166"/>
      <c r="BS96" s="1166"/>
      <c r="BT96" s="1166"/>
      <c r="BU96" s="1166"/>
      <c r="BV96" s="1166"/>
      <c r="BW96" s="1166"/>
      <c r="BX96" s="1166"/>
      <c r="BY96" s="1166"/>
      <c r="BZ96" s="1166"/>
      <c r="CA96" s="1166"/>
      <c r="CB96" s="1166"/>
      <c r="CC96" s="1166"/>
      <c r="CD96" s="1166"/>
      <c r="CE96" s="1166"/>
      <c r="CF96" s="1166"/>
      <c r="CG96" s="1166"/>
      <c r="CH96" s="1166"/>
      <c r="CI96" s="1166"/>
      <c r="CJ96" s="1166"/>
      <c r="CK96" s="1166"/>
      <c r="CL96" s="1166"/>
      <c r="CM96" s="1166"/>
      <c r="CN96" s="1166"/>
      <c r="CO96" s="1166"/>
      <c r="CP96" s="1166"/>
      <c r="CQ96" s="1166"/>
      <c r="CR96" s="1166"/>
      <c r="CS96" s="1166"/>
      <c r="CT96" s="1166"/>
      <c r="CU96" s="1166"/>
      <c r="CV96" s="1166"/>
      <c r="CW96" s="1166"/>
      <c r="CX96" s="1166"/>
      <c r="CY96" s="1166"/>
      <c r="CZ96" s="1166"/>
      <c r="DA96" s="1166"/>
      <c r="DB96" s="1166"/>
      <c r="DC96" s="1166"/>
      <c r="DD96" s="1166"/>
      <c r="DE96" s="1166"/>
      <c r="DF96" s="1166"/>
      <c r="DG96" s="1166"/>
      <c r="DH96" s="1166"/>
      <c r="DI96" s="1166"/>
      <c r="DJ96" s="1166"/>
      <c r="DK96" s="1166"/>
      <c r="DL96" s="1166"/>
      <c r="DM96" s="1166"/>
      <c r="DN96" s="1166"/>
      <c r="DO96" s="1166"/>
      <c r="DP96" s="1166"/>
      <c r="DQ96" s="1166"/>
      <c r="DR96" s="1166"/>
      <c r="DS96" s="1166"/>
      <c r="DT96" s="1166"/>
      <c r="DU96" s="1166"/>
      <c r="DV96" s="1166"/>
      <c r="DW96" s="1166"/>
      <c r="DX96" s="1166"/>
      <c r="DY96" s="1166"/>
      <c r="DZ96" s="1166"/>
      <c r="EA96" s="1166"/>
      <c r="EB96" s="1166"/>
      <c r="EC96" s="1166"/>
      <c r="ED96" s="1166"/>
      <c r="EE96" s="1166"/>
      <c r="EF96" s="1166"/>
      <c r="EG96" s="1166"/>
      <c r="EH96" s="1166"/>
      <c r="EI96" s="1166"/>
      <c r="EJ96" s="1166"/>
      <c r="EK96" s="1166"/>
      <c r="EL96" s="1166"/>
      <c r="EM96" s="1166"/>
      <c r="EN96" s="1166"/>
      <c r="EO96" s="1166"/>
      <c r="EP96" s="1166"/>
      <c r="EQ96" s="1166"/>
      <c r="ER96" s="1166"/>
      <c r="ES96" s="1166"/>
      <c r="ET96" s="1166"/>
      <c r="EU96" s="1166"/>
      <c r="EV96" s="1166"/>
      <c r="EW96" s="1166"/>
      <c r="EX96" s="1166"/>
      <c r="EY96" s="1166"/>
      <c r="EZ96" s="1166"/>
      <c r="FA96" s="1166"/>
      <c r="FB96" s="1166"/>
      <c r="FC96" s="1166"/>
      <c r="FD96" s="1166"/>
      <c r="FE96" s="1166"/>
      <c r="FF96" s="1166"/>
      <c r="FG96" s="1166"/>
      <c r="FH96" s="1166"/>
      <c r="FI96" s="1166"/>
      <c r="FJ96" s="1166"/>
      <c r="FK96" s="1166"/>
      <c r="FL96" s="1166"/>
      <c r="FM96" s="1166"/>
      <c r="FN96" s="1166"/>
      <c r="FO96" s="1166"/>
      <c r="FP96" s="1166"/>
      <c r="FQ96" s="1166"/>
      <c r="FR96" s="1166"/>
      <c r="FS96" s="1166"/>
      <c r="FT96" s="1166"/>
      <c r="FU96" s="1166"/>
      <c r="FV96" s="1166"/>
      <c r="FW96" s="1166"/>
      <c r="FX96" s="1166"/>
      <c r="FY96" s="1166"/>
      <c r="FZ96" s="1166"/>
      <c r="GA96" s="1166"/>
      <c r="GB96" s="1166"/>
      <c r="GC96" s="1166"/>
      <c r="GD96" s="1166"/>
      <c r="GE96" s="1166"/>
      <c r="GF96" s="1166"/>
      <c r="GG96" s="1166"/>
      <c r="GH96" s="1166"/>
      <c r="GI96" s="1166"/>
      <c r="GJ96" s="1166"/>
      <c r="GK96" s="1166"/>
      <c r="GL96" s="1166"/>
      <c r="GM96" s="1166"/>
      <c r="GN96" s="1166"/>
      <c r="GO96" s="1166"/>
      <c r="GP96" s="1166"/>
      <c r="GQ96" s="1166"/>
      <c r="GR96" s="1166"/>
      <c r="GS96" s="1166"/>
      <c r="GT96" s="1166"/>
      <c r="GU96" s="1166"/>
      <c r="GV96" s="1166"/>
      <c r="GW96" s="1166"/>
      <c r="GX96" s="1166"/>
      <c r="GY96" s="1166"/>
      <c r="GZ96" s="1166"/>
      <c r="HA96" s="1166"/>
      <c r="HB96" s="1166"/>
      <c r="HC96" s="1166"/>
      <c r="HD96" s="1166"/>
      <c r="HE96" s="1166"/>
      <c r="HF96" s="1166"/>
      <c r="HG96" s="1166"/>
      <c r="HH96" s="1166"/>
      <c r="HI96" s="1166"/>
      <c r="HJ96" s="1166"/>
      <c r="HK96" s="1166"/>
      <c r="HL96" s="1166"/>
      <c r="HM96" s="1166"/>
      <c r="HN96" s="1166"/>
      <c r="HO96" s="1166"/>
      <c r="HP96" s="1166"/>
      <c r="HQ96" s="1166"/>
      <c r="HR96" s="1166"/>
      <c r="HS96" s="1166"/>
      <c r="HT96" s="1166"/>
      <c r="HU96" s="1166"/>
      <c r="HV96" s="1166"/>
      <c r="HW96" s="1166"/>
      <c r="HX96" s="1166"/>
      <c r="HY96" s="1166"/>
      <c r="HZ96" s="1166"/>
      <c r="IA96" s="1166"/>
      <c r="IB96" s="1166"/>
      <c r="IC96" s="1166"/>
      <c r="ID96" s="1166"/>
      <c r="IE96" s="1166"/>
      <c r="IF96" s="1166"/>
      <c r="IG96" s="1166"/>
      <c r="IH96" s="1166"/>
      <c r="II96" s="1166"/>
      <c r="IJ96" s="1166"/>
      <c r="IK96" s="1166"/>
      <c r="IL96" s="1166"/>
      <c r="IM96" s="1166"/>
      <c r="IN96" s="1166"/>
      <c r="IO96" s="1166"/>
      <c r="IP96" s="1166"/>
      <c r="IQ96" s="1166"/>
      <c r="IR96" s="1166"/>
      <c r="IS96" s="1166"/>
      <c r="IT96" s="1166"/>
      <c r="IU96" s="1166"/>
      <c r="IV96" s="1166"/>
    </row>
    <row r="97" spans="1:256" s="1464" customFormat="1" ht="18" customHeight="1" x14ac:dyDescent="0.35">
      <c r="A97" s="1452">
        <v>88</v>
      </c>
      <c r="B97" s="1509"/>
      <c r="C97" s="1499"/>
      <c r="D97" s="1524" t="s">
        <v>233</v>
      </c>
      <c r="E97" s="1501"/>
      <c r="F97" s="1501"/>
      <c r="G97" s="1510"/>
      <c r="H97" s="1503"/>
      <c r="I97" s="1504"/>
      <c r="J97" s="1504"/>
      <c r="K97" s="1511">
        <f>SUM(K96)</f>
        <v>1800</v>
      </c>
      <c r="L97" s="1504"/>
      <c r="M97" s="1511">
        <f>SUM(M96)</f>
        <v>225412</v>
      </c>
      <c r="N97" s="1514"/>
      <c r="O97" s="1289">
        <f>SUM(I97:N97)</f>
        <v>227212</v>
      </c>
      <c r="P97" s="1519"/>
      <c r="Q97" s="1166"/>
      <c r="R97" s="1166"/>
      <c r="S97" s="1166"/>
      <c r="T97" s="1166"/>
      <c r="U97" s="1166"/>
      <c r="V97" s="1166"/>
      <c r="W97" s="1166"/>
      <c r="X97" s="1166"/>
      <c r="Y97" s="1166"/>
      <c r="Z97" s="1166"/>
      <c r="AA97" s="1166"/>
      <c r="AB97" s="1166"/>
      <c r="AC97" s="1166"/>
      <c r="AD97" s="1166"/>
      <c r="AE97" s="1166"/>
      <c r="AF97" s="1166"/>
      <c r="AG97" s="1166"/>
      <c r="AH97" s="1166"/>
      <c r="AI97" s="1166"/>
      <c r="AJ97" s="1166"/>
      <c r="AK97" s="1166"/>
      <c r="AL97" s="1166"/>
      <c r="AM97" s="1166"/>
      <c r="AN97" s="1166"/>
      <c r="AO97" s="1166"/>
      <c r="AP97" s="1166"/>
      <c r="AQ97" s="1166"/>
      <c r="AR97" s="1166"/>
      <c r="AS97" s="1166"/>
      <c r="AT97" s="1166"/>
      <c r="AU97" s="1166"/>
      <c r="AV97" s="1166"/>
      <c r="AW97" s="1166"/>
      <c r="AX97" s="1166"/>
      <c r="AY97" s="1166"/>
      <c r="AZ97" s="1166"/>
      <c r="BA97" s="1166"/>
      <c r="BB97" s="1166"/>
      <c r="BC97" s="1166"/>
      <c r="BD97" s="1166"/>
      <c r="BE97" s="1166"/>
      <c r="BF97" s="1166"/>
      <c r="BG97" s="1166"/>
      <c r="BH97" s="1166"/>
      <c r="BI97" s="1166"/>
      <c r="BJ97" s="1166"/>
      <c r="BK97" s="1166"/>
      <c r="BL97" s="1166"/>
      <c r="BM97" s="1166"/>
      <c r="BN97" s="1166"/>
      <c r="BO97" s="1166"/>
      <c r="BP97" s="1166"/>
      <c r="BQ97" s="1166"/>
      <c r="BR97" s="1166"/>
      <c r="BS97" s="1166"/>
      <c r="BT97" s="1166"/>
      <c r="BU97" s="1166"/>
      <c r="BV97" s="1166"/>
      <c r="BW97" s="1166"/>
      <c r="BX97" s="1166"/>
      <c r="BY97" s="1166"/>
      <c r="BZ97" s="1166"/>
      <c r="CA97" s="1166"/>
      <c r="CB97" s="1166"/>
      <c r="CC97" s="1166"/>
      <c r="CD97" s="1166"/>
      <c r="CE97" s="1166"/>
      <c r="CF97" s="1166"/>
      <c r="CG97" s="1166"/>
      <c r="CH97" s="1166"/>
      <c r="CI97" s="1166"/>
      <c r="CJ97" s="1166"/>
      <c r="CK97" s="1166"/>
      <c r="CL97" s="1166"/>
      <c r="CM97" s="1166"/>
      <c r="CN97" s="1166"/>
      <c r="CO97" s="1166"/>
      <c r="CP97" s="1166"/>
      <c r="CQ97" s="1166"/>
      <c r="CR97" s="1166"/>
      <c r="CS97" s="1166"/>
      <c r="CT97" s="1166"/>
      <c r="CU97" s="1166"/>
      <c r="CV97" s="1166"/>
      <c r="CW97" s="1166"/>
      <c r="CX97" s="1166"/>
      <c r="CY97" s="1166"/>
      <c r="CZ97" s="1166"/>
      <c r="DA97" s="1166"/>
      <c r="DB97" s="1166"/>
      <c r="DC97" s="1166"/>
      <c r="DD97" s="1166"/>
      <c r="DE97" s="1166"/>
      <c r="DF97" s="1166"/>
      <c r="DG97" s="1166"/>
      <c r="DH97" s="1166"/>
      <c r="DI97" s="1166"/>
      <c r="DJ97" s="1166"/>
      <c r="DK97" s="1166"/>
      <c r="DL97" s="1166"/>
      <c r="DM97" s="1166"/>
      <c r="DN97" s="1166"/>
      <c r="DO97" s="1166"/>
      <c r="DP97" s="1166"/>
      <c r="DQ97" s="1166"/>
      <c r="DR97" s="1166"/>
      <c r="DS97" s="1166"/>
      <c r="DT97" s="1166"/>
      <c r="DU97" s="1166"/>
      <c r="DV97" s="1166"/>
      <c r="DW97" s="1166"/>
      <c r="DX97" s="1166"/>
      <c r="DY97" s="1166"/>
      <c r="DZ97" s="1166"/>
      <c r="EA97" s="1166"/>
      <c r="EB97" s="1166"/>
      <c r="EC97" s="1166"/>
      <c r="ED97" s="1166"/>
      <c r="EE97" s="1166"/>
      <c r="EF97" s="1166"/>
      <c r="EG97" s="1166"/>
      <c r="EH97" s="1166"/>
      <c r="EI97" s="1166"/>
      <c r="EJ97" s="1166"/>
      <c r="EK97" s="1166"/>
      <c r="EL97" s="1166"/>
      <c r="EM97" s="1166"/>
      <c r="EN97" s="1166"/>
      <c r="EO97" s="1166"/>
      <c r="EP97" s="1166"/>
      <c r="EQ97" s="1166"/>
      <c r="ER97" s="1166"/>
      <c r="ES97" s="1166"/>
      <c r="ET97" s="1166"/>
      <c r="EU97" s="1166"/>
      <c r="EV97" s="1166"/>
      <c r="EW97" s="1166"/>
      <c r="EX97" s="1166"/>
      <c r="EY97" s="1166"/>
      <c r="EZ97" s="1166"/>
      <c r="FA97" s="1166"/>
      <c r="FB97" s="1166"/>
      <c r="FC97" s="1166"/>
      <c r="FD97" s="1166"/>
      <c r="FE97" s="1166"/>
      <c r="FF97" s="1166"/>
      <c r="FG97" s="1166"/>
      <c r="FH97" s="1166"/>
      <c r="FI97" s="1166"/>
      <c r="FJ97" s="1166"/>
      <c r="FK97" s="1166"/>
      <c r="FL97" s="1166"/>
      <c r="FM97" s="1166"/>
      <c r="FN97" s="1166"/>
      <c r="FO97" s="1166"/>
      <c r="FP97" s="1166"/>
      <c r="FQ97" s="1166"/>
      <c r="FR97" s="1166"/>
      <c r="FS97" s="1166"/>
      <c r="FT97" s="1166"/>
      <c r="FU97" s="1166"/>
      <c r="FV97" s="1166"/>
      <c r="FW97" s="1166"/>
      <c r="FX97" s="1166"/>
      <c r="FY97" s="1166"/>
      <c r="FZ97" s="1166"/>
      <c r="GA97" s="1166"/>
      <c r="GB97" s="1166"/>
      <c r="GC97" s="1166"/>
      <c r="GD97" s="1166"/>
      <c r="GE97" s="1166"/>
      <c r="GF97" s="1166"/>
      <c r="GG97" s="1166"/>
      <c r="GH97" s="1166"/>
      <c r="GI97" s="1166"/>
      <c r="GJ97" s="1166"/>
      <c r="GK97" s="1166"/>
      <c r="GL97" s="1166"/>
      <c r="GM97" s="1166"/>
      <c r="GN97" s="1166"/>
      <c r="GO97" s="1166"/>
      <c r="GP97" s="1166"/>
      <c r="GQ97" s="1166"/>
      <c r="GR97" s="1166"/>
      <c r="GS97" s="1166"/>
      <c r="GT97" s="1166"/>
      <c r="GU97" s="1166"/>
      <c r="GV97" s="1166"/>
      <c r="GW97" s="1166"/>
      <c r="GX97" s="1166"/>
      <c r="GY97" s="1166"/>
      <c r="GZ97" s="1166"/>
      <c r="HA97" s="1166"/>
      <c r="HB97" s="1166"/>
      <c r="HC97" s="1166"/>
      <c r="HD97" s="1166"/>
      <c r="HE97" s="1166"/>
      <c r="HF97" s="1166"/>
      <c r="HG97" s="1166"/>
      <c r="HH97" s="1166"/>
      <c r="HI97" s="1166"/>
      <c r="HJ97" s="1166"/>
      <c r="HK97" s="1166"/>
      <c r="HL97" s="1166"/>
      <c r="HM97" s="1166"/>
      <c r="HN97" s="1166"/>
      <c r="HO97" s="1166"/>
      <c r="HP97" s="1166"/>
      <c r="HQ97" s="1166"/>
      <c r="HR97" s="1166"/>
      <c r="HS97" s="1166"/>
      <c r="HT97" s="1166"/>
      <c r="HU97" s="1166"/>
      <c r="HV97" s="1166"/>
      <c r="HW97" s="1166"/>
      <c r="HX97" s="1166"/>
      <c r="HY97" s="1166"/>
      <c r="HZ97" s="1166"/>
      <c r="IA97" s="1166"/>
      <c r="IB97" s="1166"/>
      <c r="IC97" s="1166"/>
      <c r="ID97" s="1166"/>
      <c r="IE97" s="1166"/>
      <c r="IF97" s="1166"/>
      <c r="IG97" s="1166"/>
      <c r="IH97" s="1166"/>
      <c r="II97" s="1166"/>
      <c r="IJ97" s="1166"/>
      <c r="IK97" s="1166"/>
      <c r="IL97" s="1166"/>
      <c r="IM97" s="1166"/>
      <c r="IN97" s="1166"/>
      <c r="IO97" s="1166"/>
      <c r="IP97" s="1166"/>
      <c r="IQ97" s="1166"/>
      <c r="IR97" s="1166"/>
      <c r="IS97" s="1166"/>
      <c r="IT97" s="1166"/>
      <c r="IU97" s="1166"/>
      <c r="IV97" s="1166"/>
    </row>
    <row r="98" spans="1:256" s="1464" customFormat="1" ht="27" customHeight="1" x14ac:dyDescent="0.35">
      <c r="A98" s="1452">
        <v>89</v>
      </c>
      <c r="B98" s="2015" t="s">
        <v>278</v>
      </c>
      <c r="C98" s="2015"/>
      <c r="D98" s="2015"/>
      <c r="E98" s="2015"/>
      <c r="F98" s="2015"/>
      <c r="G98" s="2015"/>
      <c r="H98" s="1528"/>
      <c r="I98" s="1529"/>
      <c r="J98" s="1529"/>
      <c r="K98" s="1529"/>
      <c r="L98" s="1529"/>
      <c r="M98" s="1529"/>
      <c r="N98" s="1530"/>
      <c r="O98" s="1531"/>
      <c r="P98" s="1532"/>
      <c r="Q98" s="1166"/>
      <c r="R98" s="1166"/>
      <c r="S98" s="1166"/>
      <c r="T98" s="1166"/>
      <c r="U98" s="1166"/>
      <c r="V98" s="1166"/>
      <c r="W98" s="1166"/>
      <c r="X98" s="1166"/>
      <c r="Y98" s="1166"/>
      <c r="Z98" s="1166"/>
      <c r="AA98" s="1166"/>
      <c r="AB98" s="1166"/>
      <c r="AC98" s="1166"/>
      <c r="AD98" s="1166"/>
      <c r="AE98" s="1166"/>
      <c r="AF98" s="1166"/>
      <c r="AG98" s="1166"/>
      <c r="AH98" s="1166"/>
      <c r="AI98" s="1166"/>
      <c r="AJ98" s="1166"/>
      <c r="AK98" s="1166"/>
      <c r="AL98" s="1166"/>
      <c r="AM98" s="1166"/>
      <c r="AN98" s="1166"/>
      <c r="AO98" s="1166"/>
      <c r="AP98" s="1166"/>
      <c r="AQ98" s="1166"/>
      <c r="AR98" s="1166"/>
      <c r="AS98" s="1166"/>
      <c r="AT98" s="1166"/>
      <c r="AU98" s="1166"/>
      <c r="AV98" s="1166"/>
      <c r="AW98" s="1166"/>
      <c r="AX98" s="1166"/>
      <c r="AY98" s="1166"/>
      <c r="AZ98" s="1166"/>
      <c r="BA98" s="1166"/>
      <c r="BB98" s="1166"/>
      <c r="BC98" s="1166"/>
      <c r="BD98" s="1166"/>
      <c r="BE98" s="1166"/>
      <c r="BF98" s="1166"/>
      <c r="BG98" s="1166"/>
      <c r="BH98" s="1166"/>
      <c r="BI98" s="1166"/>
      <c r="BJ98" s="1166"/>
      <c r="BK98" s="1166"/>
      <c r="BL98" s="1166"/>
      <c r="BM98" s="1166"/>
      <c r="BN98" s="1166"/>
      <c r="BO98" s="1166"/>
      <c r="BP98" s="1166"/>
      <c r="BQ98" s="1166"/>
      <c r="BR98" s="1166"/>
      <c r="BS98" s="1166"/>
      <c r="BT98" s="1166"/>
      <c r="BU98" s="1166"/>
      <c r="BV98" s="1166"/>
      <c r="BW98" s="1166"/>
      <c r="BX98" s="1166"/>
      <c r="BY98" s="1166"/>
      <c r="BZ98" s="1166"/>
      <c r="CA98" s="1166"/>
      <c r="CB98" s="1166"/>
      <c r="CC98" s="1166"/>
      <c r="CD98" s="1166"/>
      <c r="CE98" s="1166"/>
      <c r="CF98" s="1166"/>
      <c r="CG98" s="1166"/>
      <c r="CH98" s="1166"/>
      <c r="CI98" s="1166"/>
      <c r="CJ98" s="1166"/>
      <c r="CK98" s="1166"/>
      <c r="CL98" s="1166"/>
      <c r="CM98" s="1166"/>
      <c r="CN98" s="1166"/>
      <c r="CO98" s="1166"/>
      <c r="CP98" s="1166"/>
      <c r="CQ98" s="1166"/>
      <c r="CR98" s="1166"/>
      <c r="CS98" s="1166"/>
      <c r="CT98" s="1166"/>
      <c r="CU98" s="1166"/>
      <c r="CV98" s="1166"/>
      <c r="CW98" s="1166"/>
      <c r="CX98" s="1166"/>
      <c r="CY98" s="1166"/>
      <c r="CZ98" s="1166"/>
      <c r="DA98" s="1166"/>
      <c r="DB98" s="1166"/>
      <c r="DC98" s="1166"/>
      <c r="DD98" s="1166"/>
      <c r="DE98" s="1166"/>
      <c r="DF98" s="1166"/>
      <c r="DG98" s="1166"/>
      <c r="DH98" s="1166"/>
      <c r="DI98" s="1166"/>
      <c r="DJ98" s="1166"/>
      <c r="DK98" s="1166"/>
      <c r="DL98" s="1166"/>
      <c r="DM98" s="1166"/>
      <c r="DN98" s="1166"/>
      <c r="DO98" s="1166"/>
      <c r="DP98" s="1166"/>
      <c r="DQ98" s="1166"/>
      <c r="DR98" s="1166"/>
      <c r="DS98" s="1166"/>
      <c r="DT98" s="1166"/>
      <c r="DU98" s="1166"/>
      <c r="DV98" s="1166"/>
      <c r="DW98" s="1166"/>
      <c r="DX98" s="1166"/>
      <c r="DY98" s="1166"/>
      <c r="DZ98" s="1166"/>
      <c r="EA98" s="1166"/>
      <c r="EB98" s="1166"/>
      <c r="EC98" s="1166"/>
      <c r="ED98" s="1166"/>
      <c r="EE98" s="1166"/>
      <c r="EF98" s="1166"/>
      <c r="EG98" s="1166"/>
      <c r="EH98" s="1166"/>
      <c r="EI98" s="1166"/>
      <c r="EJ98" s="1166"/>
      <c r="EK98" s="1166"/>
      <c r="EL98" s="1166"/>
      <c r="EM98" s="1166"/>
      <c r="EN98" s="1166"/>
      <c r="EO98" s="1166"/>
      <c r="EP98" s="1166"/>
      <c r="EQ98" s="1166"/>
      <c r="ER98" s="1166"/>
      <c r="ES98" s="1166"/>
      <c r="ET98" s="1166"/>
      <c r="EU98" s="1166"/>
      <c r="EV98" s="1166"/>
      <c r="EW98" s="1166"/>
      <c r="EX98" s="1166"/>
      <c r="EY98" s="1166"/>
      <c r="EZ98" s="1166"/>
      <c r="FA98" s="1166"/>
      <c r="FB98" s="1166"/>
      <c r="FC98" s="1166"/>
      <c r="FD98" s="1166"/>
      <c r="FE98" s="1166"/>
      <c r="FF98" s="1166"/>
      <c r="FG98" s="1166"/>
      <c r="FH98" s="1166"/>
      <c r="FI98" s="1166"/>
      <c r="FJ98" s="1166"/>
      <c r="FK98" s="1166"/>
      <c r="FL98" s="1166"/>
      <c r="FM98" s="1166"/>
      <c r="FN98" s="1166"/>
      <c r="FO98" s="1166"/>
      <c r="FP98" s="1166"/>
      <c r="FQ98" s="1166"/>
      <c r="FR98" s="1166"/>
      <c r="FS98" s="1166"/>
      <c r="FT98" s="1166"/>
      <c r="FU98" s="1166"/>
      <c r="FV98" s="1166"/>
      <c r="FW98" s="1166"/>
      <c r="FX98" s="1166"/>
      <c r="FY98" s="1166"/>
      <c r="FZ98" s="1166"/>
      <c r="GA98" s="1166"/>
      <c r="GB98" s="1166"/>
      <c r="GC98" s="1166"/>
      <c r="GD98" s="1166"/>
      <c r="GE98" s="1166"/>
      <c r="GF98" s="1166"/>
      <c r="GG98" s="1166"/>
      <c r="GH98" s="1166"/>
      <c r="GI98" s="1166"/>
      <c r="GJ98" s="1166"/>
      <c r="GK98" s="1166"/>
      <c r="GL98" s="1166"/>
      <c r="GM98" s="1166"/>
      <c r="GN98" s="1166"/>
      <c r="GO98" s="1166"/>
      <c r="GP98" s="1166"/>
      <c r="GQ98" s="1166"/>
      <c r="GR98" s="1166"/>
      <c r="GS98" s="1166"/>
      <c r="GT98" s="1166"/>
      <c r="GU98" s="1166"/>
      <c r="GV98" s="1166"/>
      <c r="GW98" s="1166"/>
      <c r="GX98" s="1166"/>
      <c r="GY98" s="1166"/>
      <c r="GZ98" s="1166"/>
      <c r="HA98" s="1166"/>
      <c r="HB98" s="1166"/>
      <c r="HC98" s="1166"/>
      <c r="HD98" s="1166"/>
      <c r="HE98" s="1166"/>
      <c r="HF98" s="1166"/>
      <c r="HG98" s="1166"/>
      <c r="HH98" s="1166"/>
      <c r="HI98" s="1166"/>
      <c r="HJ98" s="1166"/>
      <c r="HK98" s="1166"/>
      <c r="HL98" s="1166"/>
      <c r="HM98" s="1166"/>
      <c r="HN98" s="1166"/>
      <c r="HO98" s="1166"/>
      <c r="HP98" s="1166"/>
      <c r="HQ98" s="1166"/>
      <c r="HR98" s="1166"/>
      <c r="HS98" s="1166"/>
      <c r="HT98" s="1166"/>
      <c r="HU98" s="1166"/>
      <c r="HV98" s="1166"/>
      <c r="HW98" s="1166"/>
      <c r="HX98" s="1166"/>
      <c r="HY98" s="1166"/>
      <c r="HZ98" s="1166"/>
      <c r="IA98" s="1166"/>
      <c r="IB98" s="1166"/>
      <c r="IC98" s="1166"/>
      <c r="ID98" s="1166"/>
      <c r="IE98" s="1166"/>
      <c r="IF98" s="1166"/>
      <c r="IG98" s="1166"/>
      <c r="IH98" s="1166"/>
      <c r="II98" s="1166"/>
      <c r="IJ98" s="1166"/>
      <c r="IK98" s="1166"/>
      <c r="IL98" s="1166"/>
      <c r="IM98" s="1166"/>
      <c r="IN98" s="1166"/>
      <c r="IO98" s="1166"/>
      <c r="IP98" s="1166"/>
      <c r="IQ98" s="1166"/>
      <c r="IR98" s="1166"/>
      <c r="IS98" s="1166"/>
      <c r="IT98" s="1166"/>
      <c r="IU98" s="1166"/>
      <c r="IV98" s="1166"/>
    </row>
    <row r="99" spans="1:256" s="1541" customFormat="1" ht="19.5" customHeight="1" x14ac:dyDescent="0.35">
      <c r="A99" s="1452">
        <v>90</v>
      </c>
      <c r="B99" s="1533"/>
      <c r="C99" s="1534"/>
      <c r="D99" s="1500" t="s">
        <v>230</v>
      </c>
      <c r="E99" s="1535"/>
      <c r="F99" s="1535"/>
      <c r="G99" s="1536"/>
      <c r="H99" s="1537"/>
      <c r="I99" s="1538">
        <f t="shared" ref="I99:N99" si="0">I87+I82+I77+I72+I67+I62+I57+I52+I47+I42+I37+I32+I27+I22+I17+I12</f>
        <v>674</v>
      </c>
      <c r="J99" s="1538">
        <f t="shared" si="0"/>
        <v>193</v>
      </c>
      <c r="K99" s="1538">
        <f t="shared" si="0"/>
        <v>131974</v>
      </c>
      <c r="L99" s="1538">
        <f t="shared" si="0"/>
        <v>1612</v>
      </c>
      <c r="M99" s="1538">
        <f t="shared" si="0"/>
        <v>18717</v>
      </c>
      <c r="N99" s="1538">
        <f t="shared" si="0"/>
        <v>27923</v>
      </c>
      <c r="O99" s="1539">
        <f>SUM(I99:N99)</f>
        <v>181093</v>
      </c>
      <c r="P99" s="1540">
        <f>SUM(P10:P87)</f>
        <v>136414</v>
      </c>
    </row>
    <row r="100" spans="1:256" s="1541" customFormat="1" ht="19.5" customHeight="1" x14ac:dyDescent="0.35">
      <c r="A100" s="1452">
        <v>91</v>
      </c>
      <c r="B100" s="1533"/>
      <c r="C100" s="1534"/>
      <c r="D100" s="1481" t="s">
        <v>231</v>
      </c>
      <c r="E100" s="1535"/>
      <c r="F100" s="1535"/>
      <c r="G100" s="1536"/>
      <c r="H100" s="1542"/>
      <c r="I100" s="1543">
        <f t="shared" ref="I100:N100" si="1">I88+I83+I78+I73+I68+I63+I58+I53+I48+I43+I38+I33+I28+I23+I18+I13+I92</f>
        <v>3144</v>
      </c>
      <c r="J100" s="1543">
        <f t="shared" si="1"/>
        <v>531</v>
      </c>
      <c r="K100" s="1543">
        <f t="shared" si="1"/>
        <v>118694</v>
      </c>
      <c r="L100" s="1543">
        <f t="shared" si="1"/>
        <v>5210</v>
      </c>
      <c r="M100" s="1543">
        <f t="shared" si="1"/>
        <v>16219</v>
      </c>
      <c r="N100" s="1543">
        <f t="shared" si="1"/>
        <v>25806</v>
      </c>
      <c r="O100" s="1231">
        <f>SUM(I100:N100)</f>
        <v>169604</v>
      </c>
      <c r="P100" s="1544"/>
    </row>
    <row r="101" spans="1:256" s="1541" customFormat="1" ht="19.5" customHeight="1" x14ac:dyDescent="0.35">
      <c r="A101" s="1452">
        <v>92</v>
      </c>
      <c r="B101" s="1545"/>
      <c r="C101" s="1535"/>
      <c r="D101" s="1388" t="s">
        <v>245</v>
      </c>
      <c r="E101" s="1535"/>
      <c r="F101" s="1535"/>
      <c r="G101" s="1546"/>
      <c r="H101" s="1193"/>
      <c r="I101" s="1216">
        <f t="shared" ref="I101:N101" si="2">I89+I84+I79+I74+I69+I64+I59+I54+I49+I44+I39+I34+I29+I24+I19+I14+I93+I96</f>
        <v>0</v>
      </c>
      <c r="J101" s="1216">
        <f t="shared" si="2"/>
        <v>0</v>
      </c>
      <c r="K101" s="1216">
        <f t="shared" si="2"/>
        <v>1800</v>
      </c>
      <c r="L101" s="1216">
        <f t="shared" si="2"/>
        <v>0</v>
      </c>
      <c r="M101" s="1216">
        <f t="shared" si="2"/>
        <v>225412</v>
      </c>
      <c r="N101" s="1216">
        <f t="shared" si="2"/>
        <v>0</v>
      </c>
      <c r="O101" s="1322">
        <f>SUM(I101:N101)</f>
        <v>227212</v>
      </c>
      <c r="P101" s="1547"/>
    </row>
    <row r="102" spans="1:256" s="1541" customFormat="1" ht="19.5" customHeight="1" x14ac:dyDescent="0.35">
      <c r="A102" s="1452">
        <v>93</v>
      </c>
      <c r="B102" s="1548"/>
      <c r="C102" s="1549"/>
      <c r="D102" s="1550" t="s">
        <v>233</v>
      </c>
      <c r="E102" s="1549"/>
      <c r="F102" s="1549"/>
      <c r="G102" s="1551"/>
      <c r="H102" s="1552"/>
      <c r="I102" s="1553">
        <f t="shared" ref="I102:N102" si="3">SUM(I100:I101)</f>
        <v>3144</v>
      </c>
      <c r="J102" s="1553">
        <f t="shared" si="3"/>
        <v>531</v>
      </c>
      <c r="K102" s="1553">
        <f t="shared" si="3"/>
        <v>120494</v>
      </c>
      <c r="L102" s="1553">
        <f t="shared" si="3"/>
        <v>5210</v>
      </c>
      <c r="M102" s="1553">
        <f t="shared" si="3"/>
        <v>241631</v>
      </c>
      <c r="N102" s="1553">
        <f t="shared" si="3"/>
        <v>25806</v>
      </c>
      <c r="O102" s="1554">
        <f>SUM(I102:N102)</f>
        <v>396816</v>
      </c>
      <c r="P102" s="1555"/>
    </row>
    <row r="103" spans="1:256" ht="18" customHeight="1" x14ac:dyDescent="0.35">
      <c r="B103" s="1556" t="s">
        <v>357</v>
      </c>
      <c r="C103" s="1557"/>
      <c r="D103" s="1556"/>
      <c r="E103" s="1558"/>
      <c r="F103" s="1559"/>
      <c r="G103" s="1558"/>
      <c r="H103" s="1444"/>
      <c r="I103" s="1558"/>
      <c r="J103" s="1558"/>
      <c r="K103" s="1558"/>
      <c r="L103" s="1558"/>
      <c r="M103" s="1558"/>
      <c r="N103" s="1558"/>
      <c r="O103" s="1560"/>
    </row>
    <row r="104" spans="1:256" ht="18" customHeight="1" x14ac:dyDescent="0.35">
      <c r="B104" s="1556" t="s">
        <v>358</v>
      </c>
      <c r="C104" s="1557"/>
      <c r="D104" s="1556"/>
      <c r="E104" s="1162"/>
      <c r="F104" s="1559"/>
      <c r="G104" s="1558"/>
      <c r="H104" s="1444"/>
      <c r="I104" s="1558"/>
      <c r="J104" s="1558"/>
      <c r="K104" s="1558"/>
      <c r="L104" s="1558"/>
      <c r="M104" s="1558"/>
      <c r="N104" s="1558"/>
      <c r="O104" s="1560"/>
    </row>
    <row r="105" spans="1:256" ht="18" customHeight="1" x14ac:dyDescent="0.35">
      <c r="B105" s="1556" t="s">
        <v>359</v>
      </c>
      <c r="C105" s="1557"/>
      <c r="D105" s="1556"/>
      <c r="E105" s="1162"/>
      <c r="F105" s="1559"/>
      <c r="G105" s="1558"/>
      <c r="H105" s="1444"/>
      <c r="I105" s="1558"/>
      <c r="J105" s="1558"/>
      <c r="K105" s="1558"/>
      <c r="L105" s="1558"/>
      <c r="M105" s="1558"/>
      <c r="N105" s="1558"/>
      <c r="O105" s="1560"/>
    </row>
    <row r="106" spans="1:256" x14ac:dyDescent="0.35">
      <c r="B106" s="1561" t="s">
        <v>983</v>
      </c>
      <c r="C106" s="1561"/>
    </row>
  </sheetData>
  <mergeCells count="18">
    <mergeCell ref="B1:J1"/>
    <mergeCell ref="I2:P2"/>
    <mergeCell ref="A3:P3"/>
    <mergeCell ref="A4:P4"/>
    <mergeCell ref="B7:B9"/>
    <mergeCell ref="C7:C9"/>
    <mergeCell ref="D7:D9"/>
    <mergeCell ref="E7:E9"/>
    <mergeCell ref="F7:F9"/>
    <mergeCell ref="G7:G9"/>
    <mergeCell ref="H7:H9"/>
    <mergeCell ref="I7:O7"/>
    <mergeCell ref="P7:P9"/>
    <mergeCell ref="Q7:R7"/>
    <mergeCell ref="I8:L8"/>
    <mergeCell ref="M8:N8"/>
    <mergeCell ref="O8:O9"/>
    <mergeCell ref="B98:G98"/>
  </mergeCells>
  <printOptions horizontalCentered="1"/>
  <pageMargins left="0.196527777777778" right="0.196527777777778" top="0.59027777777777801" bottom="0.59027777777777801" header="0.511811023622047" footer="0.51180555555555596"/>
  <pageSetup paperSize="9" scale="57" orientation="landscape" horizontalDpi="300" verticalDpi="300" r:id="rId1"/>
  <headerFooter>
    <oddFooter>&amp;C- &amp;P -</oddFooter>
  </headerFooter>
</worksheet>
</file>

<file path=docProps/app.xml><?xml version="1.0" encoding="utf-8"?>
<Properties xmlns="http://schemas.openxmlformats.org/officeDocument/2006/extended-properties" xmlns:vt="http://schemas.openxmlformats.org/officeDocument/2006/docPropsVTypes">
  <Template/>
  <TotalTime>18</TotalTime>
  <Application>Microsoft Excel</Application>
  <DocSecurity>0</DocSecurity>
  <ScaleCrop>false</ScaleCrop>
  <HeadingPairs>
    <vt:vector size="4" baseType="variant">
      <vt:variant>
        <vt:lpstr>Munkalapok</vt:lpstr>
      </vt:variant>
      <vt:variant>
        <vt:i4>13</vt:i4>
      </vt:variant>
      <vt:variant>
        <vt:lpstr>Névvel ellátott tartományok</vt:lpstr>
      </vt:variant>
      <vt:variant>
        <vt:i4>25</vt:i4>
      </vt:variant>
    </vt:vector>
  </HeadingPairs>
  <TitlesOfParts>
    <vt:vector size="38" baseType="lpstr">
      <vt:lpstr>1.Onbe</vt:lpstr>
      <vt:lpstr>2.Onki</vt:lpstr>
      <vt:lpstr>3.Inbe </vt:lpstr>
      <vt:lpstr>4.Inki</vt:lpstr>
      <vt:lpstr>5.Infelhki</vt:lpstr>
      <vt:lpstr>6.Önk.műk.</vt:lpstr>
      <vt:lpstr>7.Beruh.</vt:lpstr>
      <vt:lpstr>8.Felúj.</vt:lpstr>
      <vt:lpstr>9.Projekt</vt:lpstr>
      <vt:lpstr>10.MVP és hazai</vt:lpstr>
      <vt:lpstr>11.EKF</vt:lpstr>
      <vt:lpstr>12.Mérleg</vt:lpstr>
      <vt:lpstr>13.Létszám</vt:lpstr>
      <vt:lpstr>'1.Onbe'!Nyomtatási_cím</vt:lpstr>
      <vt:lpstr>'10.MVP és hazai'!Nyomtatási_cím</vt:lpstr>
      <vt:lpstr>'11.EKF'!Nyomtatási_cím</vt:lpstr>
      <vt:lpstr>'13.Létszám'!Nyomtatási_cím</vt:lpstr>
      <vt:lpstr>'2.Onki'!Nyomtatási_cím</vt:lpstr>
      <vt:lpstr>'3.Inbe '!Nyomtatási_cím</vt:lpstr>
      <vt:lpstr>'4.Inki'!Nyomtatási_cím</vt:lpstr>
      <vt:lpstr>'5.Infelhki'!Nyomtatási_cím</vt:lpstr>
      <vt:lpstr>'6.Önk.műk.'!Nyomtatási_cím</vt:lpstr>
      <vt:lpstr>'7.Beruh.'!Nyomtatási_cím</vt:lpstr>
      <vt:lpstr>'8.Felúj.'!Nyomtatási_cím</vt:lpstr>
      <vt:lpstr>'9.Projekt'!Nyomtatási_cím</vt:lpstr>
      <vt:lpstr>'1.Onbe'!Nyomtatási_terület</vt:lpstr>
      <vt:lpstr>'10.MVP és hazai'!Nyomtatási_terület</vt:lpstr>
      <vt:lpstr>'11.EKF'!Nyomtatási_terület</vt:lpstr>
      <vt:lpstr>'12.Mérleg'!Nyomtatási_terület</vt:lpstr>
      <vt:lpstr>'13.Létszám'!Nyomtatási_terület</vt:lpstr>
      <vt:lpstr>'2.Onki'!Nyomtatási_terület</vt:lpstr>
      <vt:lpstr>'3.Inbe '!Nyomtatási_terület</vt:lpstr>
      <vt:lpstr>'4.Inki'!Nyomtatási_terület</vt:lpstr>
      <vt:lpstr>'5.Infelhki'!Nyomtatási_terület</vt:lpstr>
      <vt:lpstr>'6.Önk.műk.'!Nyomtatási_terület</vt:lpstr>
      <vt:lpstr>'7.Beruh.'!Nyomtatási_terület</vt:lpstr>
      <vt:lpstr>'8.Felúj.'!Nyomtatási_terület</vt:lpstr>
      <vt:lpstr>'9.Projekt'!Nyomtatási_terület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Schumacher Judit</dc:creator>
  <dc:description/>
  <cp:lastModifiedBy>Kicska Andrea</cp:lastModifiedBy>
  <cp:revision>3</cp:revision>
  <cp:lastPrinted>2024-12-09T14:14:22Z</cp:lastPrinted>
  <dcterms:created xsi:type="dcterms:W3CDTF">2015-02-11T07:38:58Z</dcterms:created>
  <dcterms:modified xsi:type="dcterms:W3CDTF">2024-12-12T06:17:48Z</dcterms:modified>
  <dc:language>hu-HU</dc:language>
</cp:coreProperties>
</file>